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defaultThemeVersion="124226"/>
  <bookViews>
    <workbookView xWindow="0" yWindow="0" windowWidth="19440" windowHeight="12435" tabRatio="898" firstSheet="9" activeTab="14"/>
  </bookViews>
  <sheets>
    <sheet name="Lista  FORMATOS" sheetId="39" r:id="rId1"/>
    <sheet name="ETCA-I-01" sheetId="2" r:id="rId2"/>
    <sheet name="ETCA-I-02" sheetId="1" r:id="rId3"/>
    <sheet name="ETCA-I-03" sheetId="3" r:id="rId4"/>
    <sheet name="ETCA-I-04" sheetId="5" r:id="rId5"/>
    <sheet name="ETCA-I-05" sheetId="23" r:id="rId6"/>
    <sheet name="ETCA-I-06" sheetId="6" r:id="rId7"/>
    <sheet name="ETCA-I-07" sheetId="7" r:id="rId8"/>
    <sheet name="ETCA-I-08" sheetId="26" r:id="rId9"/>
    <sheet name="ETCA-I-09 Notas" sheetId="13" r:id="rId10"/>
    <sheet name="ETCA-II-10 " sheetId="34" r:id="rId11"/>
    <sheet name="ETCA-II-10-A" sheetId="21" r:id="rId12"/>
    <sheet name="ETCA-II-11 " sheetId="35" r:id="rId13"/>
    <sheet name="ETCA-II-11-A " sheetId="37" r:id="rId14"/>
    <sheet name="ETCA-II-11-B1" sheetId="38" r:id="rId15"/>
    <sheet name="ETCA-II-11-B2" sheetId="44" r:id="rId16"/>
    <sheet name="ETCA-11-B3" sheetId="45" r:id="rId17"/>
    <sheet name="ETCA-II-11-C" sheetId="43" r:id="rId18"/>
    <sheet name="ETCA-II-11-D" sheetId="24" r:id="rId19"/>
    <sheet name="ETCA-II-11-E " sheetId="36" r:id="rId20"/>
    <sheet name="ETCA-II-12" sheetId="16" r:id="rId21"/>
    <sheet name="ETCA-II-13" sheetId="19" r:id="rId22"/>
    <sheet name="ETCA-III-14" sheetId="42" r:id="rId23"/>
    <sheet name="ETCA-III-15" sheetId="46" r:id="rId24"/>
    <sheet name="ETCA-III-15-A" sheetId="49" r:id="rId25"/>
    <sheet name="ETCA-III-16" sheetId="32" r:id="rId26"/>
    <sheet name="ETCA-IV-17" sheetId="20" r:id="rId27"/>
    <sheet name="ETCA-IV-19" sheetId="28" r:id="rId28"/>
    <sheet name="ETCA-IV-20" sheetId="33" r:id="rId29"/>
    <sheet name="ANEXO" sheetId="47" r:id="rId30"/>
  </sheets>
  <externalReferences>
    <externalReference r:id="rId31"/>
    <externalReference r:id="rId32"/>
  </externalReferences>
  <definedNames>
    <definedName name="_xlnm._FilterDatabase" localSheetId="1" hidden="1">'ETCA-I-01'!#REF!</definedName>
    <definedName name="_xlnm._FilterDatabase" localSheetId="4" hidden="1">'ETCA-I-04'!$A$1:$C$77</definedName>
    <definedName name="_ftn1" localSheetId="2">'ETCA-I-02'!#REF!</definedName>
    <definedName name="_ftnref1" localSheetId="2">'ETCA-I-02'!#REF!</definedName>
    <definedName name="_xlnm.Print_Area" localSheetId="16">'ETCA-11-B3'!$A$1:$G$39</definedName>
    <definedName name="_xlnm.Print_Area" localSheetId="1">'ETCA-I-01'!$A$1:$F$64</definedName>
    <definedName name="_xlnm.Print_Area" localSheetId="2">'ETCA-I-02'!$A$1:$D$72</definedName>
    <definedName name="_xlnm.Print_Area" localSheetId="3">'ETCA-I-03'!$A$1:$F$42</definedName>
    <definedName name="_xlnm.Print_Area" localSheetId="4">'ETCA-I-04'!$A$1:$C$74</definedName>
    <definedName name="_xlnm.Print_Area" localSheetId="5">'ETCA-I-05'!$A$1:$G$79</definedName>
    <definedName name="_xlnm.Print_Area" localSheetId="6">'ETCA-I-06'!$A$1:$G$41</definedName>
    <definedName name="_xlnm.Print_Area" localSheetId="7">'ETCA-I-07'!$A$1:$F$54</definedName>
    <definedName name="_xlnm.Print_Area" localSheetId="8">'ETCA-I-08'!$A$1:$I$54</definedName>
    <definedName name="_xlnm.Print_Area" localSheetId="9">'ETCA-I-09 Notas'!$A$1:$J$50</definedName>
    <definedName name="_xlnm.Print_Area" localSheetId="10">'ETCA-II-10 '!$A$1:$H$64</definedName>
    <definedName name="_xlnm.Print_Area" localSheetId="11">'ETCA-II-10-A'!$A$1:$D$36</definedName>
    <definedName name="_xlnm.Print_Area" localSheetId="12">'ETCA-II-11 '!$A$1:$G$93</definedName>
    <definedName name="_xlnm.Print_Area" localSheetId="13">'ETCA-II-11-A '!$A$1:$G$25</definedName>
    <definedName name="_xlnm.Print_Area" localSheetId="14">'ETCA-II-11-B1'!$A$1:$G$43</definedName>
    <definedName name="_xlnm.Print_Area" localSheetId="15">'ETCA-II-11-B2'!$A$1:$G$27</definedName>
    <definedName name="_xlnm.Print_Area" localSheetId="17">'ETCA-II-11-C'!$A$1:$G$57</definedName>
    <definedName name="_xlnm.Print_Area" localSheetId="18">'ETCA-II-11-D'!$A$1:$C$50</definedName>
    <definedName name="_xlnm.Print_Area" localSheetId="19">'ETCA-II-11-E '!$A$1:$I$50</definedName>
    <definedName name="_xlnm.Print_Area" localSheetId="20">'ETCA-II-12'!$A$1:$E$45</definedName>
    <definedName name="_xlnm.Print_Area" localSheetId="21">'ETCA-II-13'!$A$1:$E$46</definedName>
    <definedName name="_xlnm.Print_Area" localSheetId="22">'ETCA-III-14'!$A$1:$G$51</definedName>
    <definedName name="_xlnm.Print_Area" localSheetId="25">'ETCA-III-16'!$A$1:$E$56</definedName>
    <definedName name="_xlnm.Print_Area" localSheetId="26">'ETCA-IV-17'!$A$1:$E$32</definedName>
    <definedName name="_xlnm.Print_Area" localSheetId="27">'ETCA-IV-19'!$A$1:$D$374</definedName>
    <definedName name="_xlnm.Print_Area" localSheetId="28">'ETCA-IV-20'!$A$1:$E$45</definedName>
    <definedName name="_xlnm.Database" localSheetId="8">#REF!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8">#REF!</definedName>
    <definedName name="_xlnm.Database" localSheetId="19">#REF!</definedName>
    <definedName name="_xlnm.Database" localSheetId="21">#REF!</definedName>
    <definedName name="_xlnm.Database" localSheetId="23">#REF!</definedName>
    <definedName name="_xlnm.Database" localSheetId="25">#REF!</definedName>
    <definedName name="_xlnm.Database" localSheetId="26">#REF!</definedName>
    <definedName name="_xlnm.Database" localSheetId="27">#REF!</definedName>
    <definedName name="_xlnm.Database" localSheetId="28">#REF!</definedName>
    <definedName name="_xlnm.Database" localSheetId="0">#REF!</definedName>
    <definedName name="_xlnm.Database">#REF!</definedName>
    <definedName name="ppto">[1]Hoja2!$B$3:$M$95</definedName>
    <definedName name="qw" localSheetId="23">#REF!</definedName>
    <definedName name="qw">#REF!</definedName>
    <definedName name="_xlnm.Print_Titles" localSheetId="2">'ETCA-I-02'!$2:$5</definedName>
    <definedName name="_xlnm.Print_Titles" localSheetId="4">'ETCA-I-04'!$1:$5</definedName>
    <definedName name="_xlnm.Print_Titles" localSheetId="10">'ETCA-II-10 '!$1:$5</definedName>
    <definedName name="_xlnm.Print_Titles" localSheetId="12">'ETCA-II-11 '!$1:$8</definedName>
    <definedName name="_xlnm.Print_Titles" localSheetId="24">'ETCA-III-15-A'!$3:$4</definedName>
  </definedNames>
  <calcPr calcId="145621"/>
</workbook>
</file>

<file path=xl/calcChain.xml><?xml version="1.0" encoding="utf-8"?>
<calcChain xmlns="http://schemas.openxmlformats.org/spreadsheetml/2006/main">
  <c r="L83" i="47" l="1"/>
  <c r="K83" i="47"/>
  <c r="J83" i="47"/>
  <c r="I83" i="47"/>
  <c r="H83" i="47"/>
  <c r="G83" i="47"/>
  <c r="F83" i="47"/>
  <c r="E83" i="47"/>
  <c r="D83" i="47"/>
  <c r="C73" i="47"/>
  <c r="C83" i="47"/>
  <c r="F50" i="47"/>
  <c r="F49" i="47"/>
  <c r="F41" i="47"/>
  <c r="F40" i="47"/>
  <c r="F33" i="47"/>
  <c r="F26" i="47"/>
  <c r="F21" i="47"/>
  <c r="F16" i="47"/>
  <c r="F12" i="47"/>
  <c r="E10" i="45"/>
  <c r="F10" i="45" s="1"/>
  <c r="F23" i="45" s="1"/>
  <c r="C10" i="44"/>
  <c r="F10" i="44"/>
  <c r="E10" i="38"/>
  <c r="F10" i="38" s="1"/>
  <c r="F32" i="38" s="1"/>
  <c r="B10" i="38"/>
  <c r="C12" i="38"/>
  <c r="C11" i="38"/>
  <c r="C10" i="38"/>
  <c r="F12" i="38"/>
  <c r="F11" i="38"/>
  <c r="F9" i="38"/>
  <c r="C9" i="38"/>
  <c r="F10" i="37"/>
  <c r="E10" i="37"/>
  <c r="F9" i="37"/>
  <c r="E9" i="37"/>
  <c r="C10" i="37"/>
  <c r="B10" i="37"/>
  <c r="C9" i="37"/>
  <c r="B9" i="37"/>
  <c r="F60" i="35"/>
  <c r="E60" i="35"/>
  <c r="F58" i="35"/>
  <c r="E58" i="35"/>
  <c r="C60" i="35"/>
  <c r="B60" i="35"/>
  <c r="C58" i="35"/>
  <c r="B58" i="35"/>
  <c r="F53" i="35"/>
  <c r="E53" i="35"/>
  <c r="F51" i="35"/>
  <c r="E51" i="35"/>
  <c r="F48" i="35"/>
  <c r="E48" i="35"/>
  <c r="C53" i="35"/>
  <c r="B53" i="35"/>
  <c r="C51" i="35"/>
  <c r="B51" i="35"/>
  <c r="C48" i="35"/>
  <c r="B48" i="35"/>
  <c r="F36" i="35"/>
  <c r="E36" i="35"/>
  <c r="F35" i="35"/>
  <c r="E35" i="35"/>
  <c r="F34" i="35"/>
  <c r="E34" i="35"/>
  <c r="F33" i="35"/>
  <c r="E33" i="35"/>
  <c r="F32" i="35"/>
  <c r="E32" i="35"/>
  <c r="F31" i="35"/>
  <c r="E31" i="35"/>
  <c r="F30" i="35"/>
  <c r="E30" i="35"/>
  <c r="F29" i="35"/>
  <c r="E29" i="35"/>
  <c r="F28" i="35"/>
  <c r="E28" i="35"/>
  <c r="C36" i="35"/>
  <c r="B36" i="35"/>
  <c r="C35" i="35"/>
  <c r="B35" i="35"/>
  <c r="C34" i="35"/>
  <c r="B34" i="35"/>
  <c r="C33" i="35"/>
  <c r="B33" i="35"/>
  <c r="C32" i="35"/>
  <c r="B32" i="35"/>
  <c r="C31" i="35"/>
  <c r="B31" i="35"/>
  <c r="C30" i="35"/>
  <c r="B30" i="35"/>
  <c r="C29" i="35"/>
  <c r="B29" i="35"/>
  <c r="C28" i="35"/>
  <c r="B28" i="35"/>
  <c r="F26" i="35"/>
  <c r="E26" i="35"/>
  <c r="F25" i="35"/>
  <c r="E25" i="35"/>
  <c r="F24" i="35"/>
  <c r="E24" i="35"/>
  <c r="F23" i="35"/>
  <c r="E23" i="35"/>
  <c r="F21" i="35"/>
  <c r="E21" i="35"/>
  <c r="F19" i="35"/>
  <c r="E19" i="35"/>
  <c r="F18" i="35"/>
  <c r="E18" i="35"/>
  <c r="C26" i="35"/>
  <c r="C25" i="35"/>
  <c r="C24" i="35"/>
  <c r="C23" i="35"/>
  <c r="C21" i="35"/>
  <c r="C19" i="35"/>
  <c r="C18" i="35"/>
  <c r="B26" i="35"/>
  <c r="B25" i="35"/>
  <c r="B24" i="35"/>
  <c r="B23" i="35"/>
  <c r="B21" i="35"/>
  <c r="B19" i="35"/>
  <c r="B18" i="35"/>
  <c r="F14" i="35"/>
  <c r="E14" i="35"/>
  <c r="F13" i="35"/>
  <c r="E13" i="35"/>
  <c r="F12" i="35"/>
  <c r="E12" i="35"/>
  <c r="F11" i="35"/>
  <c r="E11" i="35"/>
  <c r="F10" i="35"/>
  <c r="E10" i="35"/>
  <c r="C14" i="35"/>
  <c r="B14" i="35"/>
  <c r="C13" i="35"/>
  <c r="B13" i="35"/>
  <c r="C12" i="35"/>
  <c r="B12" i="35"/>
  <c r="C11" i="35"/>
  <c r="B11" i="35"/>
  <c r="C10" i="35"/>
  <c r="B10" i="35"/>
  <c r="G168" i="36"/>
  <c r="E168" i="36"/>
  <c r="H168" i="36" s="1"/>
  <c r="F167" i="36"/>
  <c r="G167" i="36" s="1"/>
  <c r="D167" i="36"/>
  <c r="C167" i="36"/>
  <c r="E167" i="36" s="1"/>
  <c r="I166" i="36"/>
  <c r="H166" i="36"/>
  <c r="G166" i="36"/>
  <c r="F165" i="36"/>
  <c r="D165" i="36"/>
  <c r="E165" i="36" s="1"/>
  <c r="C165" i="36"/>
  <c r="I164" i="36"/>
  <c r="G164" i="36"/>
  <c r="E164" i="36"/>
  <c r="H164" i="36" s="1"/>
  <c r="I163" i="36"/>
  <c r="G163" i="36"/>
  <c r="E163" i="36"/>
  <c r="H163" i="36" s="1"/>
  <c r="I162" i="36"/>
  <c r="G162" i="36"/>
  <c r="E162" i="36"/>
  <c r="H162" i="36" s="1"/>
  <c r="I161" i="36"/>
  <c r="G161" i="36"/>
  <c r="E161" i="36"/>
  <c r="H161" i="36" s="1"/>
  <c r="I160" i="36"/>
  <c r="G160" i="36"/>
  <c r="E160" i="36"/>
  <c r="H160" i="36" s="1"/>
  <c r="I159" i="36"/>
  <c r="G159" i="36"/>
  <c r="E159" i="36"/>
  <c r="H159" i="36" s="1"/>
  <c r="I158" i="36"/>
  <c r="G158" i="36"/>
  <c r="E158" i="36"/>
  <c r="H158" i="36" s="1"/>
  <c r="I157" i="36"/>
  <c r="G157" i="36"/>
  <c r="E157" i="36"/>
  <c r="H157" i="36" s="1"/>
  <c r="G156" i="36"/>
  <c r="F156" i="36"/>
  <c r="D156" i="36"/>
  <c r="C156" i="36"/>
  <c r="E156" i="36"/>
  <c r="G155" i="36"/>
  <c r="E155" i="36"/>
  <c r="H155" i="36" s="1"/>
  <c r="G154" i="36"/>
  <c r="E154" i="36"/>
  <c r="H154" i="36"/>
  <c r="G153" i="36"/>
  <c r="E153" i="36"/>
  <c r="H153" i="36" s="1"/>
  <c r="G152" i="36"/>
  <c r="E152" i="36"/>
  <c r="H152" i="36"/>
  <c r="G151" i="36"/>
  <c r="E151" i="36"/>
  <c r="H151" i="36" s="1"/>
  <c r="G150" i="36"/>
  <c r="E150" i="36"/>
  <c r="H150" i="36"/>
  <c r="G149" i="36"/>
  <c r="E149" i="36"/>
  <c r="H149" i="36" s="1"/>
  <c r="F148" i="36"/>
  <c r="D148" i="36"/>
  <c r="C148" i="36"/>
  <c r="E148" i="36" s="1"/>
  <c r="I147" i="36"/>
  <c r="H147" i="36"/>
  <c r="G147" i="36"/>
  <c r="I146" i="36"/>
  <c r="H146" i="36"/>
  <c r="G146" i="36"/>
  <c r="F145" i="36"/>
  <c r="G145" i="36" s="1"/>
  <c r="D145" i="36"/>
  <c r="C145" i="36"/>
  <c r="E145" i="36" s="1"/>
  <c r="G144" i="36"/>
  <c r="E144" i="36"/>
  <c r="H144" i="36"/>
  <c r="E143" i="36"/>
  <c r="H143" i="36" s="1"/>
  <c r="I142" i="36"/>
  <c r="G142" i="36"/>
  <c r="E142" i="36"/>
  <c r="H142" i="36" s="1"/>
  <c r="I141" i="36"/>
  <c r="G141" i="36"/>
  <c r="E141" i="36"/>
  <c r="H141" i="36" s="1"/>
  <c r="E140" i="36"/>
  <c r="I140" i="36" s="1"/>
  <c r="H139" i="36"/>
  <c r="E139" i="36"/>
  <c r="I139" i="36"/>
  <c r="G138" i="36"/>
  <c r="E138" i="36"/>
  <c r="I138" i="36" s="1"/>
  <c r="H138" i="36"/>
  <c r="G137" i="36"/>
  <c r="E137" i="36"/>
  <c r="I137" i="36" s="1"/>
  <c r="H137" i="36"/>
  <c r="G136" i="36"/>
  <c r="E136" i="36"/>
  <c r="I136" i="36" s="1"/>
  <c r="H136" i="36"/>
  <c r="F135" i="36"/>
  <c r="G135" i="36" s="1"/>
  <c r="D135" i="36"/>
  <c r="C135" i="36"/>
  <c r="E135" i="36" s="1"/>
  <c r="G134" i="36"/>
  <c r="E134" i="36"/>
  <c r="H134" i="36"/>
  <c r="F133" i="36"/>
  <c r="D133" i="36"/>
  <c r="C133" i="36"/>
  <c r="E133" i="36"/>
  <c r="H133" i="36" s="1"/>
  <c r="D132" i="36"/>
  <c r="E130" i="36"/>
  <c r="G129" i="36"/>
  <c r="F129" i="36"/>
  <c r="D129" i="36"/>
  <c r="D122" i="36" s="1"/>
  <c r="E122" i="36" s="1"/>
  <c r="C129" i="36"/>
  <c r="G128" i="36"/>
  <c r="E128" i="36"/>
  <c r="H128" i="36" s="1"/>
  <c r="F127" i="36"/>
  <c r="D127" i="36"/>
  <c r="C127" i="36"/>
  <c r="E127" i="36" s="1"/>
  <c r="I126" i="36"/>
  <c r="G126" i="36"/>
  <c r="E126" i="36"/>
  <c r="H126" i="36"/>
  <c r="I125" i="36"/>
  <c r="G125" i="36"/>
  <c r="E125" i="36"/>
  <c r="H125" i="36"/>
  <c r="I124" i="36"/>
  <c r="G124" i="36"/>
  <c r="E124" i="36"/>
  <c r="H124" i="36"/>
  <c r="F123" i="36"/>
  <c r="G123" i="36" s="1"/>
  <c r="G122" i="36" s="1"/>
  <c r="D123" i="36"/>
  <c r="C123" i="36"/>
  <c r="E123" i="36" s="1"/>
  <c r="F122" i="36"/>
  <c r="G121" i="36"/>
  <c r="E121" i="36"/>
  <c r="H121" i="36" s="1"/>
  <c r="G120" i="36"/>
  <c r="E120" i="36"/>
  <c r="H120" i="36" s="1"/>
  <c r="G119" i="36"/>
  <c r="E119" i="36"/>
  <c r="H119" i="36" s="1"/>
  <c r="G118" i="36"/>
  <c r="F118" i="36"/>
  <c r="I118" i="36" s="1"/>
  <c r="E118" i="36"/>
  <c r="D118" i="36"/>
  <c r="C118" i="36"/>
  <c r="G117" i="36"/>
  <c r="E117" i="36"/>
  <c r="H117" i="36"/>
  <c r="G116" i="36"/>
  <c r="E116" i="36"/>
  <c r="H116" i="36" s="1"/>
  <c r="F115" i="36"/>
  <c r="D115" i="36"/>
  <c r="C115" i="36"/>
  <c r="E115" i="36" s="1"/>
  <c r="I114" i="36"/>
  <c r="G114" i="36"/>
  <c r="E114" i="36"/>
  <c r="H114" i="36"/>
  <c r="I113" i="36"/>
  <c r="G113" i="36"/>
  <c r="E113" i="36"/>
  <c r="H113" i="36"/>
  <c r="I112" i="36"/>
  <c r="G112" i="36"/>
  <c r="E112" i="36"/>
  <c r="H112" i="36"/>
  <c r="I111" i="36"/>
  <c r="G111" i="36"/>
  <c r="E111" i="36"/>
  <c r="H111" i="36"/>
  <c r="I110" i="36"/>
  <c r="G110" i="36"/>
  <c r="E110" i="36"/>
  <c r="H110" i="36"/>
  <c r="F109" i="36"/>
  <c r="G109" i="36" s="1"/>
  <c r="D109" i="36"/>
  <c r="C109" i="36"/>
  <c r="E109" i="36" s="1"/>
  <c r="G108" i="36"/>
  <c r="E108" i="36"/>
  <c r="H108" i="36"/>
  <c r="F107" i="36"/>
  <c r="D107" i="36"/>
  <c r="E107" i="36" s="1"/>
  <c r="C107" i="36"/>
  <c r="I106" i="36"/>
  <c r="G106" i="36"/>
  <c r="E106" i="36"/>
  <c r="H106" i="36" s="1"/>
  <c r="I105" i="36"/>
  <c r="G105" i="36"/>
  <c r="E105" i="36"/>
  <c r="H105" i="36" s="1"/>
  <c r="I104" i="36"/>
  <c r="G104" i="36"/>
  <c r="E104" i="36"/>
  <c r="H104" i="36" s="1"/>
  <c r="I103" i="36"/>
  <c r="G103" i="36"/>
  <c r="E103" i="36"/>
  <c r="H103" i="36" s="1"/>
  <c r="I102" i="36"/>
  <c r="G102" i="36"/>
  <c r="E102" i="36"/>
  <c r="H102" i="36" s="1"/>
  <c r="I101" i="36"/>
  <c r="G101" i="36"/>
  <c r="E101" i="36"/>
  <c r="H101" i="36" s="1"/>
  <c r="G100" i="36"/>
  <c r="E100" i="36"/>
  <c r="H100" i="36" s="1"/>
  <c r="G99" i="36"/>
  <c r="F99" i="36"/>
  <c r="D99" i="36"/>
  <c r="C99" i="36"/>
  <c r="E99" i="36"/>
  <c r="G98" i="36"/>
  <c r="E98" i="36"/>
  <c r="H98" i="36" s="1"/>
  <c r="G97" i="36"/>
  <c r="E97" i="36"/>
  <c r="H97" i="36"/>
  <c r="I96" i="36"/>
  <c r="H96" i="36"/>
  <c r="G96" i="36"/>
  <c r="G95" i="36"/>
  <c r="E95" i="36"/>
  <c r="H95" i="36" s="1"/>
  <c r="G94" i="36"/>
  <c r="F94" i="36"/>
  <c r="D94" i="36"/>
  <c r="E94" i="36" s="1"/>
  <c r="C94" i="36"/>
  <c r="G93" i="36"/>
  <c r="E93" i="36"/>
  <c r="H93" i="36" s="1"/>
  <c r="G92" i="36"/>
  <c r="E92" i="36"/>
  <c r="H92" i="36"/>
  <c r="G91" i="36"/>
  <c r="E91" i="36"/>
  <c r="H91" i="36" s="1"/>
  <c r="G90" i="36"/>
  <c r="D90" i="36"/>
  <c r="G89" i="36"/>
  <c r="E89" i="36"/>
  <c r="H89" i="36"/>
  <c r="G88" i="36"/>
  <c r="E88" i="36"/>
  <c r="H88" i="36" s="1"/>
  <c r="I87" i="36"/>
  <c r="H87" i="36"/>
  <c r="G87" i="36"/>
  <c r="D87" i="36"/>
  <c r="I86" i="36"/>
  <c r="H86" i="36"/>
  <c r="G86" i="36"/>
  <c r="D86" i="36"/>
  <c r="D85" i="36"/>
  <c r="F85" i="36"/>
  <c r="C85" i="36"/>
  <c r="E85" i="36" s="1"/>
  <c r="G84" i="36"/>
  <c r="E84" i="36"/>
  <c r="I84" i="36" s="1"/>
  <c r="H84" i="36"/>
  <c r="I83" i="36"/>
  <c r="H83" i="36"/>
  <c r="G83" i="36"/>
  <c r="D83" i="36"/>
  <c r="D80" i="36" s="1"/>
  <c r="G82" i="36"/>
  <c r="E82" i="36"/>
  <c r="I82" i="36" s="1"/>
  <c r="H82" i="36"/>
  <c r="G81" i="36"/>
  <c r="E81" i="36"/>
  <c r="I81" i="36" s="1"/>
  <c r="H81" i="36"/>
  <c r="F80" i="36"/>
  <c r="G80" i="36" s="1"/>
  <c r="C80" i="36"/>
  <c r="E80" i="36" s="1"/>
  <c r="G79" i="36"/>
  <c r="E79" i="36"/>
  <c r="I79" i="36"/>
  <c r="G78" i="36"/>
  <c r="E78" i="36"/>
  <c r="H78" i="36" s="1"/>
  <c r="G77" i="36"/>
  <c r="E77" i="36"/>
  <c r="I77" i="36"/>
  <c r="G76" i="36"/>
  <c r="E76" i="36"/>
  <c r="H76" i="36" s="1"/>
  <c r="G75" i="36"/>
  <c r="E75" i="36"/>
  <c r="H75" i="36"/>
  <c r="G74" i="36"/>
  <c r="E74" i="36"/>
  <c r="I74" i="36" s="1"/>
  <c r="G73" i="36"/>
  <c r="E73" i="36"/>
  <c r="H73" i="36"/>
  <c r="F72" i="36"/>
  <c r="D72" i="36"/>
  <c r="D71" i="36" s="1"/>
  <c r="C72" i="36"/>
  <c r="C71" i="36" s="1"/>
  <c r="E71" i="36" s="1"/>
  <c r="G70" i="36"/>
  <c r="E70" i="36"/>
  <c r="I70" i="36" s="1"/>
  <c r="G69" i="36"/>
  <c r="E69" i="36"/>
  <c r="I69" i="36"/>
  <c r="G68" i="36"/>
  <c r="E68" i="36"/>
  <c r="I68" i="36" s="1"/>
  <c r="G67" i="36"/>
  <c r="E67" i="36"/>
  <c r="H67" i="36"/>
  <c r="G66" i="36"/>
  <c r="E66" i="36"/>
  <c r="H66" i="36" s="1"/>
  <c r="F65" i="36"/>
  <c r="D65" i="36"/>
  <c r="C65" i="36"/>
  <c r="E65" i="36" s="1"/>
  <c r="E64" i="36"/>
  <c r="F63" i="36"/>
  <c r="D63" i="36"/>
  <c r="C63" i="36"/>
  <c r="E63" i="36" s="1"/>
  <c r="G62" i="36"/>
  <c r="E62" i="36"/>
  <c r="I62" i="36" s="1"/>
  <c r="H62" i="36"/>
  <c r="G61" i="36"/>
  <c r="E61" i="36"/>
  <c r="I61" i="36" s="1"/>
  <c r="H61" i="36"/>
  <c r="F60" i="36"/>
  <c r="G60" i="36" s="1"/>
  <c r="D60" i="36"/>
  <c r="C60" i="36"/>
  <c r="E60" i="36" s="1"/>
  <c r="G59" i="36"/>
  <c r="E59" i="36"/>
  <c r="I59" i="36"/>
  <c r="G58" i="36"/>
  <c r="E58" i="36"/>
  <c r="H58" i="36" s="1"/>
  <c r="F57" i="36"/>
  <c r="D57" i="36"/>
  <c r="C57" i="36"/>
  <c r="E57" i="36" s="1"/>
  <c r="G56" i="36"/>
  <c r="E56" i="36"/>
  <c r="I56" i="36" s="1"/>
  <c r="H56" i="36"/>
  <c r="F55" i="36"/>
  <c r="G55" i="36" s="1"/>
  <c r="E55" i="36"/>
  <c r="G54" i="36"/>
  <c r="E54" i="36"/>
  <c r="H54" i="36" s="1"/>
  <c r="I53" i="36"/>
  <c r="H53" i="36"/>
  <c r="G53" i="36"/>
  <c r="G52" i="36"/>
  <c r="E52" i="36"/>
  <c r="I52" i="36" s="1"/>
  <c r="H52" i="36"/>
  <c r="F51" i="36"/>
  <c r="G51" i="36" s="1"/>
  <c r="D51" i="36"/>
  <c r="C51" i="36"/>
  <c r="E51" i="36" s="1"/>
  <c r="G50" i="36"/>
  <c r="E50" i="36"/>
  <c r="I50" i="36"/>
  <c r="G49" i="36"/>
  <c r="E49" i="36"/>
  <c r="H49" i="36" s="1"/>
  <c r="G48" i="36"/>
  <c r="E48" i="36"/>
  <c r="H48" i="36"/>
  <c r="F47" i="36"/>
  <c r="D47" i="36"/>
  <c r="E47" i="36" s="1"/>
  <c r="C47" i="36"/>
  <c r="I46" i="36"/>
  <c r="G46" i="36"/>
  <c r="E46" i="36"/>
  <c r="H46" i="36" s="1"/>
  <c r="I45" i="36"/>
  <c r="G45" i="36"/>
  <c r="E45" i="36"/>
  <c r="H45" i="36" s="1"/>
  <c r="I44" i="36"/>
  <c r="G44" i="36"/>
  <c r="E44" i="36"/>
  <c r="H44" i="36" s="1"/>
  <c r="I43" i="36"/>
  <c r="G43" i="36"/>
  <c r="E43" i="36"/>
  <c r="H43" i="36" s="1"/>
  <c r="I42" i="36"/>
  <c r="G42" i="36"/>
  <c r="E42" i="36"/>
  <c r="H42" i="36" s="1"/>
  <c r="I41" i="36"/>
  <c r="G41" i="36"/>
  <c r="E41" i="36"/>
  <c r="H41" i="36" s="1"/>
  <c r="G40" i="36"/>
  <c r="F40" i="36"/>
  <c r="F39" i="36" s="1"/>
  <c r="D40" i="36"/>
  <c r="C40" i="36"/>
  <c r="C39" i="36"/>
  <c r="E39" i="36" s="1"/>
  <c r="H39" i="36" s="1"/>
  <c r="D39" i="36"/>
  <c r="G38" i="36"/>
  <c r="E38" i="36"/>
  <c r="G37" i="36"/>
  <c r="F37" i="36"/>
  <c r="D37" i="36"/>
  <c r="C37" i="36"/>
  <c r="E37" i="36"/>
  <c r="H36" i="36"/>
  <c r="E36" i="36"/>
  <c r="I36" i="36" s="1"/>
  <c r="E35" i="36"/>
  <c r="H35" i="36" s="1"/>
  <c r="H34" i="36"/>
  <c r="E34" i="36"/>
  <c r="I34" i="36"/>
  <c r="E33" i="36"/>
  <c r="I33" i="36" s="1"/>
  <c r="E32" i="36"/>
  <c r="H32" i="36" s="1"/>
  <c r="E31" i="36"/>
  <c r="H31" i="36" s="1"/>
  <c r="H30" i="36"/>
  <c r="E30" i="36"/>
  <c r="I30" i="36" s="1"/>
  <c r="E29" i="36"/>
  <c r="H29" i="36"/>
  <c r="I28" i="36"/>
  <c r="H28" i="36"/>
  <c r="D28" i="36"/>
  <c r="E27" i="36"/>
  <c r="I27" i="36" s="1"/>
  <c r="F26" i="36"/>
  <c r="D26" i="36"/>
  <c r="C26" i="36"/>
  <c r="E26" i="36" s="1"/>
  <c r="E25" i="36"/>
  <c r="H25" i="36"/>
  <c r="H24" i="36"/>
  <c r="E24" i="36"/>
  <c r="I24" i="36" s="1"/>
  <c r="E23" i="36"/>
  <c r="I23" i="36" s="1"/>
  <c r="H22" i="36"/>
  <c r="E22" i="36"/>
  <c r="I22" i="36"/>
  <c r="E21" i="36"/>
  <c r="H21" i="36" s="1"/>
  <c r="E20" i="36"/>
  <c r="H20" i="36" s="1"/>
  <c r="G19" i="36"/>
  <c r="F19" i="36"/>
  <c r="D19" i="36"/>
  <c r="C19" i="36"/>
  <c r="E19" i="36" s="1"/>
  <c r="E18" i="36"/>
  <c r="H18" i="36" s="1"/>
  <c r="G17" i="36"/>
  <c r="F17" i="36"/>
  <c r="D17" i="36"/>
  <c r="C17" i="36"/>
  <c r="E17" i="36" s="1"/>
  <c r="G16" i="36"/>
  <c r="E16" i="36"/>
  <c r="H16" i="36" s="1"/>
  <c r="G15" i="36"/>
  <c r="E15" i="36"/>
  <c r="H15" i="36"/>
  <c r="G14" i="36"/>
  <c r="E14" i="36"/>
  <c r="I14" i="36" s="1"/>
  <c r="G13" i="36"/>
  <c r="E13" i="36"/>
  <c r="I13" i="36" s="1"/>
  <c r="G12" i="36"/>
  <c r="E12" i="36"/>
  <c r="H12" i="36"/>
  <c r="F11" i="36"/>
  <c r="D11" i="36"/>
  <c r="D10" i="36" s="1"/>
  <c r="C11" i="36"/>
  <c r="C10" i="36" s="1"/>
  <c r="E10" i="36" s="1"/>
  <c r="I37" i="36"/>
  <c r="H37" i="36"/>
  <c r="I99" i="36"/>
  <c r="H99" i="36"/>
  <c r="I156" i="36"/>
  <c r="H156" i="36"/>
  <c r="I133" i="36"/>
  <c r="H13" i="36"/>
  <c r="H14" i="36"/>
  <c r="I21" i="36"/>
  <c r="I25" i="36"/>
  <c r="I29" i="36"/>
  <c r="I31" i="36"/>
  <c r="I35" i="36"/>
  <c r="E40" i="36"/>
  <c r="H50" i="36"/>
  <c r="I55" i="36"/>
  <c r="H59" i="36"/>
  <c r="H68" i="36"/>
  <c r="H69" i="36"/>
  <c r="H70" i="36"/>
  <c r="H74" i="36"/>
  <c r="H77" i="36"/>
  <c r="H79" i="36"/>
  <c r="F10" i="36"/>
  <c r="G11" i="36"/>
  <c r="I12" i="36"/>
  <c r="I15" i="36"/>
  <c r="I16" i="36"/>
  <c r="H23" i="36"/>
  <c r="G26" i="36"/>
  <c r="H27" i="36"/>
  <c r="H33" i="36"/>
  <c r="G47" i="36"/>
  <c r="I48" i="36"/>
  <c r="I49" i="36"/>
  <c r="I54" i="36"/>
  <c r="G57" i="36"/>
  <c r="I58" i="36"/>
  <c r="G63" i="36"/>
  <c r="G65" i="36"/>
  <c r="I66" i="36"/>
  <c r="I67" i="36"/>
  <c r="F71" i="36"/>
  <c r="G72" i="36"/>
  <c r="I73" i="36"/>
  <c r="I75" i="36"/>
  <c r="I76" i="36"/>
  <c r="I78" i="36"/>
  <c r="G85" i="36"/>
  <c r="I88" i="36"/>
  <c r="I89" i="36"/>
  <c r="I91" i="36"/>
  <c r="I92" i="36"/>
  <c r="I93" i="36"/>
  <c r="I97" i="36"/>
  <c r="I98" i="36"/>
  <c r="G107" i="36"/>
  <c r="I108" i="36"/>
  <c r="G115" i="36"/>
  <c r="I116" i="36"/>
  <c r="I117" i="36"/>
  <c r="H118" i="36"/>
  <c r="C122" i="36"/>
  <c r="G127" i="36"/>
  <c r="I128" i="36"/>
  <c r="F132" i="36"/>
  <c r="F169" i="36" s="1"/>
  <c r="G133" i="36"/>
  <c r="I134" i="36"/>
  <c r="H140" i="36"/>
  <c r="I144" i="36"/>
  <c r="G148" i="36"/>
  <c r="I149" i="36"/>
  <c r="I150" i="36"/>
  <c r="I151" i="36"/>
  <c r="I152" i="36"/>
  <c r="I153" i="36"/>
  <c r="I154" i="36"/>
  <c r="I155" i="36"/>
  <c r="G165" i="36"/>
  <c r="I168" i="36"/>
  <c r="G71" i="36"/>
  <c r="G10" i="36"/>
  <c r="H40" i="36"/>
  <c r="I40" i="36"/>
  <c r="G132" i="36"/>
  <c r="F8" i="3"/>
  <c r="G46" i="34"/>
  <c r="F46" i="34"/>
  <c r="G45" i="34"/>
  <c r="F45" i="34"/>
  <c r="D46" i="34"/>
  <c r="C46" i="34"/>
  <c r="D45" i="34"/>
  <c r="C45" i="34"/>
  <c r="D23" i="6"/>
  <c r="C23" i="6"/>
  <c r="C22" i="6"/>
  <c r="E12" i="6"/>
  <c r="D12" i="6"/>
  <c r="C12" i="6"/>
  <c r="E11" i="6"/>
  <c r="D11" i="6"/>
  <c r="C11" i="6"/>
  <c r="E9" i="2"/>
  <c r="B24" i="2"/>
  <c r="B23" i="2"/>
  <c r="B10" i="2"/>
  <c r="B9" i="2"/>
  <c r="E23" i="45"/>
  <c r="E22" i="43" s="1"/>
  <c r="F22" i="43" s="1"/>
  <c r="B73" i="35"/>
  <c r="B69" i="35"/>
  <c r="B61" i="35"/>
  <c r="B57" i="35"/>
  <c r="B47" i="35"/>
  <c r="B37" i="35"/>
  <c r="B27" i="35"/>
  <c r="B17" i="35"/>
  <c r="B9" i="35"/>
  <c r="C73" i="35"/>
  <c r="C81" i="35" s="1"/>
  <c r="C69" i="35"/>
  <c r="C61" i="35"/>
  <c r="C57" i="35"/>
  <c r="C47" i="35"/>
  <c r="C37" i="35"/>
  <c r="C27" i="35"/>
  <c r="C17" i="35"/>
  <c r="C9" i="35"/>
  <c r="E73" i="35"/>
  <c r="E69" i="35"/>
  <c r="E61" i="35"/>
  <c r="E57" i="35"/>
  <c r="E47" i="35"/>
  <c r="E37" i="35"/>
  <c r="E27" i="35"/>
  <c r="E17" i="35"/>
  <c r="E9" i="35"/>
  <c r="F73" i="35"/>
  <c r="F69" i="35"/>
  <c r="F61" i="35"/>
  <c r="F57" i="35"/>
  <c r="F47" i="35"/>
  <c r="F37" i="35"/>
  <c r="F27" i="35"/>
  <c r="F17" i="35"/>
  <c r="F9" i="35"/>
  <c r="E32" i="38"/>
  <c r="D13" i="38"/>
  <c r="G13" i="38"/>
  <c r="D11" i="38"/>
  <c r="G11" i="38"/>
  <c r="F13" i="34"/>
  <c r="F24" i="34" s="1"/>
  <c r="D6" i="21" s="1"/>
  <c r="F16" i="34"/>
  <c r="F33" i="34"/>
  <c r="F36" i="34"/>
  <c r="F29" i="34"/>
  <c r="F51" i="34" s="1"/>
  <c r="F42" i="34"/>
  <c r="F48" i="34"/>
  <c r="D39" i="42"/>
  <c r="D38" i="42"/>
  <c r="D37" i="42"/>
  <c r="C10" i="24"/>
  <c r="C30" i="24"/>
  <c r="G35" i="49"/>
  <c r="X34" i="49"/>
  <c r="K34" i="49"/>
  <c r="Y34" i="49"/>
  <c r="X33" i="49"/>
  <c r="K33" i="49"/>
  <c r="Y33" i="49"/>
  <c r="K32" i="49"/>
  <c r="Y32" i="49"/>
  <c r="X32" i="49"/>
  <c r="K31" i="49"/>
  <c r="Y31" i="49" s="1"/>
  <c r="X31" i="49"/>
  <c r="X30" i="49"/>
  <c r="K30" i="49"/>
  <c r="Y30" i="49" s="1"/>
  <c r="X29" i="49"/>
  <c r="K29" i="49"/>
  <c r="Y29" i="49"/>
  <c r="K28" i="49"/>
  <c r="Y28" i="49"/>
  <c r="X28" i="49"/>
  <c r="K27" i="49"/>
  <c r="Y27" i="49" s="1"/>
  <c r="X27" i="49"/>
  <c r="X26" i="49"/>
  <c r="K26" i="49"/>
  <c r="Y26" i="49" s="1"/>
  <c r="X25" i="49"/>
  <c r="K25" i="49"/>
  <c r="Y25" i="49"/>
  <c r="K24" i="49"/>
  <c r="Y24" i="49"/>
  <c r="X24" i="49"/>
  <c r="K23" i="49"/>
  <c r="Y23" i="49" s="1"/>
  <c r="X23" i="49"/>
  <c r="X22" i="49"/>
  <c r="K22" i="49"/>
  <c r="Y22" i="49" s="1"/>
  <c r="X21" i="49"/>
  <c r="K21" i="49"/>
  <c r="Y21" i="49"/>
  <c r="K20" i="49"/>
  <c r="Y20" i="49"/>
  <c r="X20" i="49"/>
  <c r="K19" i="49"/>
  <c r="Y19" i="49" s="1"/>
  <c r="X19" i="49"/>
  <c r="X18" i="49"/>
  <c r="K18" i="49"/>
  <c r="Y18" i="49" s="1"/>
  <c r="X17" i="49"/>
  <c r="K17" i="49"/>
  <c r="Y17" i="49"/>
  <c r="K16" i="49"/>
  <c r="Y16" i="49"/>
  <c r="X16" i="49"/>
  <c r="K15" i="49"/>
  <c r="Y15" i="49" s="1"/>
  <c r="X15" i="49"/>
  <c r="X14" i="49"/>
  <c r="K14" i="49"/>
  <c r="Y14" i="49" s="1"/>
  <c r="X13" i="49"/>
  <c r="K13" i="49"/>
  <c r="Y13" i="49"/>
  <c r="K12" i="49"/>
  <c r="Y12" i="49"/>
  <c r="X12" i="49"/>
  <c r="K11" i="49"/>
  <c r="Y11" i="49" s="1"/>
  <c r="X11" i="49"/>
  <c r="X10" i="49"/>
  <c r="K10" i="49"/>
  <c r="Y10" i="49" s="1"/>
  <c r="X9" i="49"/>
  <c r="K9" i="49"/>
  <c r="Y9" i="49"/>
  <c r="K8" i="49"/>
  <c r="Y8" i="49"/>
  <c r="X8" i="49"/>
  <c r="K7" i="49"/>
  <c r="Y7" i="49" s="1"/>
  <c r="X7" i="49"/>
  <c r="X6" i="49"/>
  <c r="K6" i="49"/>
  <c r="Y6" i="49" s="1"/>
  <c r="X5" i="49"/>
  <c r="K5" i="49"/>
  <c r="Y5" i="49"/>
  <c r="D14" i="38"/>
  <c r="G14" i="38"/>
  <c r="B32" i="38"/>
  <c r="F15" i="37"/>
  <c r="E15" i="37"/>
  <c r="C15" i="37"/>
  <c r="H16" i="37" s="1"/>
  <c r="C28" i="3"/>
  <c r="C15" i="3"/>
  <c r="C21" i="3"/>
  <c r="F10" i="43"/>
  <c r="F20" i="43"/>
  <c r="F45" i="43" s="1"/>
  <c r="H49" i="43" s="1"/>
  <c r="F29" i="43"/>
  <c r="F40" i="43"/>
  <c r="E10" i="43"/>
  <c r="E20" i="43"/>
  <c r="E45" i="43"/>
  <c r="E29" i="43"/>
  <c r="E40" i="43"/>
  <c r="C10" i="43"/>
  <c r="C29" i="43"/>
  <c r="C40" i="43"/>
  <c r="D80" i="35"/>
  <c r="C19" i="6"/>
  <c r="D19" i="6"/>
  <c r="E19" i="6"/>
  <c r="F19" i="6"/>
  <c r="H19" i="6" s="1"/>
  <c r="B31" i="2"/>
  <c r="D61" i="1"/>
  <c r="C61" i="1"/>
  <c r="C64" i="1" s="1"/>
  <c r="C66" i="1" s="1"/>
  <c r="E66" i="1" s="1"/>
  <c r="D54" i="1"/>
  <c r="D48" i="1"/>
  <c r="D34" i="1"/>
  <c r="D30" i="1"/>
  <c r="D44" i="1"/>
  <c r="C54" i="1"/>
  <c r="C48" i="1"/>
  <c r="C34" i="1"/>
  <c r="C30" i="1"/>
  <c r="C44" i="1"/>
  <c r="D20" i="1"/>
  <c r="D17" i="1"/>
  <c r="D8" i="1"/>
  <c r="C20" i="1"/>
  <c r="C27" i="1"/>
  <c r="C17" i="1"/>
  <c r="C8" i="1"/>
  <c r="F12" i="3"/>
  <c r="F13" i="3"/>
  <c r="F11" i="3"/>
  <c r="D10" i="3"/>
  <c r="D13" i="42"/>
  <c r="D12" i="42"/>
  <c r="D22" i="42"/>
  <c r="G22" i="42" s="1"/>
  <c r="D21" i="42"/>
  <c r="D20" i="42"/>
  <c r="G20" i="42" s="1"/>
  <c r="G14" i="42" s="1"/>
  <c r="D19" i="42"/>
  <c r="D18" i="42"/>
  <c r="D17" i="42"/>
  <c r="D16" i="42"/>
  <c r="D15" i="42"/>
  <c r="D26" i="42"/>
  <c r="D25" i="42"/>
  <c r="D24" i="42"/>
  <c r="D29" i="42"/>
  <c r="D28" i="42"/>
  <c r="D36" i="42"/>
  <c r="D33" i="42"/>
  <c r="G33" i="42" s="1"/>
  <c r="D32" i="42"/>
  <c r="D31" i="42"/>
  <c r="D34" i="42"/>
  <c r="F35" i="42"/>
  <c r="E35" i="42"/>
  <c r="C35" i="42"/>
  <c r="B35" i="42"/>
  <c r="F30" i="42"/>
  <c r="E30" i="42"/>
  <c r="C30" i="42"/>
  <c r="B30" i="42"/>
  <c r="F27" i="42"/>
  <c r="E27" i="42"/>
  <c r="C27" i="42"/>
  <c r="B27" i="42"/>
  <c r="F23" i="42"/>
  <c r="E23" i="42"/>
  <c r="C23" i="42"/>
  <c r="B23" i="42"/>
  <c r="F14" i="42"/>
  <c r="E14" i="42"/>
  <c r="C14" i="42"/>
  <c r="B14" i="42"/>
  <c r="E11" i="21"/>
  <c r="E12" i="21"/>
  <c r="E13" i="21"/>
  <c r="E10" i="21"/>
  <c r="D31" i="24"/>
  <c r="D9" i="20"/>
  <c r="D12" i="20"/>
  <c r="D15" i="20" s="1"/>
  <c r="D19" i="20" s="1"/>
  <c r="D21" i="20" s="1"/>
  <c r="E9" i="20"/>
  <c r="E12" i="20"/>
  <c r="E15" i="20"/>
  <c r="E19" i="20" s="1"/>
  <c r="E21" i="20" s="1"/>
  <c r="G13" i="34"/>
  <c r="G24" i="34" s="1"/>
  <c r="G16" i="34"/>
  <c r="D16" i="34"/>
  <c r="D13" i="34"/>
  <c r="C16" i="34"/>
  <c r="C13" i="34"/>
  <c r="G36" i="34"/>
  <c r="G33" i="34"/>
  <c r="C36" i="34"/>
  <c r="D36" i="34"/>
  <c r="C33" i="34"/>
  <c r="D33" i="34"/>
  <c r="E65" i="23"/>
  <c r="C24" i="34"/>
  <c r="D24" i="34"/>
  <c r="D56" i="23"/>
  <c r="C56" i="23"/>
  <c r="F16" i="3"/>
  <c r="E31" i="33"/>
  <c r="E30" i="33"/>
  <c r="E29" i="33"/>
  <c r="E28" i="33"/>
  <c r="E27" i="33"/>
  <c r="E26" i="33"/>
  <c r="E25" i="33"/>
  <c r="E24" i="33"/>
  <c r="E23" i="33"/>
  <c r="E22" i="33"/>
  <c r="E11" i="33"/>
  <c r="E12" i="33"/>
  <c r="E13" i="33"/>
  <c r="E14" i="33"/>
  <c r="E15" i="33"/>
  <c r="E16" i="33"/>
  <c r="E17" i="33"/>
  <c r="E18" i="33"/>
  <c r="E19" i="33"/>
  <c r="E10" i="33"/>
  <c r="D32" i="33"/>
  <c r="C32" i="33"/>
  <c r="E32" i="33"/>
  <c r="D20" i="33"/>
  <c r="D33" i="33"/>
  <c r="C20" i="33"/>
  <c r="C33" i="33"/>
  <c r="E27" i="20"/>
  <c r="D27" i="20"/>
  <c r="C27" i="20"/>
  <c r="C12" i="20"/>
  <c r="C15" i="20" s="1"/>
  <c r="C19" i="20" s="1"/>
  <c r="C21" i="20" s="1"/>
  <c r="C9" i="20"/>
  <c r="G29" i="42"/>
  <c r="G34" i="42"/>
  <c r="G36" i="42"/>
  <c r="G35" i="42"/>
  <c r="G38" i="42"/>
  <c r="G26" i="42"/>
  <c r="G25" i="42"/>
  <c r="G18" i="42"/>
  <c r="G21" i="42"/>
  <c r="G16" i="42"/>
  <c r="D35" i="42"/>
  <c r="D32" i="19"/>
  <c r="D33" i="19" s="1"/>
  <c r="C32" i="19"/>
  <c r="D20" i="19"/>
  <c r="C20" i="19"/>
  <c r="C33" i="19" s="1"/>
  <c r="E30" i="16"/>
  <c r="E29" i="16"/>
  <c r="E28" i="16"/>
  <c r="E27" i="16"/>
  <c r="E26" i="16"/>
  <c r="E25" i="16"/>
  <c r="E24" i="16"/>
  <c r="E23" i="16"/>
  <c r="E31" i="16" s="1"/>
  <c r="E22" i="16"/>
  <c r="E21" i="16"/>
  <c r="E10" i="16"/>
  <c r="E11" i="16"/>
  <c r="E12" i="16"/>
  <c r="E13" i="16"/>
  <c r="E14" i="16"/>
  <c r="E15" i="16"/>
  <c r="E16" i="16"/>
  <c r="E17" i="16"/>
  <c r="E18" i="16"/>
  <c r="E9" i="16"/>
  <c r="E19" i="16" s="1"/>
  <c r="E32" i="16" s="1"/>
  <c r="D31" i="16"/>
  <c r="C31" i="16"/>
  <c r="D19" i="16"/>
  <c r="C19" i="16"/>
  <c r="C32" i="16" s="1"/>
  <c r="G32" i="42"/>
  <c r="D14" i="42"/>
  <c r="D27" i="42"/>
  <c r="D32" i="16"/>
  <c r="D23" i="42"/>
  <c r="G13" i="42"/>
  <c r="G17" i="42"/>
  <c r="G19" i="42"/>
  <c r="G37" i="42"/>
  <c r="D30" i="42"/>
  <c r="G12" i="42"/>
  <c r="G28" i="42"/>
  <c r="G27" i="42" s="1"/>
  <c r="G15" i="42"/>
  <c r="G24" i="42"/>
  <c r="G23" i="42"/>
  <c r="G39" i="42"/>
  <c r="G31" i="42"/>
  <c r="G30" i="42" s="1"/>
  <c r="E20" i="33"/>
  <c r="E33" i="33" s="1"/>
  <c r="B40" i="43"/>
  <c r="B29" i="43"/>
  <c r="D29" i="43" s="1"/>
  <c r="G29" i="43" s="1"/>
  <c r="B10" i="43"/>
  <c r="D11" i="43"/>
  <c r="G11" i="43" s="1"/>
  <c r="D12" i="43"/>
  <c r="G12" i="43" s="1"/>
  <c r="D13" i="43"/>
  <c r="G13" i="43" s="1"/>
  <c r="D14" i="43"/>
  <c r="G14" i="43" s="1"/>
  <c r="D15" i="43"/>
  <c r="G15" i="43" s="1"/>
  <c r="D16" i="43"/>
  <c r="G16" i="43" s="1"/>
  <c r="D17" i="43"/>
  <c r="G17" i="43" s="1"/>
  <c r="D18" i="43"/>
  <c r="G18" i="43" s="1"/>
  <c r="D19" i="43"/>
  <c r="G19" i="43"/>
  <c r="D21" i="43"/>
  <c r="G21" i="43"/>
  <c r="D23" i="43"/>
  <c r="G23" i="43" s="1"/>
  <c r="D24" i="43"/>
  <c r="G24" i="43" s="1"/>
  <c r="D25" i="43"/>
  <c r="G25" i="43" s="1"/>
  <c r="D26" i="43"/>
  <c r="G26" i="43" s="1"/>
  <c r="D27" i="43"/>
  <c r="G27" i="43" s="1"/>
  <c r="D28" i="43"/>
  <c r="G28" i="43"/>
  <c r="D30" i="43"/>
  <c r="G30" i="43" s="1"/>
  <c r="D31" i="43"/>
  <c r="G31" i="43" s="1"/>
  <c r="D32" i="43"/>
  <c r="G32" i="43" s="1"/>
  <c r="D33" i="43"/>
  <c r="G33" i="43" s="1"/>
  <c r="D34" i="43"/>
  <c r="G34" i="43" s="1"/>
  <c r="D35" i="43"/>
  <c r="G35" i="43" s="1"/>
  <c r="D36" i="43"/>
  <c r="G36" i="43" s="1"/>
  <c r="D37" i="43"/>
  <c r="G37" i="43" s="1"/>
  <c r="D38" i="43"/>
  <c r="G38" i="43" s="1"/>
  <c r="D39" i="43"/>
  <c r="G39" i="43"/>
  <c r="D40" i="43"/>
  <c r="D41" i="43"/>
  <c r="D42" i="43"/>
  <c r="G42" i="43" s="1"/>
  <c r="D43" i="43"/>
  <c r="G43" i="43" s="1"/>
  <c r="D44" i="43"/>
  <c r="G44" i="43" s="1"/>
  <c r="G11" i="45"/>
  <c r="G13" i="45"/>
  <c r="G15" i="45"/>
  <c r="G17" i="45"/>
  <c r="G19" i="45"/>
  <c r="G21" i="45"/>
  <c r="D11" i="45"/>
  <c r="D12" i="45"/>
  <c r="G12" i="45"/>
  <c r="D13" i="45"/>
  <c r="D14" i="45"/>
  <c r="G14" i="45" s="1"/>
  <c r="D15" i="45"/>
  <c r="D16" i="45"/>
  <c r="G16" i="45"/>
  <c r="D17" i="45"/>
  <c r="D18" i="45"/>
  <c r="G18" i="45" s="1"/>
  <c r="D19" i="45"/>
  <c r="D20" i="45"/>
  <c r="G20" i="45"/>
  <c r="D21" i="45"/>
  <c r="D22" i="45"/>
  <c r="G22" i="45" s="1"/>
  <c r="D10" i="45"/>
  <c r="F15" i="44"/>
  <c r="E15" i="44"/>
  <c r="C15" i="44"/>
  <c r="C10" i="45" s="1"/>
  <c r="C23" i="45" s="1"/>
  <c r="H16" i="44"/>
  <c r="B15" i="44"/>
  <c r="B10" i="45" s="1"/>
  <c r="B23" i="45" s="1"/>
  <c r="D11" i="44"/>
  <c r="G11" i="44" s="1"/>
  <c r="D12" i="44"/>
  <c r="G12" i="44" s="1"/>
  <c r="D13" i="44"/>
  <c r="G13" i="44" s="1"/>
  <c r="D10" i="44"/>
  <c r="D31" i="38"/>
  <c r="C32" i="38"/>
  <c r="H33" i="38" s="1"/>
  <c r="G21" i="38"/>
  <c r="G22" i="38"/>
  <c r="G23" i="38"/>
  <c r="G24" i="38"/>
  <c r="G25" i="38"/>
  <c r="G26" i="38"/>
  <c r="G27" i="38"/>
  <c r="G28" i="38"/>
  <c r="G29" i="38"/>
  <c r="G30" i="38"/>
  <c r="G31" i="38"/>
  <c r="D10" i="38"/>
  <c r="G10" i="38"/>
  <c r="D12" i="38"/>
  <c r="D15" i="38"/>
  <c r="G15" i="38"/>
  <c r="D16" i="38"/>
  <c r="G16" i="38"/>
  <c r="D21" i="38"/>
  <c r="D22" i="38"/>
  <c r="D23" i="38"/>
  <c r="D24" i="38"/>
  <c r="D25" i="38"/>
  <c r="D26" i="38"/>
  <c r="D27" i="38"/>
  <c r="D28" i="38"/>
  <c r="D29" i="38"/>
  <c r="D30" i="38"/>
  <c r="D9" i="38"/>
  <c r="D10" i="35"/>
  <c r="G10" i="35"/>
  <c r="D11" i="35"/>
  <c r="G11" i="35"/>
  <c r="D12" i="35"/>
  <c r="G12" i="35"/>
  <c r="D13" i="35"/>
  <c r="G13" i="35"/>
  <c r="D14" i="35"/>
  <c r="G14" i="35"/>
  <c r="D15" i="35"/>
  <c r="G15" i="35"/>
  <c r="D16" i="35"/>
  <c r="G16" i="35"/>
  <c r="D18" i="35"/>
  <c r="G18" i="35"/>
  <c r="D19" i="35"/>
  <c r="G19" i="35"/>
  <c r="D20" i="35"/>
  <c r="G20" i="35"/>
  <c r="D21" i="35"/>
  <c r="G21" i="35"/>
  <c r="D22" i="35"/>
  <c r="G22" i="35"/>
  <c r="D23" i="35"/>
  <c r="G23" i="35"/>
  <c r="D24" i="35"/>
  <c r="G24" i="35"/>
  <c r="D25" i="35"/>
  <c r="G25" i="35"/>
  <c r="D26" i="35"/>
  <c r="G26" i="35"/>
  <c r="D28" i="35"/>
  <c r="G28" i="35"/>
  <c r="D29" i="35"/>
  <c r="G29" i="35"/>
  <c r="D30" i="35"/>
  <c r="G30" i="35"/>
  <c r="D31" i="35"/>
  <c r="G31" i="35"/>
  <c r="D32" i="35"/>
  <c r="G32" i="35"/>
  <c r="D33" i="35"/>
  <c r="G33" i="35"/>
  <c r="D34" i="35"/>
  <c r="G34" i="35"/>
  <c r="D35" i="35"/>
  <c r="G35" i="35"/>
  <c r="D36" i="35"/>
  <c r="G36" i="35"/>
  <c r="D38" i="35"/>
  <c r="G38" i="35"/>
  <c r="D39" i="35"/>
  <c r="G39" i="35"/>
  <c r="D40" i="35"/>
  <c r="G40" i="35"/>
  <c r="D41" i="35"/>
  <c r="G41" i="35"/>
  <c r="D42" i="35"/>
  <c r="G42" i="35"/>
  <c r="D43" i="35"/>
  <c r="G43" i="35"/>
  <c r="D44" i="35"/>
  <c r="G44" i="35"/>
  <c r="D45" i="35"/>
  <c r="G45" i="35"/>
  <c r="D46" i="35"/>
  <c r="G46" i="35"/>
  <c r="D48" i="35"/>
  <c r="G48" i="35"/>
  <c r="D49" i="35"/>
  <c r="G49" i="35"/>
  <c r="D50" i="35"/>
  <c r="G50" i="35"/>
  <c r="D51" i="35"/>
  <c r="G51" i="35"/>
  <c r="D52" i="35"/>
  <c r="G52" i="35"/>
  <c r="D53" i="35"/>
  <c r="G53" i="35"/>
  <c r="D54" i="35"/>
  <c r="G54" i="35"/>
  <c r="D55" i="35"/>
  <c r="G55" i="35"/>
  <c r="D56" i="35"/>
  <c r="G56" i="35"/>
  <c r="D58" i="35"/>
  <c r="G58" i="35"/>
  <c r="D59" i="35"/>
  <c r="G59" i="35"/>
  <c r="D60" i="35"/>
  <c r="G60" i="35"/>
  <c r="D62" i="35"/>
  <c r="G62" i="35"/>
  <c r="D63" i="35"/>
  <c r="G63" i="35"/>
  <c r="D64" i="35"/>
  <c r="G64" i="35"/>
  <c r="D65" i="35"/>
  <c r="G65" i="35"/>
  <c r="D66" i="35"/>
  <c r="G66" i="35"/>
  <c r="D67" i="35"/>
  <c r="G67" i="35"/>
  <c r="D68" i="35"/>
  <c r="G68" i="35"/>
  <c r="D70" i="35"/>
  <c r="G70" i="35"/>
  <c r="D71" i="35"/>
  <c r="G71" i="35"/>
  <c r="D72" i="35"/>
  <c r="G72" i="35"/>
  <c r="D74" i="35"/>
  <c r="G74" i="35"/>
  <c r="D75" i="35"/>
  <c r="G75" i="35"/>
  <c r="D76" i="35"/>
  <c r="G76" i="35"/>
  <c r="D77" i="35"/>
  <c r="G77" i="35"/>
  <c r="D78" i="35"/>
  <c r="G78" i="35"/>
  <c r="D79" i="35"/>
  <c r="G79" i="35"/>
  <c r="G80" i="35"/>
  <c r="D48" i="34"/>
  <c r="G48" i="34"/>
  <c r="C48" i="34"/>
  <c r="C51" i="34" s="1"/>
  <c r="F9" i="20" s="1"/>
  <c r="C42" i="34"/>
  <c r="D42" i="34"/>
  <c r="G42" i="34"/>
  <c r="D29" i="34"/>
  <c r="D51" i="34" s="1"/>
  <c r="C29" i="34"/>
  <c r="G29" i="34"/>
  <c r="H31" i="34"/>
  <c r="H32" i="34"/>
  <c r="H29" i="34" s="1"/>
  <c r="H34" i="34"/>
  <c r="H35" i="34"/>
  <c r="H37" i="34"/>
  <c r="H38" i="34"/>
  <c r="H39" i="34"/>
  <c r="H40" i="34"/>
  <c r="H43" i="34"/>
  <c r="H44" i="34"/>
  <c r="H42" i="34" s="1"/>
  <c r="H45" i="34"/>
  <c r="H46" i="34"/>
  <c r="H49" i="34"/>
  <c r="H48" i="34"/>
  <c r="E31" i="34"/>
  <c r="E32" i="34"/>
  <c r="E34" i="34"/>
  <c r="E35" i="34"/>
  <c r="E33" i="34" s="1"/>
  <c r="E37" i="34"/>
  <c r="E38" i="34"/>
  <c r="E36" i="34" s="1"/>
  <c r="E39" i="34"/>
  <c r="E40" i="34"/>
  <c r="E43" i="34"/>
  <c r="E44" i="34"/>
  <c r="E45" i="34"/>
  <c r="E46" i="34"/>
  <c r="E42" i="34" s="1"/>
  <c r="E49" i="34"/>
  <c r="E48" i="34"/>
  <c r="H30" i="34"/>
  <c r="E30" i="34"/>
  <c r="E29" i="34" s="1"/>
  <c r="E51" i="34" s="1"/>
  <c r="H10" i="34"/>
  <c r="H11" i="34"/>
  <c r="H12" i="34"/>
  <c r="H13" i="34"/>
  <c r="H14" i="34"/>
  <c r="H15" i="34"/>
  <c r="H16" i="34"/>
  <c r="H17" i="34"/>
  <c r="H18" i="34"/>
  <c r="H19" i="34"/>
  <c r="H20" i="34"/>
  <c r="H21" i="34"/>
  <c r="H22" i="34"/>
  <c r="H23" i="34"/>
  <c r="H9" i="34"/>
  <c r="E10" i="34"/>
  <c r="E11" i="34"/>
  <c r="E12" i="34"/>
  <c r="E13" i="34"/>
  <c r="E14" i="34"/>
  <c r="E15" i="34"/>
  <c r="E16" i="34"/>
  <c r="E17" i="34"/>
  <c r="E18" i="34"/>
  <c r="E19" i="34"/>
  <c r="E20" i="34"/>
  <c r="E21" i="34"/>
  <c r="E22" i="34"/>
  <c r="E23" i="34"/>
  <c r="E9" i="34"/>
  <c r="F27" i="6"/>
  <c r="G27" i="6" s="1"/>
  <c r="F28" i="6"/>
  <c r="G28" i="6" s="1"/>
  <c r="F26" i="6"/>
  <c r="G26" i="6" s="1"/>
  <c r="F25" i="6"/>
  <c r="G25" i="6" s="1"/>
  <c r="F24" i="6"/>
  <c r="G24" i="6" s="1"/>
  <c r="F23" i="6"/>
  <c r="G23" i="6" s="1"/>
  <c r="F22" i="6"/>
  <c r="G22" i="6" s="1"/>
  <c r="F21" i="6"/>
  <c r="G21" i="6" s="1"/>
  <c r="F20" i="6"/>
  <c r="G20" i="6" s="1"/>
  <c r="F12" i="6"/>
  <c r="G12" i="6" s="1"/>
  <c r="F13" i="6"/>
  <c r="G13" i="6" s="1"/>
  <c r="F14" i="6"/>
  <c r="G14" i="6" s="1"/>
  <c r="F15" i="6"/>
  <c r="G15" i="6" s="1"/>
  <c r="F16" i="6"/>
  <c r="G16" i="6" s="1"/>
  <c r="F17" i="6"/>
  <c r="G17" i="6" s="1"/>
  <c r="F11" i="6"/>
  <c r="G11" i="6" s="1"/>
  <c r="B18" i="2"/>
  <c r="B33" i="2" s="1"/>
  <c r="D47" i="35"/>
  <c r="G47" i="35"/>
  <c r="D10" i="43"/>
  <c r="G10" i="43"/>
  <c r="G40" i="43"/>
  <c r="H36" i="34"/>
  <c r="D57" i="35"/>
  <c r="G57" i="35" s="1"/>
  <c r="D27" i="35"/>
  <c r="G12" i="38"/>
  <c r="D32" i="38"/>
  <c r="G32" i="38" s="1"/>
  <c r="D37" i="35"/>
  <c r="G37" i="35" s="1"/>
  <c r="D69" i="35"/>
  <c r="G69" i="35" s="1"/>
  <c r="D9" i="35"/>
  <c r="G9" i="35" s="1"/>
  <c r="D17" i="35"/>
  <c r="G17" i="35" s="1"/>
  <c r="G9" i="38"/>
  <c r="D15" i="44"/>
  <c r="D61" i="35"/>
  <c r="G61" i="35" s="1"/>
  <c r="G41" i="43"/>
  <c r="G10" i="45"/>
  <c r="G10" i="44"/>
  <c r="G51" i="34"/>
  <c r="H52" i="34" s="1"/>
  <c r="H33" i="34"/>
  <c r="E24" i="34"/>
  <c r="G15" i="44"/>
  <c r="B15" i="37"/>
  <c r="D15" i="37" s="1"/>
  <c r="D13" i="37"/>
  <c r="D12" i="37"/>
  <c r="G12" i="37" s="1"/>
  <c r="D11" i="37"/>
  <c r="D10" i="37"/>
  <c r="D9" i="37"/>
  <c r="D9" i="21"/>
  <c r="D17" i="21"/>
  <c r="F29" i="7"/>
  <c r="F24" i="7"/>
  <c r="F35" i="7"/>
  <c r="E29" i="7"/>
  <c r="E24" i="7"/>
  <c r="F15" i="7"/>
  <c r="E15" i="7"/>
  <c r="F10" i="7"/>
  <c r="E10" i="7"/>
  <c r="E21" i="7" s="1"/>
  <c r="E10" i="6"/>
  <c r="E8" i="6" s="1"/>
  <c r="D10" i="6"/>
  <c r="C10" i="6"/>
  <c r="C8" i="6" s="1"/>
  <c r="F8" i="6" s="1"/>
  <c r="C60" i="5"/>
  <c r="B60" i="5"/>
  <c r="C53" i="5"/>
  <c r="B53" i="5"/>
  <c r="C48" i="5"/>
  <c r="B48" i="5"/>
  <c r="B47" i="5" s="1"/>
  <c r="C39" i="5"/>
  <c r="B39" i="5"/>
  <c r="C29" i="5"/>
  <c r="B29" i="5"/>
  <c r="B28" i="5" s="1"/>
  <c r="C17" i="5"/>
  <c r="B17" i="5"/>
  <c r="B7" i="5" s="1"/>
  <c r="C8" i="5"/>
  <c r="C7" i="5" s="1"/>
  <c r="B8" i="5"/>
  <c r="F21" i="7"/>
  <c r="F10" i="6"/>
  <c r="H10" i="6" s="1"/>
  <c r="D8" i="6"/>
  <c r="C47" i="5"/>
  <c r="G10" i="37"/>
  <c r="G11" i="37"/>
  <c r="C28" i="5"/>
  <c r="G13" i="37"/>
  <c r="G9" i="37"/>
  <c r="E35" i="7"/>
  <c r="F39" i="7"/>
  <c r="G10" i="6"/>
  <c r="G19" i="6"/>
  <c r="F32" i="3"/>
  <c r="F31" i="3"/>
  <c r="F30" i="3"/>
  <c r="F29" i="3"/>
  <c r="E28" i="3"/>
  <c r="E34" i="3" s="1"/>
  <c r="D28" i="3"/>
  <c r="B28" i="3"/>
  <c r="F26" i="3"/>
  <c r="F25" i="3"/>
  <c r="E23" i="3"/>
  <c r="D23" i="3"/>
  <c r="C23" i="3"/>
  <c r="F19" i="3"/>
  <c r="F15" i="3" s="1"/>
  <c r="F21" i="3" s="1"/>
  <c r="F18" i="3"/>
  <c r="F17" i="3"/>
  <c r="E15" i="3"/>
  <c r="D15" i="3"/>
  <c r="D21" i="3" s="1"/>
  <c r="D34" i="3" s="1"/>
  <c r="G43" i="3" s="1"/>
  <c r="B15" i="3"/>
  <c r="E10" i="3"/>
  <c r="C10" i="3"/>
  <c r="F10" i="3" s="1"/>
  <c r="B10" i="3"/>
  <c r="E21" i="3"/>
  <c r="B21" i="3"/>
  <c r="B34" i="3" s="1"/>
  <c r="D51" i="23"/>
  <c r="D61" i="23" s="1"/>
  <c r="C51" i="23"/>
  <c r="C61" i="23" s="1"/>
  <c r="D44" i="23"/>
  <c r="D48" i="23" s="1"/>
  <c r="C44" i="23"/>
  <c r="D40" i="23"/>
  <c r="C40" i="23"/>
  <c r="D20" i="23"/>
  <c r="C20" i="23"/>
  <c r="D8" i="23"/>
  <c r="C8" i="23"/>
  <c r="C37" i="23" s="1"/>
  <c r="C48" i="23"/>
  <c r="F20" i="20"/>
  <c r="F46" i="2"/>
  <c r="E46" i="2"/>
  <c r="F40" i="2"/>
  <c r="F50" i="2" s="1"/>
  <c r="E40" i="2"/>
  <c r="F36" i="2"/>
  <c r="E36" i="2"/>
  <c r="C31" i="2"/>
  <c r="C33" i="2" s="1"/>
  <c r="F31" i="2"/>
  <c r="E31" i="2"/>
  <c r="E33" i="2" s="1"/>
  <c r="E52" i="2" s="1"/>
  <c r="G52" i="2" s="1"/>
  <c r="F18" i="2"/>
  <c r="F33" i="2" s="1"/>
  <c r="E18" i="2"/>
  <c r="C18" i="2"/>
  <c r="F24" i="3"/>
  <c r="F23" i="3" s="1"/>
  <c r="B23" i="3"/>
  <c r="E50" i="2"/>
  <c r="G37" i="3"/>
  <c r="D73" i="35"/>
  <c r="G73" i="35"/>
  <c r="D64" i="1"/>
  <c r="D27" i="1"/>
  <c r="F81" i="35"/>
  <c r="G27" i="35"/>
  <c r="E81" i="35"/>
  <c r="B81" i="35"/>
  <c r="H32" i="38" s="1"/>
  <c r="H27" i="45"/>
  <c r="H36" i="38"/>
  <c r="H19" i="37"/>
  <c r="H19" i="44"/>
  <c r="H35" i="38"/>
  <c r="H48" i="43"/>
  <c r="H26" i="45"/>
  <c r="C7" i="24"/>
  <c r="D7" i="24" s="1"/>
  <c r="H18" i="37"/>
  <c r="H18" i="44"/>
  <c r="D81" i="35"/>
  <c r="G81" i="35" s="1"/>
  <c r="H23" i="45"/>
  <c r="F12" i="20"/>
  <c r="H15" i="37"/>
  <c r="H15" i="44"/>
  <c r="E6" i="21"/>
  <c r="D23" i="21"/>
  <c r="E23" i="21" s="1"/>
  <c r="C34" i="3"/>
  <c r="G44" i="3" s="1"/>
  <c r="D66" i="1"/>
  <c r="C39" i="24"/>
  <c r="D39" i="24" s="1"/>
  <c r="H17" i="44"/>
  <c r="H34" i="38"/>
  <c r="H20" i="44"/>
  <c r="H35" i="3" l="1"/>
  <c r="G8" i="6"/>
  <c r="H8" i="6"/>
  <c r="C63" i="23"/>
  <c r="C66" i="23" s="1"/>
  <c r="E66" i="23" s="1"/>
  <c r="E39" i="7"/>
  <c r="D37" i="23"/>
  <c r="D63" i="23" s="1"/>
  <c r="D66" i="23" s="1"/>
  <c r="F28" i="3"/>
  <c r="F34" i="3" s="1"/>
  <c r="G36" i="3" s="1"/>
  <c r="H25" i="34"/>
  <c r="H24" i="34"/>
  <c r="G53" i="2"/>
  <c r="F52" i="2"/>
  <c r="H37" i="38"/>
  <c r="G39" i="7"/>
  <c r="G15" i="37"/>
  <c r="H20" i="37" s="1"/>
  <c r="H17" i="37"/>
  <c r="H51" i="34"/>
  <c r="H26" i="36"/>
  <c r="I26" i="36"/>
  <c r="H47" i="36"/>
  <c r="I47" i="36"/>
  <c r="H94" i="36"/>
  <c r="I94" i="36"/>
  <c r="H109" i="36"/>
  <c r="I109" i="36"/>
  <c r="H122" i="36"/>
  <c r="I122" i="36"/>
  <c r="D169" i="36"/>
  <c r="C11" i="42" s="1"/>
  <c r="C10" i="42" s="1"/>
  <c r="C40" i="42" s="1"/>
  <c r="H41" i="42" s="1"/>
  <c r="I135" i="36"/>
  <c r="H135" i="36"/>
  <c r="B22" i="43"/>
  <c r="D23" i="45"/>
  <c r="H17" i="36"/>
  <c r="I17" i="36"/>
  <c r="H165" i="36"/>
  <c r="I165" i="36"/>
  <c r="I10" i="36"/>
  <c r="H10" i="36"/>
  <c r="I19" i="36"/>
  <c r="H19" i="36"/>
  <c r="H51" i="36"/>
  <c r="I51" i="36"/>
  <c r="I57" i="36"/>
  <c r="H57" i="36"/>
  <c r="H60" i="36"/>
  <c r="I60" i="36"/>
  <c r="H71" i="36"/>
  <c r="I71" i="36"/>
  <c r="I85" i="36"/>
  <c r="H85" i="36"/>
  <c r="I127" i="36"/>
  <c r="H127" i="36"/>
  <c r="H145" i="36"/>
  <c r="I145" i="36"/>
  <c r="H167" i="36"/>
  <c r="I167" i="36"/>
  <c r="C22" i="43"/>
  <c r="C20" i="43" s="1"/>
  <c r="C45" i="43" s="1"/>
  <c r="H46" i="43" s="1"/>
  <c r="H24" i="45"/>
  <c r="E11" i="42"/>
  <c r="I39" i="36"/>
  <c r="G39" i="36"/>
  <c r="G169" i="36" s="1"/>
  <c r="I63" i="36"/>
  <c r="H63" i="36"/>
  <c r="H65" i="36"/>
  <c r="I65" i="36"/>
  <c r="I80" i="36"/>
  <c r="H80" i="36"/>
  <c r="H107" i="36"/>
  <c r="I107" i="36"/>
  <c r="H115" i="36"/>
  <c r="I115" i="36"/>
  <c r="I123" i="36"/>
  <c r="H123" i="36"/>
  <c r="H148" i="36"/>
  <c r="I148" i="36"/>
  <c r="H55" i="36"/>
  <c r="I100" i="36"/>
  <c r="E11" i="36"/>
  <c r="I18" i="36"/>
  <c r="I20" i="36"/>
  <c r="I32" i="36"/>
  <c r="E72" i="36"/>
  <c r="C132" i="36"/>
  <c r="I143" i="36"/>
  <c r="I95" i="36"/>
  <c r="I119" i="36"/>
  <c r="I120" i="36"/>
  <c r="I121" i="36"/>
  <c r="E129" i="36"/>
  <c r="H129" i="36" l="1"/>
  <c r="I129" i="36"/>
  <c r="I72" i="36"/>
  <c r="H72" i="36"/>
  <c r="C169" i="36"/>
  <c r="E132" i="36"/>
  <c r="G23" i="45"/>
  <c r="H28" i="45" s="1"/>
  <c r="H25" i="45"/>
  <c r="I11" i="36"/>
  <c r="H11" i="36"/>
  <c r="F11" i="42"/>
  <c r="F10" i="42" s="1"/>
  <c r="F40" i="42" s="1"/>
  <c r="H44" i="42" s="1"/>
  <c r="E10" i="42"/>
  <c r="E40" i="42" s="1"/>
  <c r="H43" i="42" s="1"/>
  <c r="D22" i="43"/>
  <c r="G22" i="43" s="1"/>
  <c r="B20" i="43"/>
  <c r="G34" i="3"/>
  <c r="D20" i="43" l="1"/>
  <c r="G20" i="43" s="1"/>
  <c r="B45" i="43"/>
  <c r="I132" i="36"/>
  <c r="H132" i="36"/>
  <c r="B11" i="42"/>
  <c r="E169" i="36"/>
  <c r="H169" i="36" l="1"/>
  <c r="I169" i="36"/>
  <c r="D45" i="43"/>
  <c r="H45" i="43"/>
  <c r="B10" i="42"/>
  <c r="B40" i="42" s="1"/>
  <c r="H40" i="42" s="1"/>
  <c r="D11" i="42"/>
  <c r="D10" i="42" l="1"/>
  <c r="D40" i="42" s="1"/>
  <c r="H42" i="42" s="1"/>
  <c r="G11" i="42"/>
  <c r="G10" i="42" s="1"/>
  <c r="G40" i="42" s="1"/>
  <c r="H45" i="42" s="1"/>
  <c r="H47" i="43"/>
  <c r="G45" i="43"/>
  <c r="H50" i="43" s="1"/>
</calcChain>
</file>

<file path=xl/comments1.xml><?xml version="1.0" encoding="utf-8"?>
<comments xmlns="http://schemas.openxmlformats.org/spreadsheetml/2006/main">
  <authors>
    <author>Claudia</author>
  </authors>
  <commentList>
    <comment ref="C66" authorId="0">
      <text>
        <r>
          <rPr>
            <b/>
            <sz val="9"/>
            <color indexed="81"/>
            <rFont val="Tahoma"/>
            <family val="2"/>
          </rPr>
          <t>EVALUACIÓN:
VERIFICAR QUE COINCIDAN LOS MONTOS CON LO REPORTADO EN EL FORMATO ETCA-I-01 EN CADA EJERCICIO</t>
        </r>
        <r>
          <rPr>
            <sz val="9"/>
            <color indexed="81"/>
            <rFont val="Tahoma"/>
            <family val="2"/>
          </rPr>
          <t xml:space="preserve">
</t>
        </r>
      </text>
    </comment>
  </commentList>
</comments>
</file>

<file path=xl/comments2.xml><?xml version="1.0" encoding="utf-8"?>
<comments xmlns="http://schemas.openxmlformats.org/spreadsheetml/2006/main">
  <authors>
    <author>Claudia</author>
  </authors>
  <commentList>
    <comment ref="B34" authorId="0">
      <text>
        <r>
          <rPr>
            <b/>
            <sz val="9"/>
            <color indexed="81"/>
            <rFont val="Tahoma"/>
            <family val="2"/>
          </rPr>
          <t>Evaluación:
Verificar que coincida este monto con lo reportado en el formato ETCA-I-01 en el ejercicio 2016 en el mismo rubro</t>
        </r>
      </text>
    </comment>
    <comment ref="C34" authorId="0">
      <text>
        <r>
          <rPr>
            <b/>
            <sz val="9"/>
            <color indexed="81"/>
            <rFont val="Tahoma"/>
            <family val="2"/>
          </rPr>
          <t>Evaluación:
Verificar que coincida este monto con lo reportado en el formato ETCA-I-01 en el ejercicio 2016 en el mismo rubro</t>
        </r>
        <r>
          <rPr>
            <sz val="9"/>
            <color indexed="81"/>
            <rFont val="Tahoma"/>
            <family val="2"/>
          </rPr>
          <t xml:space="preserve">
</t>
        </r>
      </text>
    </comment>
    <comment ref="D34" authorId="0">
      <text>
        <r>
          <rPr>
            <b/>
            <sz val="9"/>
            <color indexed="81"/>
            <rFont val="Tahoma"/>
            <family val="2"/>
          </rPr>
          <t>Evaluación:
Verificar que coincida este monto con lo reportado en el formato ETCA-I-01 en el ejercicio 2016 en el mismo rubro</t>
        </r>
        <r>
          <rPr>
            <sz val="9"/>
            <color indexed="81"/>
            <rFont val="Tahoma"/>
            <family val="2"/>
          </rPr>
          <t xml:space="preserve">
</t>
        </r>
      </text>
    </comment>
    <comment ref="F34" authorId="0">
      <text>
        <r>
          <rPr>
            <b/>
            <sz val="9"/>
            <color indexed="81"/>
            <rFont val="Tahoma"/>
            <family val="2"/>
          </rPr>
          <t>Evaluación:
Verificar que coincida este monto con lo reportado en el formato ETCA-I-01 en el ejercicio 2016 en el mismo rubro</t>
        </r>
      </text>
    </comment>
  </commentList>
</comments>
</file>

<file path=xl/comments3.xml><?xml version="1.0" encoding="utf-8"?>
<comments xmlns="http://schemas.openxmlformats.org/spreadsheetml/2006/main">
  <authors>
    <author>Claudia</author>
  </authors>
  <commentList>
    <comment ref="F8" authorId="0">
      <text>
        <r>
          <rPr>
            <b/>
            <sz val="9"/>
            <color indexed="81"/>
            <rFont val="Tahoma"/>
            <family val="2"/>
          </rPr>
          <t>Evaluación:
Verificar que coincida este monto con lo reportado en el formato ETCA-I-01 en el ejercicio 2016 en el mismo rubro</t>
        </r>
        <r>
          <rPr>
            <sz val="9"/>
            <color indexed="81"/>
            <rFont val="Tahoma"/>
            <family val="2"/>
          </rPr>
          <t xml:space="preserve">
</t>
        </r>
      </text>
    </comment>
    <comment ref="F10" authorId="0">
      <text>
        <r>
          <rPr>
            <b/>
            <sz val="9"/>
            <color indexed="81"/>
            <rFont val="Tahoma"/>
            <family val="2"/>
          </rPr>
          <t>Evaluación:
Verificar que coincida este monto con lo reportado en el formato ETCA-I-01 en el ejercicio 2016 en el mismo rubro</t>
        </r>
        <r>
          <rPr>
            <sz val="9"/>
            <color indexed="81"/>
            <rFont val="Tahoma"/>
            <family val="2"/>
          </rPr>
          <t xml:space="preserve">
</t>
        </r>
      </text>
    </comment>
    <comment ref="F19" authorId="0">
      <text>
        <r>
          <rPr>
            <b/>
            <sz val="9"/>
            <color indexed="81"/>
            <rFont val="Tahoma"/>
            <family val="2"/>
          </rPr>
          <t>Evaluación:
Verificar que coincida este monto con lo reportado en el formato ETCA-I-01 en el ejercicio 2016 en el mismo rubro</t>
        </r>
      </text>
    </comment>
  </commentList>
</comments>
</file>

<file path=xl/comments4.xml><?xml version="1.0" encoding="utf-8"?>
<comments xmlns="http://schemas.openxmlformats.org/spreadsheetml/2006/main">
  <authors>
    <author>Claudia</author>
  </authors>
  <commentList>
    <comment ref="F39" authorId="0">
      <text>
        <r>
          <rPr>
            <b/>
            <sz val="9"/>
            <color indexed="81"/>
            <rFont val="Tahoma"/>
            <family val="2"/>
          </rPr>
          <t>Evaluación:
Verificar que coincida este monto con lo reportado en el formato ETCA-I-01 en el ejercicio 2016 TOTAL DE PASIVO</t>
        </r>
      </text>
    </comment>
  </commentList>
</comments>
</file>

<file path=xl/comments5.xml><?xml version="1.0" encoding="utf-8"?>
<comments xmlns="http://schemas.openxmlformats.org/spreadsheetml/2006/main">
  <authors>
    <author>Claudia</author>
  </authors>
  <commentList>
    <comment ref="G25" authorId="0">
      <text>
        <r>
          <rPr>
            <b/>
            <sz val="9"/>
            <color indexed="81"/>
            <rFont val="Tahoma"/>
            <family val="2"/>
          </rPr>
          <t xml:space="preserve">Evaluación:
</t>
        </r>
        <r>
          <rPr>
            <sz val="9"/>
            <color indexed="81"/>
            <rFont val="Tahoma"/>
            <family val="2"/>
          </rPr>
          <t xml:space="preserve">Total Ingreso Recaudado Anual - Total Ingreso Estimado Anual
</t>
        </r>
      </text>
    </comment>
    <comment ref="G52" authorId="0">
      <text>
        <r>
          <rPr>
            <b/>
            <sz val="9"/>
            <color indexed="81"/>
            <rFont val="Tahoma"/>
            <family val="2"/>
          </rPr>
          <t>Evaluación:
Total Ingreso Recaudado Anual - Total Ingreso Estimado Anual</t>
        </r>
      </text>
    </comment>
  </commentList>
</comments>
</file>

<file path=xl/comments6.xml><?xml version="1.0" encoding="utf-8"?>
<comments xmlns="http://schemas.openxmlformats.org/spreadsheetml/2006/main">
  <authors>
    <author>Claudia</author>
  </authors>
  <commentList>
    <comment ref="D6" authorId="0">
      <text>
        <r>
          <rPr>
            <b/>
            <sz val="9"/>
            <color indexed="81"/>
            <rFont val="Tahoma"/>
            <family val="2"/>
          </rPr>
          <t>EVALUACIÓN:
VERIFICA QUE COINCIDAN LAS CANTIDADES  DE TOTAL DE INGRESOS CON LO REPORTADO EN EL FORMATO ETCA-II-10 EN EL TOTAL DE LA COLUMNA DE TOTAL DE INGRESOS DEVENGADO ANUAL (4)</t>
        </r>
        <r>
          <rPr>
            <sz val="9"/>
            <color indexed="81"/>
            <rFont val="Tahoma"/>
            <family val="2"/>
          </rPr>
          <t xml:space="preserve">
</t>
        </r>
      </text>
    </comment>
    <comment ref="D23" authorId="0">
      <text>
        <r>
          <rPr>
            <b/>
            <sz val="9"/>
            <color indexed="81"/>
            <rFont val="Tahoma"/>
            <family val="2"/>
          </rPr>
          <t>EVALUACIÓN:
VERIFICA QUE COINCIDAN LAS CANTIDADES  DE TOTAL DE INGRESOS CON LO REPORTADO EN EL FORMATO ETCA-I-02 EN EL MISMO RUBRO</t>
        </r>
      </text>
    </comment>
  </commentList>
</comments>
</file>

<file path=xl/comments7.xml><?xml version="1.0" encoding="utf-8"?>
<comments xmlns="http://schemas.openxmlformats.org/spreadsheetml/2006/main">
  <authors>
    <author>René Estrada</author>
  </authors>
  <commentList>
    <comment ref="B32" authorId="0">
      <text>
        <r>
          <rPr>
            <b/>
            <sz val="9"/>
            <color indexed="81"/>
            <rFont val="Tahoma"/>
            <family val="2"/>
          </rPr>
          <t>Evaluación:
Verificar que el importe presentado coincida con el total presentado en la misma columna en el formato ETCA-II-11.</t>
        </r>
      </text>
    </comment>
    <comment ref="C32" authorId="0">
      <text>
        <r>
          <rPr>
            <b/>
            <sz val="9"/>
            <color indexed="81"/>
            <rFont val="Tahoma"/>
            <family val="2"/>
          </rPr>
          <t>Evaluación:
Verificar que el importe presentado coincida con el total presentado en la misma columna en el formato ETCA-II-11.</t>
        </r>
        <r>
          <rPr>
            <sz val="9"/>
            <color indexed="81"/>
            <rFont val="Tahoma"/>
            <family val="2"/>
          </rPr>
          <t xml:space="preserve">
</t>
        </r>
      </text>
    </comment>
    <comment ref="D32" authorId="0">
      <text>
        <r>
          <rPr>
            <b/>
            <sz val="9"/>
            <color indexed="81"/>
            <rFont val="Tahoma"/>
            <family val="2"/>
          </rPr>
          <t>Evaluación:
Verificar que el importe presentado coincida con el total presentado en la misma columna en el formato ETCA-II-11.</t>
        </r>
      </text>
    </comment>
    <comment ref="E32" authorId="0">
      <text>
        <r>
          <rPr>
            <b/>
            <sz val="9"/>
            <color indexed="81"/>
            <rFont val="Tahoma"/>
            <family val="2"/>
          </rPr>
          <t>Evaluación:
Verificar que el importe presentado coincida con el total presentado en la misma columna en el formato ETCA-II-11.</t>
        </r>
      </text>
    </comment>
    <comment ref="F32" authorId="0">
      <text>
        <r>
          <rPr>
            <b/>
            <sz val="9"/>
            <color indexed="81"/>
            <rFont val="Tahoma"/>
            <family val="2"/>
          </rPr>
          <t>Evaluación:
Verificar que el importe presentado coincida con el total presentado en la misma columna en el formato ETCA-II-11.</t>
        </r>
      </text>
    </comment>
    <comment ref="G32" authorId="0">
      <text>
        <r>
          <rPr>
            <b/>
            <sz val="9"/>
            <color indexed="81"/>
            <rFont val="Tahoma"/>
            <family val="2"/>
          </rPr>
          <t>Evaluación:
Verificar que el importe presentado coincida con el total presentado en la misma columna en el formato ETCA-II-11.</t>
        </r>
      </text>
    </comment>
  </commentList>
</comments>
</file>

<file path=xl/comments8.xml><?xml version="1.0" encoding="utf-8"?>
<comments xmlns="http://schemas.openxmlformats.org/spreadsheetml/2006/main">
  <authors>
    <author>Claudia</author>
  </authors>
  <commentList>
    <comment ref="C7" authorId="0">
      <text>
        <r>
          <rPr>
            <b/>
            <sz val="9"/>
            <color indexed="81"/>
            <rFont val="Tahoma"/>
            <family val="2"/>
          </rPr>
          <t>EVALUACIÓN:
VERIFICA QUE COINCIDAN LAS CANTIDADES  DE TOTAL DE EGRESOS CON LO REPORTADO EN EL FORMATO ETCA-II-11 EN EL TOTAL DE LA COLUMNA DE EGRESOS DEVENGADO ANUAL (4)</t>
        </r>
      </text>
    </comment>
    <comment ref="C39" authorId="0">
      <text>
        <r>
          <rPr>
            <b/>
            <sz val="9"/>
            <color indexed="81"/>
            <rFont val="Tahoma"/>
            <family val="2"/>
          </rPr>
          <t>EVALUACIÓN:
VERIFICA QUE COINCIDAN LAS CANTIDADES  DEL TOTAL GASTO CONTABLE CON LO REPORTADO EN EL FORMATO ETCA-I-02 EN EL TOTAL DE GASTOS Y OTRAS PÉRDIDAS</t>
        </r>
        <r>
          <rPr>
            <sz val="9"/>
            <color indexed="81"/>
            <rFont val="Tahoma"/>
            <family val="2"/>
          </rPr>
          <t xml:space="preserve">
</t>
        </r>
      </text>
    </comment>
  </commentList>
</comments>
</file>

<file path=xl/sharedStrings.xml><?xml version="1.0" encoding="utf-8"?>
<sst xmlns="http://schemas.openxmlformats.org/spreadsheetml/2006/main" count="2607" uniqueCount="1646">
  <si>
    <t>Subsecretaria de Planeación del Desarrollo</t>
  </si>
  <si>
    <t>Dirección General de Planeación y Evaluación</t>
  </si>
  <si>
    <t>Segundo Informe Trimestral 2015</t>
  </si>
  <si>
    <t xml:space="preserve">Ley General de Contabilidad Gubernamental </t>
  </si>
  <si>
    <t>Artículos del 44 al 59</t>
  </si>
  <si>
    <t>Formatos</t>
  </si>
  <si>
    <t>Listado de Formatos ETCA "Evaluación Trimestral Contabilidad Armonizada"</t>
  </si>
  <si>
    <t>No</t>
  </si>
  <si>
    <t>Formato</t>
  </si>
  <si>
    <t>Descripción</t>
  </si>
  <si>
    <t>I.- Información Contable</t>
  </si>
  <si>
    <t>ETCA-I-01</t>
  </si>
  <si>
    <t>Estado de Situacion Financiera</t>
  </si>
  <si>
    <t>ETCA-I-02</t>
  </si>
  <si>
    <t>Estado de Actividades</t>
  </si>
  <si>
    <t>ETCA-I-03</t>
  </si>
  <si>
    <t xml:space="preserve">Estado de Variación en la Hacienda Pública </t>
  </si>
  <si>
    <t>ETCA-I-04</t>
  </si>
  <si>
    <t>Estado de Cambios en la Situación Financiera</t>
  </si>
  <si>
    <t>ETCA-I-05</t>
  </si>
  <si>
    <t>Flujo de Efectivo</t>
  </si>
  <si>
    <t>ETCA-I-06</t>
  </si>
  <si>
    <t>Estado Analítico del Activo</t>
  </si>
  <si>
    <t>ETCA-I-07</t>
  </si>
  <si>
    <t>Estado Analítico de la Deuda y Otros Pasivos</t>
  </si>
  <si>
    <t>ETCA-I-08</t>
  </si>
  <si>
    <t>Informe sobre Pasivos Contingentes</t>
  </si>
  <si>
    <t>ETCA-I-09</t>
  </si>
  <si>
    <t>Notas a los Estados Financieros</t>
  </si>
  <si>
    <t>II.- Información Presupuestaria</t>
  </si>
  <si>
    <t>ETCA-II-10</t>
  </si>
  <si>
    <t>Estado Analítico de Ingresos</t>
  </si>
  <si>
    <t>ETCA-II-10-A</t>
  </si>
  <si>
    <t>Conciliacion entre los Ingresos Presupuestarios y Contables</t>
  </si>
  <si>
    <t>ETCA-II-11</t>
  </si>
  <si>
    <t>Estado Analítico del Ejercicio Presupuesto de Egresos 
Clasificación Por Objeto del Gasto (Capitulo y Concepto)</t>
  </si>
  <si>
    <t>ETCA-II-11-A</t>
  </si>
  <si>
    <t>Estado Analítico del Ejercicio Presupuesto de Egresos 
Clasificación Económica (Por Tipo de Gasto)</t>
  </si>
  <si>
    <t>ETCA-II-11-B1</t>
  </si>
  <si>
    <t>Estado Analítico del Ejercicio Presupuesto de Egresos
Por Unidad Administrativa</t>
  </si>
  <si>
    <t>ETCA-II-11-B2</t>
  </si>
  <si>
    <t>Estado Analítico del Ejercicio Presupuesto de Egresos
Clasificación Administrativa, Por Poderes</t>
  </si>
  <si>
    <t>ETCA-II-11-B3</t>
  </si>
  <si>
    <t>Estado Analítico del Ejercicio Presupuesto de Egresos
Clasificación Administrativa, Por tipo de Organismo o Entidad Paraestatal</t>
  </si>
  <si>
    <t>ETCA-II-11-C</t>
  </si>
  <si>
    <t>Estado Analítico del Ejercicio Presupuesto de Egresos
Clasificación Funcional (Finalidad y Función)</t>
  </si>
  <si>
    <t>ETCA-II-11-D</t>
  </si>
  <si>
    <t>Conciliacion entre los Egresos Presupuestarios y los Gastos Contables</t>
  </si>
  <si>
    <t>ETCA-II-11-E</t>
  </si>
  <si>
    <t>Estado Analítico del Ejercicio Presupuesto de Egresos 
Por Partida del Gasto</t>
  </si>
  <si>
    <t>ETCA-II-12</t>
  </si>
  <si>
    <t>Endeudamiento Neto</t>
  </si>
  <si>
    <t>ETCA-II-13</t>
  </si>
  <si>
    <t>Interéses de la Deuda</t>
  </si>
  <si>
    <t>III.- Información Programática</t>
  </si>
  <si>
    <t>ETCA-III-14</t>
  </si>
  <si>
    <t>Gasto por Categoría Programática</t>
  </si>
  <si>
    <t>ETCA-III-15</t>
  </si>
  <si>
    <t>Seguimiento y Evaluación de Indicadores de Proyectos y Procesos 
(Gasto por Categoría Programática, Metas y Programas; Análisis Programático-Presupuestal con Indicadores de Resultados</t>
  </si>
  <si>
    <t>ETCA-III-15-A</t>
  </si>
  <si>
    <t>Programa Operativo Anual, Resumen de Indicadores por Unidad Ejecutora</t>
  </si>
  <si>
    <t>ETCA-III-16</t>
  </si>
  <si>
    <t>Gasto por Proyectos de Inversión</t>
  </si>
  <si>
    <t>IV.- Información Complementaria-Anexos</t>
  </si>
  <si>
    <t>La información complementaria para generar las cuentas nacionales y atender otros requerimientos</t>
  </si>
  <si>
    <t>provenientes de Organismos Internacionales de los que México es miembro.</t>
  </si>
  <si>
    <t>ETCA-IV-17</t>
  </si>
  <si>
    <t>Indicadores de Postura Fiscal</t>
  </si>
  <si>
    <t>ETCA-IV-18</t>
  </si>
  <si>
    <t>Relación de Cuentas Bancarias Productivas Específicas</t>
  </si>
  <si>
    <t>ETCA-IV-19</t>
  </si>
  <si>
    <t>Relación de Bienes que Componen su Patrimonio</t>
  </si>
  <si>
    <t>ETCA-IV-20</t>
  </si>
  <si>
    <t>Relación de esquemas bursátiles y de coberturas financieras</t>
  </si>
  <si>
    <t>Anexo</t>
  </si>
  <si>
    <t>Análisis de variaciones Programático-Presupuestal</t>
  </si>
  <si>
    <t>Sistema Estatal de Evaluación</t>
  </si>
  <si>
    <t>Estado de Situación Financiera</t>
  </si>
  <si>
    <t>(PESOS)</t>
  </si>
  <si>
    <t xml:space="preserve">TRIMESTRE: </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</si>
  <si>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</si>
  <si>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</si>
  <si>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</si>
  <si>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</si>
  <si>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</si>
  <si>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</si>
  <si>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</si>
  <si>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</si>
  <si>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</si>
  <si>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</si>
  <si>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</si>
  <si>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</si>
  <si>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</si>
  <si>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</si>
  <si>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</si>
  <si>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</si>
  <si>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</si>
  <si>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</si>
  <si>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</si>
  <si>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 xml:space="preserve">     Total de Activos Circulantes</t>
  </si>
  <si>
    <t xml:space="preserve">     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</si>
  <si>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</si>
  <si>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</si>
  <si>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</si>
  <si>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</si>
  <si>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</si>
  <si>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</si>
  <si>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</si>
  <si>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</si>
  <si>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</si>
  <si>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</si>
  <si>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</si>
  <si>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</si>
  <si>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</si>
  <si>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</si>
  <si>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</si>
  <si>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</si>
  <si>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Otros Activos no Circulantes</t>
  </si>
  <si>
    <t>Total de Activos No Circulantes</t>
  </si>
  <si>
    <t>Total de Pasivos No Circulantes</t>
  </si>
  <si>
    <t>Total de Activos</t>
  </si>
  <si>
    <t>Total de Pasivo</t>
  </si>
  <si>
    <t>Hacienda Pública/Patrimonio</t>
  </si>
  <si>
    <t>Hacienda Pública/Patrimonio Contribuido</t>
  </si>
  <si>
    <t>Aportaciones</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</si>
  <si>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</si>
  <si>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</si>
  <si>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</si>
  <si>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</si>
  <si>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</si>
  <si>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</si>
  <si>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</si>
  <si>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</si>
  <si>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</si>
  <si>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</si>
  <si>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</si>
  <si>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</si>
  <si>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 Pasivo y Hacienda Pública/Patrimonio</t>
  </si>
  <si>
    <t>"Bajo protesta de decir verdad declaramos que los Estados Financieros y sus Notas, son razonablemente correctos y son responsabilidad del emisor"</t>
  </si>
  <si>
    <t xml:space="preserve">                                                                                    (PESOS)</t>
  </si>
  <si>
    <t>INGRESOS Y OTROS BENEFICIOS</t>
  </si>
  <si>
    <t>Ingresos de la Gestión:</t>
  </si>
  <si>
    <t>Impuestos</t>
  </si>
  <si>
    <t xml:space="preserve"> </t>
  </si>
  <si>
    <t>Cuotas y Aportaciones de Seguridad Social</t>
  </si>
  <si>
    <t xml:space="preserve">Contribuciones de Mejoras </t>
  </si>
  <si>
    <t>Derechos</t>
  </si>
  <si>
    <r>
      <t>Productos de Tipo Corriente</t>
    </r>
    <r>
      <rPr>
        <b/>
        <vertAlign val="superscript"/>
        <sz val="12"/>
        <color theme="1"/>
        <rFont val="Arial Narrow"/>
        <family val="2"/>
      </rPr>
      <t>1</t>
    </r>
  </si>
  <si>
    <t>Aprovechamientos de Tipo Corriente</t>
  </si>
  <si>
    <t>Ingresos por Venta de Bienes y Servicios</t>
  </si>
  <si>
    <t>Ingresos no Comprendidos en las Fracciones de la Ley de Ingresos Causados en Ejercicios Fiscales Anteriores Pendientes de Liquidación o Pago</t>
  </si>
  <si>
    <t>Participaciones, Aportaciones, Transferencias, Asignaciones, Subsidios y Otras Ayudas</t>
  </si>
  <si>
    <t>Participaciones y Aportaciones</t>
  </si>
  <si>
    <t>Transferencia, Asignaciones, Subsidios y Otras Ayudas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</si>
  <si>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</si>
  <si>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</si>
  <si>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</si>
  <si>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</si>
  <si>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</si>
  <si>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</si>
  <si>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</si>
  <si>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</si>
  <si>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</si>
  <si>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</si>
  <si>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</si>
  <si>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</si>
  <si>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</si>
  <si>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</si>
  <si>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</si>
  <si>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</si>
  <si>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</si>
  <si>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</si>
  <si>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</si>
  <si>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</si>
  <si>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</si>
  <si>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 xml:space="preserve">Participaciones y Aportaciones </t>
  </si>
  <si>
    <t>Participaciones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</si>
  <si>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</si>
  <si>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</si>
  <si>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</si>
  <si>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</si>
  <si>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</si>
  <si>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</si>
  <si>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</si>
  <si>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</si>
  <si>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</si>
  <si>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</si>
  <si>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</si>
  <si>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</si>
  <si>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</si>
  <si>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</si>
  <si>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</si>
  <si>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</si>
  <si>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</si>
  <si>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</si>
  <si>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</si>
  <si>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 xml:space="preserve">                                             (PESOS)</t>
  </si>
  <si>
    <t>Concepto</t>
  </si>
  <si>
    <t>Hacienda Pública / Patrimonio Contribuido</t>
  </si>
  <si>
    <t>Hacienda Pública / Patrimonio Generado de Ejercicio Anteriores</t>
  </si>
  <si>
    <t>Hacienda Pública / Patrimonio Generado del Ejercicio</t>
  </si>
  <si>
    <t>Ajustes por Cambios de Valor</t>
  </si>
  <si>
    <t>Total</t>
  </si>
  <si>
    <t>Patrimonio Neto Inicial Ajustado del Ejercicio</t>
  </si>
  <si>
    <t>Variaciones de la Hacienda Pública / Patrimonio Neto del Ejercicio</t>
  </si>
  <si>
    <t>Hacienda Pública / Patrimonio Neto Final del Ejercicio 2015</t>
  </si>
  <si>
    <t>Cambios en la Hacienda Pública / Patrimonio Neto del Ejercicio 2016</t>
  </si>
  <si>
    <t>Saldo Neto en la Hacienda Pública / Patrimonio 2016</t>
  </si>
  <si>
    <t xml:space="preserve">                                                                              (PESOS)</t>
  </si>
  <si>
    <t>Origen</t>
  </si>
  <si>
    <t>Aplicación</t>
  </si>
  <si>
    <t>Activo</t>
  </si>
  <si>
    <t>Inventario</t>
  </si>
  <si>
    <t>Pasivo</t>
  </si>
  <si>
    <t>HACIENDA PUBLICA/PATRIMONIO</t>
  </si>
  <si>
    <t>Excesos o Insuficiencia en la Actualización de la Hacienda Pública/Patrimonio</t>
  </si>
  <si>
    <t xml:space="preserve">                                                        (PESOS)</t>
  </si>
  <si>
    <t xml:space="preserve">Flujos de Efectivo de las Actividades de Operación </t>
  </si>
  <si>
    <t>Contribuciones de mejoras</t>
  </si>
  <si>
    <t>Productos de Tipo Corriente</t>
  </si>
  <si>
    <t>Transferencias, Asignaciones y Subsidios y Otras Ayudas</t>
  </si>
  <si>
    <t>Otros Orígenes de Operación</t>
  </si>
  <si>
    <t>Transferencias al resto del Sector Público</t>
  </si>
  <si>
    <t xml:space="preserve">Subsidios y Subvenciones </t>
  </si>
  <si>
    <t xml:space="preserve">Participaciones </t>
  </si>
  <si>
    <t>Otras Aplicaciones de Operación</t>
  </si>
  <si>
    <t>Flujos Netos de Efectivo por Actividades de Operación</t>
  </si>
  <si>
    <t xml:space="preserve">Flujos de Efectivo de las Actividades de Inversión </t>
  </si>
  <si>
    <t>Otros Orígenes de Inversión</t>
  </si>
  <si>
    <t>Otras Aplicaciones de Inversión</t>
  </si>
  <si>
    <t>Flujos Netos de Efectivo por Actividades de Inversión</t>
  </si>
  <si>
    <t>Flujo de Efectivo de las Actividades de Financiamiento</t>
  </si>
  <si>
    <t>Interno</t>
  </si>
  <si>
    <t>Externo</t>
  </si>
  <si>
    <t>Otros Orígenes de Financiamiento</t>
  </si>
  <si>
    <t>Servicios de la Deuda</t>
  </si>
  <si>
    <t>Otras Aplicaciones de Financiamiento</t>
  </si>
  <si>
    <t>Flujos netos de Efectivo por Actividades de Financiamiento</t>
  </si>
  <si>
    <t xml:space="preserve">Incremento/Disminución Neta en el Efectivo y Equivalentes al Efectivo </t>
  </si>
  <si>
    <t>Efectivo y Equivalentes al Efectivo al Inicio del Ejercicio</t>
  </si>
  <si>
    <t>Efectivo y Equivalentes al Efectivo al Final del Ejercicio</t>
  </si>
  <si>
    <t>OBSERVACIONES</t>
  </si>
  <si>
    <t>Saldo
Inicial
1</t>
  </si>
  <si>
    <t>Cargos del Periodo
2</t>
  </si>
  <si>
    <t>Abonos del Periodo
3</t>
  </si>
  <si>
    <t>Saldo
Final
4 (1+2-3)</t>
  </si>
  <si>
    <t>Variación del Periodo
(4-1)</t>
  </si>
  <si>
    <t>DENOMINACIÓN DE LAS DEUDAS</t>
  </si>
  <si>
    <t>MONEDA DE CONTRATACIÓN</t>
  </si>
  <si>
    <t>INSTITUCIÓN O PAÍS ACREEDOR</t>
  </si>
  <si>
    <t>SALDO INICIAL DEL PERIODO</t>
  </si>
  <si>
    <t>SALDO FINAL DEL PERIODO</t>
  </si>
  <si>
    <t>DEUDA PÚBLICA</t>
  </si>
  <si>
    <t>Corto Plazo</t>
  </si>
  <si>
    <t>Deuda Interna</t>
  </si>
  <si>
    <t>Instituciones de Crédito</t>
  </si>
  <si>
    <t>Títulos y Valores</t>
  </si>
  <si>
    <t>Arrendamientos Financieros</t>
  </si>
  <si>
    <t>Deuda Externa</t>
  </si>
  <si>
    <t>Organismos Financieros Internacionales</t>
  </si>
  <si>
    <t>Deuda Bilateral</t>
  </si>
  <si>
    <t>Subtotal Corto Plazo</t>
  </si>
  <si>
    <t>Largo Plazo</t>
  </si>
  <si>
    <t>Subtotal Lago Plazo</t>
  </si>
  <si>
    <t>Otros Pasivos</t>
  </si>
  <si>
    <t>Total Deuda y Otros Pasivos</t>
  </si>
  <si>
    <t xml:space="preserve">          (PESOS)</t>
  </si>
  <si>
    <t>A Corto Plazo</t>
  </si>
  <si>
    <t>A Mediano Plazo</t>
  </si>
  <si>
    <t>A Largo Plazo</t>
  </si>
  <si>
    <t>Rubros de los Ingresos</t>
  </si>
  <si>
    <t>Ingresos Estimado Original  Anual</t>
  </si>
  <si>
    <t>Ampliaciones y Reducciones           (+ ó -)</t>
  </si>
  <si>
    <t>Ingresos Modificado    Anual</t>
  </si>
  <si>
    <t>Ingresos Devengado Acumulado</t>
  </si>
  <si>
    <t>Ingresos Recaudado    Acumulado</t>
  </si>
  <si>
    <t>Diferencia</t>
  </si>
  <si>
    <t>(1)</t>
  </si>
  <si>
    <t>(2)</t>
  </si>
  <si>
    <t>(3= 1 +2)</t>
  </si>
  <si>
    <t>(4)</t>
  </si>
  <si>
    <t>(5)</t>
  </si>
  <si>
    <t>(6= 5 - 1 )</t>
  </si>
  <si>
    <t>Contribuciones de Mejoras</t>
  </si>
  <si>
    <t>Productos</t>
  </si>
  <si>
    <t xml:space="preserve">     Corriente</t>
  </si>
  <si>
    <t xml:space="preserve">     Capital</t>
  </si>
  <si>
    <t>Aprovechamientos</t>
  </si>
  <si>
    <t>Ingresos por Ventas de Bienes y Servicios</t>
  </si>
  <si>
    <r>
      <t>Transferencias, Asignaciones, Subsidios y Otras Ayudas</t>
    </r>
    <r>
      <rPr>
        <b/>
        <u/>
        <sz val="10"/>
        <color theme="1"/>
        <rFont val="Arial Narrow"/>
        <family val="2"/>
      </rPr>
      <t xml:space="preserve"> FEDERALES</t>
    </r>
  </si>
  <si>
    <r>
      <t xml:space="preserve">Transferencias, Asignaciones, Subsidios y Otras Ayudas </t>
    </r>
    <r>
      <rPr>
        <b/>
        <u/>
        <sz val="10"/>
        <color theme="1"/>
        <rFont val="Arial Narrow"/>
        <family val="2"/>
      </rPr>
      <t>ESTATALES</t>
    </r>
  </si>
  <si>
    <t>Ingresos Derivados de Financiamientos</t>
  </si>
  <si>
    <t>Ingresos Excedentes 1</t>
  </si>
  <si>
    <t>Estado Analitico de Ingresos</t>
  </si>
  <si>
    <t>Por Fuente de Financiamiento</t>
  </si>
  <si>
    <t>Ingresos del Gobierno</t>
  </si>
  <si>
    <t xml:space="preserve">Impuestos </t>
  </si>
  <si>
    <t>Corriente</t>
  </si>
  <si>
    <t>Capital</t>
  </si>
  <si>
    <t>Transferencias, Asignaciones, Subsidios y Otras Ayudas</t>
  </si>
  <si>
    <t>Ingresos de Organismos y  Empresas</t>
  </si>
  <si>
    <t>Cuotas y aportaciones de Seguridad Social</t>
  </si>
  <si>
    <t>Ingresos por ventas de Bienes y Servicios</t>
  </si>
  <si>
    <r>
      <t xml:space="preserve">Transferencias, Asignaciones, Subsidios y Otras Ayudas, </t>
    </r>
    <r>
      <rPr>
        <b/>
        <u/>
        <sz val="10"/>
        <color theme="1"/>
        <rFont val="Arial Narrow"/>
        <family val="2"/>
      </rPr>
      <t>FEDERALES</t>
    </r>
  </si>
  <si>
    <r>
      <t xml:space="preserve">Transferencias, Asignaciones, Subsidios y Otras Ayudas, </t>
    </r>
    <r>
      <rPr>
        <b/>
        <u/>
        <sz val="10"/>
        <color theme="1"/>
        <rFont val="Arial Narrow"/>
        <family val="2"/>
      </rPr>
      <t>ESTATALES</t>
    </r>
  </si>
  <si>
    <t>Ingresos  derivados de Financiamiento</t>
  </si>
  <si>
    <t>Los Ingresos Excedentes  se presentan para efectos de cumplimiento de la Ley de Ingresos del Estado y Ley de Contabilidad Gubernamental.</t>
  </si>
  <si>
    <t>El importe reflejado siempre debe ser mayor a cero. Nunca en rojo.</t>
  </si>
  <si>
    <t xml:space="preserve">                                                               (PESOS)</t>
  </si>
  <si>
    <t>1. Ingresos Presupuestarios</t>
  </si>
  <si>
    <t>(MAS)</t>
  </si>
  <si>
    <t>2.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</si>
  <si>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</si>
  <si>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</si>
  <si>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</si>
  <si>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</si>
  <si>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</si>
  <si>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(MENOS)</t>
  </si>
  <si>
    <t>3. Ingresos presupuestarios no contables</t>
  </si>
  <si>
    <t>Productos de capital</t>
  </si>
  <si>
    <t>Aprovechamientos de capital</t>
  </si>
  <si>
    <t>Ingresos derivados de financiamientos</t>
  </si>
  <si>
    <t>Otros Ingresos presupuestarios no contables</t>
  </si>
  <si>
    <t>4. Ingresos Contables  (4=  1  +  2  -  3 )</t>
  </si>
  <si>
    <t>Clasificación por Objeto del Gasto (Capítulo y Concepto)</t>
  </si>
  <si>
    <t>Ejercicio del Presupuesto por
Capítulo del Gasto</t>
  </si>
  <si>
    <t>Egresos Aprobado   Anual</t>
  </si>
  <si>
    <t>Ampliaciones/ (Reducciones)</t>
  </si>
  <si>
    <t>Egresos Modificado   Anual</t>
  </si>
  <si>
    <t>Egresos Devengado Acumulado</t>
  </si>
  <si>
    <t>Egresos Pagado     Acumulado</t>
  </si>
  <si>
    <t>Subejercicio</t>
  </si>
  <si>
    <t>(3=1+2)</t>
  </si>
  <si>
    <t>( 6 = 3 - 4 )</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</si>
  <si>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</si>
  <si>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</si>
  <si>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</si>
  <si>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</si>
  <si>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</si>
  <si>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</si>
  <si>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</si>
  <si>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</si>
  <si>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</si>
  <si>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</si>
  <si>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</si>
  <si>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</si>
  <si>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</si>
  <si>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</si>
  <si>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</si>
  <si>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</si>
  <si>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</si>
  <si>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</si>
  <si>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</si>
  <si>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</si>
  <si>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</si>
  <si>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</si>
  <si>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</si>
  <si>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</si>
  <si>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</si>
  <si>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</si>
  <si>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</si>
  <si>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</si>
  <si>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</si>
  <si>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</si>
  <si>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</si>
  <si>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</si>
  <si>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</si>
  <si>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</si>
  <si>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</si>
  <si>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</si>
  <si>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</si>
  <si>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</si>
  <si>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</si>
  <si>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</si>
  <si>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</si>
  <si>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</si>
  <si>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</si>
  <si>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</si>
  <si>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</si>
  <si>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</si>
  <si>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</si>
  <si>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</si>
  <si>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</si>
  <si>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Total del Gasto</t>
  </si>
  <si>
    <t>Clasificación Económica (por Tipo de Gasto)</t>
  </si>
  <si>
    <t>Gasto Corriente</t>
  </si>
  <si>
    <t>Gasto de Capital</t>
  </si>
  <si>
    <t>Amortización del la Deuda y Disminución de Pasivos</t>
  </si>
  <si>
    <t>A continuación se conceptualizan las siguientes categorías:</t>
  </si>
  <si>
    <t>1. Gasto Corriente</t>
  </si>
  <si>
    <t>Punto Adicionado DOF 30-09-2015</t>
  </si>
  <si>
    <t xml:space="preserve">5. Participaciones </t>
  </si>
  <si>
    <t>Son los gastos destinados a cubrir las participaciones para las entidades federativas y/o los municipios.</t>
  </si>
  <si>
    <t>Clasificación Administrativa (Por Unidad Administrativa)</t>
  </si>
  <si>
    <t>TRIMESTRE:</t>
  </si>
  <si>
    <t>…</t>
  </si>
  <si>
    <t>Clasificación Administrativa (Por Poderes)</t>
  </si>
  <si>
    <t>Poder Ejecutivo</t>
  </si>
  <si>
    <t>Poder Legislativo</t>
  </si>
  <si>
    <t>Poder Judicial</t>
  </si>
  <si>
    <t>Órganos Autónomos</t>
  </si>
  <si>
    <t>Clasificación Administrativa (Por Tipo de Organismos o Entidad Paraestatal)</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</si>
  <si>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</si>
  <si>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</si>
  <si>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</si>
  <si>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</si>
  <si>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</si>
  <si>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</si>
  <si>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</si>
  <si>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Clasificación Funcional (Finalidad y Función)</t>
  </si>
  <si>
    <t>Gobierno</t>
  </si>
  <si>
    <t>Legislación</t>
  </si>
  <si>
    <t>Justicia</t>
  </si>
  <si>
    <t>Coordinación de la Politica de Gobierno</t>
  </si>
  <si>
    <t>Relaciones Exteriores</t>
  </si>
  <si>
    <t>Asuntos Financieros y Hacendarios</t>
  </si>
  <si>
    <t>Seguridad Nacional</t>
  </si>
  <si>
    <t>Asuntos de Orden Público y Seguridad Interior</t>
  </si>
  <si>
    <t>Desarrollo Social</t>
  </si>
  <si>
    <t>Protección Ambiental</t>
  </si>
  <si>
    <t>Viviendas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</si>
  <si>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</si>
  <si>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</si>
  <si>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</si>
  <si>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</si>
  <si>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</si>
  <si>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</si>
  <si>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</si>
  <si>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</si>
  <si>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</si>
  <si>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</si>
  <si>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</si>
  <si>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</si>
  <si>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</si>
  <si>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Tencología e Innovación</t>
  </si>
  <si>
    <t>Otras Industrias y Otros Asuntos Económicos</t>
  </si>
  <si>
    <t>Otras No Clasificadas en funciones anteriores</t>
  </si>
  <si>
    <t>Transacdciones de la Deuda Pública / Costo financiero de la Deuda</t>
  </si>
  <si>
    <t>Transferencias, Participaciones y Aportaciones entre Diferentes Niveles y Órdenes de gobierno</t>
  </si>
  <si>
    <t>Saneamiento del Sistema Financiero</t>
  </si>
  <si>
    <t>Adeudos de ejercicios Fiscales Anteriores</t>
  </si>
  <si>
    <t>1. Total de Egresos Presupuestarios</t>
  </si>
  <si>
    <t xml:space="preserve">2. Egresos Presupuestarios no contables </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</si>
  <si>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</si>
  <si>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</si>
  <si>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</si>
  <si>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</si>
  <si>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</si>
  <si>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</si>
  <si>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Arctivos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</si>
  <si>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</si>
  <si>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</si>
  <si>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</si>
  <si>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</si>
  <si>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</si>
  <si>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</si>
  <si>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</si>
  <si>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Armonización de la deuda pública</t>
  </si>
  <si>
    <t>Adeudos de ejercicios fiscales anteriores (ADEFAS)</t>
  </si>
  <si>
    <t>Otros Egresos Presupuestales No Contables</t>
  </si>
  <si>
    <t>3. Gastos contables no presupuestarios</t>
  </si>
  <si>
    <t>Estimaciones, depreciaciones, deterioros, obsolescencia y amortizaciones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</si>
  <si>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</si>
  <si>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</si>
  <si>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</si>
  <si>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</si>
  <si>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</si>
  <si>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(4=  1  -  2  +  3 )</t>
  </si>
  <si>
    <t>Por Partida del Gasto</t>
  </si>
  <si>
    <t>Ejercicio del Presupuesto por
Partida  /  Descripción</t>
  </si>
  <si>
    <t>% Avance Anual</t>
  </si>
  <si>
    <t>(7= 4/3)</t>
  </si>
  <si>
    <t xml:space="preserve">                                           (pesos)</t>
  </si>
  <si>
    <t>Identificacion del crédito o Instrumento</t>
  </si>
  <si>
    <t>Contratacion / Colocación</t>
  </si>
  <si>
    <t>Amortización</t>
  </si>
  <si>
    <t>A</t>
  </si>
  <si>
    <t>B</t>
  </si>
  <si>
    <t>C=A-B</t>
  </si>
  <si>
    <t>Créditos Bancarios</t>
  </si>
  <si>
    <t>Total Créditos Bancarios</t>
  </si>
  <si>
    <t>Otros Instrumentos de Deuda</t>
  </si>
  <si>
    <t>Total Otros Instrumentos de Deuda</t>
  </si>
  <si>
    <t>TOTAL</t>
  </si>
  <si>
    <t xml:space="preserve">                                    (pesos)</t>
  </si>
  <si>
    <t>Devengado</t>
  </si>
  <si>
    <t>Pagado</t>
  </si>
  <si>
    <t>Total de Interéses Créditos Bancarios</t>
  </si>
  <si>
    <t>Total Intereses Otros Instrumentos de Deuda</t>
  </si>
  <si>
    <t>Egresos Devengado     Anual</t>
  </si>
  <si>
    <t>Egresos Pagado     Anual</t>
  </si>
  <si>
    <t>Programas</t>
  </si>
  <si>
    <t xml:space="preserve">   Subsidios:</t>
  </si>
  <si>
    <t>Sector Social y Privado o Estados y Municipios</t>
  </si>
  <si>
    <t>Sujetos a Reglas de Operación</t>
  </si>
  <si>
    <t>Otros Subsidios</t>
  </si>
  <si>
    <t xml:space="preserve">   Desempeño de las Funciones:</t>
  </si>
  <si>
    <t>Prestación de Servicios Públicos</t>
  </si>
  <si>
    <t>Provisión de Bienes Públics</t>
  </si>
  <si>
    <t>Planeación, Seguimiento y Evaluación de Políticas Públicas</t>
  </si>
  <si>
    <t>Promoción y Fomento</t>
  </si>
  <si>
    <t>Regulación y Supervisión</t>
  </si>
  <si>
    <t>Funciones de las Fuerzas Armadas (Unicamente el Gobierno Federal)</t>
  </si>
  <si>
    <t>Específicos</t>
  </si>
  <si>
    <t>Proyectos de Inversión</t>
  </si>
  <si>
    <t xml:space="preserve">   Administrativos y de Apoyos</t>
  </si>
  <si>
    <t>Apoyo al Proceso Presupuestario y para Mejorar la Eficiencia Institucional</t>
  </si>
  <si>
    <t>Apoyo a la Función Pública y al Mejoramiento de la Gestión</t>
  </si>
  <si>
    <t>Operaciones Ajenas</t>
  </si>
  <si>
    <t xml:space="preserve">   Compromisos</t>
  </si>
  <si>
    <t>Obligaciones de Cumplimiento de Resolición Jurisdiccional</t>
  </si>
  <si>
    <t>Desastres Naturales</t>
  </si>
  <si>
    <t xml:space="preserve">   Obligaciones</t>
  </si>
  <si>
    <t>Aportaciones a la Seguridad Social</t>
  </si>
  <si>
    <t>Aportaciones a Fondos de Estabilización</t>
  </si>
  <si>
    <t>Aportaciones a Fondos de Inversión y Reestructura de Pensiones</t>
  </si>
  <si>
    <t xml:space="preserve">   Programas de gasto Federalizado ( Gobierno Federal)</t>
  </si>
  <si>
    <t>Gasto Federalizado</t>
  </si>
  <si>
    <t xml:space="preserve">   Participaciones a Entidades Federativas y Municipios</t>
  </si>
  <si>
    <t xml:space="preserve">   Costo Financiero, Deuda o Apoyo a Deudores y Ahorradores de la Banca</t>
  </si>
  <si>
    <t xml:space="preserve">   Adeudos de Ejercicios Fiscales Anteriores</t>
  </si>
  <si>
    <t>Unidad Responsable</t>
  </si>
  <si>
    <t xml:space="preserve">Trimestre: </t>
  </si>
  <si>
    <t>2o.</t>
  </si>
  <si>
    <t>Información Programática</t>
  </si>
  <si>
    <t>Unidad Ejecutora</t>
  </si>
  <si>
    <t>Eje Rector</t>
  </si>
  <si>
    <t>Reto</t>
  </si>
  <si>
    <t>Estrategia</t>
  </si>
  <si>
    <t>Prog. Estatal</t>
  </si>
  <si>
    <t>Proceso</t>
  </si>
  <si>
    <t>Indicador</t>
  </si>
  <si>
    <t>Unidad de Medida</t>
  </si>
  <si>
    <t>*Frecuencia de medición</t>
  </si>
  <si>
    <t>Programado</t>
  </si>
  <si>
    <t>Modificado</t>
  </si>
  <si>
    <t>Alcanzado</t>
  </si>
  <si>
    <t>Total Acumulado</t>
  </si>
  <si>
    <t>Meta Anual</t>
  </si>
  <si>
    <t>I TRIM</t>
  </si>
  <si>
    <t>II TRIM</t>
  </si>
  <si>
    <t>III TRIM</t>
  </si>
  <si>
    <t>IV TRIM</t>
  </si>
  <si>
    <t>Total de indicadores</t>
  </si>
  <si>
    <t>* En función de la frecuencia de medición se presentará o no la ficha técnica del indicador.</t>
  </si>
  <si>
    <t xml:space="preserve"> Sistema Estatal de Evaluación</t>
  </si>
  <si>
    <t>(pesos)</t>
  </si>
  <si>
    <t>GASTO DE INVERSION EJERCIDO:</t>
  </si>
  <si>
    <t xml:space="preserve">NOMBRE DEL PROYECTO </t>
  </si>
  <si>
    <t xml:space="preserve">MONTO EROGADO </t>
  </si>
  <si>
    <t>ORIGEN DEL RECURSO*</t>
  </si>
  <si>
    <t>*</t>
  </si>
  <si>
    <t>Se deberán informar con todas las fuentes del recurso.</t>
  </si>
  <si>
    <t>Ya sean obras con Recurso Federal, Recurso Estatal e Ingresos Propios del ente Público.</t>
  </si>
  <si>
    <t xml:space="preserve">                                                       (pesos)</t>
  </si>
  <si>
    <t>Estimado Original Anual</t>
  </si>
  <si>
    <t>Pagado 3</t>
  </si>
  <si>
    <t>I. Ingresos Presupuestarios (I= 1 + 2 )</t>
  </si>
  <si>
    <t>1. Ingresos Gobierno del Estado 1</t>
  </si>
  <si>
    <t>2. Ingresos Sector Paraestatal  1</t>
  </si>
  <si>
    <t>II. Egresos Presupuestarios ( II= 3+4 )</t>
  </si>
  <si>
    <t>3. Egresos del Gobierno de la Entidad Federativa 2</t>
  </si>
  <si>
    <t>4. Egresos  del Sector Paraestatal  2</t>
  </si>
  <si>
    <t>III. Balance Presupuestario (Superávit o Déficit)  (III= I-II)</t>
  </si>
  <si>
    <t>III. Balance Presupuestario (Superávit o Déficit)</t>
  </si>
  <si>
    <t>IV. Interéses, Comisiones y Gastos de la Deuda</t>
  </si>
  <si>
    <t>V. Balance Primario (superávit o Déficit)   (V= III-IV)</t>
  </si>
  <si>
    <t>A. Financiamiento</t>
  </si>
  <si>
    <t>B. Amortización de la Deuda</t>
  </si>
  <si>
    <t>C. Endeudamiento o Desendeudamiento   (C=A-B)</t>
  </si>
  <si>
    <t xml:space="preserve">1 Los Ingresos que se presentan son los ingresos presupuestario totales sin incluir los ingresos por financiamientos. Los Ingresos del Gobierno de la Entidad Federativa corresponden a los del Poder Ejecutivo, Legislativo Judicial y Autónomos. </t>
  </si>
  <si>
    <t>2 Los egresos que se presentan son los egresos presupuestarios totales sin incluir los egresos por amortización. Los egresos del Gobierno de la Entidad Federativa corresponden a los del Poder Ejecutivo, Legislativo, Judicial y Órganos Autónomos 3 Para Ingresos se reportan los ingresos recaudados; para egresos se reportan los egresos pagados</t>
  </si>
  <si>
    <t>3 Para Ingresos se reportan los ingresos recaudados; para egresos se reportan los egresos pagados.</t>
  </si>
  <si>
    <t xml:space="preserve">                          (pesos)</t>
  </si>
  <si>
    <t>Código</t>
  </si>
  <si>
    <t>Descripción del Bien</t>
  </si>
  <si>
    <t>Valor en Libros</t>
  </si>
  <si>
    <t>BIENES MUEBLES</t>
  </si>
  <si>
    <t>Identificacion del  Instrumento</t>
  </si>
  <si>
    <t>Colocación</t>
  </si>
  <si>
    <t>Interés Ganados</t>
  </si>
  <si>
    <t>Valor Actual</t>
  </si>
  <si>
    <t>C=A+B</t>
  </si>
  <si>
    <t xml:space="preserve">Total </t>
  </si>
  <si>
    <t>Otros Instrumentos de Bursatilización</t>
  </si>
  <si>
    <t xml:space="preserve">Total Otros Instrumentos </t>
  </si>
  <si>
    <t>NOTA: se deberán incluir METALES PRECIOSOS en su caso.</t>
  </si>
  <si>
    <t>Consejo Estatal de Concertacion para la Obra Publica</t>
  </si>
  <si>
    <t>Al 30 de Junio de 2016</t>
  </si>
  <si>
    <t>Segundo</t>
  </si>
  <si>
    <t>Del 01 de Enero al 30 de Junio de 2016</t>
  </si>
  <si>
    <t>Del 01 de Enero al 30 de Junio  de 2016</t>
  </si>
  <si>
    <t>Al 30 de Junio  de 2016</t>
  </si>
  <si>
    <t xml:space="preserve">Consejo Estatal de Concertacion para la Obra Publica </t>
  </si>
  <si>
    <t>TRIMESTRE: Segundo</t>
  </si>
  <si>
    <t>SERVICIOS  PERSONALES</t>
  </si>
  <si>
    <t>REMUNERACIONES AL PERSONAL DE CARACTER PERMANENTE</t>
  </si>
  <si>
    <t>SUELDOS</t>
  </si>
  <si>
    <t>COMPENSACION POR RIESGO PROFESIONAL</t>
  </si>
  <si>
    <t>RIESGO LABORAL</t>
  </si>
  <si>
    <t>AYUDA HABITACION</t>
  </si>
  <si>
    <t>AYUDA DESPENSA</t>
  </si>
  <si>
    <t>REMUNERACIONES AL PERSONAL DE CARACTER TRANSITORIO</t>
  </si>
  <si>
    <t>SUELDO BASE AL PERSONAL EVENTUAL</t>
  </si>
  <si>
    <t>RETRIBUCIONES ADICIONALES Y ESPECIALES</t>
  </si>
  <si>
    <t>PRIMAS Y ACREDITACIONES POR AÑOS DE SERVICIO EFECTIVOS PRESTADOS AL PERSONAL</t>
  </si>
  <si>
    <t>PRIMA VACACIONAL</t>
  </si>
  <si>
    <t>GRATIFICACION POR FIN DE AÑO</t>
  </si>
  <si>
    <t>COMPENSACION POR AJUSTE DE CALENDARIO</t>
  </si>
  <si>
    <t>COMPENSACION POR BONO NAVIDEÑO</t>
  </si>
  <si>
    <t>ESTIMULOS AL PERSONAL DE CONFIANZA</t>
  </si>
  <si>
    <t>APORTACIONES DE SEGURIDAD SOCIAL</t>
  </si>
  <si>
    <t>CUOTAS POR SERVICIO MEDICO DEL ISSSTESON</t>
  </si>
  <si>
    <t>CUOTAS POR SEGURO DE VIDA AL ISSSTESON</t>
  </si>
  <si>
    <t>CUOTAS POR SEGURO DE RETIRO AL ISSSTESON</t>
  </si>
  <si>
    <t>ASIGNACION PARA PRESTAMOS A CORTO PLAZO</t>
  </si>
  <si>
    <t>ASIGNACION PARA PRESTAMOS PRENDARIOS</t>
  </si>
  <si>
    <t>OTRAS PRESTACIONES DE SEGURIDAD SOCIAL</t>
  </si>
  <si>
    <t>GASTO DE INFRAESTRUCTURA HOSPITALARIA</t>
  </si>
  <si>
    <t>APORTACIONES PARA LA ATENCION DE ENFERMEDADES PREEXISTENTES</t>
  </si>
  <si>
    <t>CUOTAS AL  FOVISSSTESON</t>
  </si>
  <si>
    <t>PAGAS DE DEFUNSION, PENSIONES Y JUBILACIONES</t>
  </si>
  <si>
    <t>OTRAS PRESTACIONES SOCIALES Y ECONOMICAS</t>
  </si>
  <si>
    <t>PRESTACIONES DE RETIRO</t>
  </si>
  <si>
    <t>MATERIALES Y SUMINISTROS</t>
  </si>
  <si>
    <t>MATERIALES DE ADMINISTRACION, EMISIÓN DE DOCUMENTO</t>
  </si>
  <si>
    <t>MATERIALES, UTILES Y EQUIPOS MENORES DE OFICINA</t>
  </si>
  <si>
    <t>MATERIALES Y UTILES DE IMPESION Y REPRODUCCION</t>
  </si>
  <si>
    <t>MATERIALES, UTILES PARA EL PROCESAMIENTO DE EQUIPOS Y BIENES INFORMATICOS</t>
  </si>
  <si>
    <t>MATERIAL PARA INFORMACION</t>
  </si>
  <si>
    <t>MATERIAL DE LIMPIEZA</t>
  </si>
  <si>
    <t>PLACAS, ENGOMADOS, CALCAMONIAS Y HOLOGRAMAS</t>
  </si>
  <si>
    <t>ALIMENTOS Y UTENSILIOS</t>
  </si>
  <si>
    <t>PRODUCTOS ALIMENTICIOS PARA EL PERSONAL EN LAS INSTALACIONES</t>
  </si>
  <si>
    <t>ADQUISICION DE AGUA POTABLE</t>
  </si>
  <si>
    <t>UTENSILIOS PARA EL SERVICIO DE ALIMENTACION</t>
  </si>
  <si>
    <t>MATERIALES Y ARTICULOS DE CONSTRUCCIÓN Y REPARACIÓ</t>
  </si>
  <si>
    <t>MATERIAL ELECTRICO Y ELECTRONICO</t>
  </si>
  <si>
    <t>MATERIALES COMPLEMENTARIOS</t>
  </si>
  <si>
    <t>OTROS MATERIALES Y ARTICULOS DE CONSTRUCCION Y REPARACION</t>
  </si>
  <si>
    <t>PRODUCTOS QUIMICOS, FARMACEUTICOS Y DE LABORATORIO</t>
  </si>
  <si>
    <t>MEDICINAS Y PRODUCTOS FAMACEUTICOS</t>
  </si>
  <si>
    <t>COMBUSTIBLES, LUBRICANTES Y ADITIVOS</t>
  </si>
  <si>
    <t>COMBUSTIBLES</t>
  </si>
  <si>
    <t>LUBRICANTES Y ADITIVOS</t>
  </si>
  <si>
    <t>VESTUARIO, BLANCOS, PRENDAS DE PROTECCION Y ARTICULOS DEPORTIVOS</t>
  </si>
  <si>
    <t>VESTUARIO Y UNIFORMES</t>
  </si>
  <si>
    <t>PRENDAS DE SEGURIDAD Y PROTECCION PERSONAL</t>
  </si>
  <si>
    <t>MATERIALES Y SUMINISTROS PARA SEGURIDAD</t>
  </si>
  <si>
    <t>MATERIALES DE SEGURIDAD PUBLICA</t>
  </si>
  <si>
    <t>HERRAMIENTAS, REFACCIONES Y ACCESORIOS MENORES</t>
  </si>
  <si>
    <t>HERRAMIENTAS MENORES</t>
  </si>
  <si>
    <t>REFACCIONES Y ACCESORIOS MENORES DE EDIFICIOS</t>
  </si>
  <si>
    <t>REFACCIONES Y ACCESORIOS MENORES DE MOBILIARIO Y EQUIPO DE ADMINISTRACION</t>
  </si>
  <si>
    <t>REFACC Y ACCS MENORES DE EQ DE COMPUTO Y TEC DE INF</t>
  </si>
  <si>
    <t>REFACC Y ACCS MENORES DE EQ DE TRANSPORTE</t>
  </si>
  <si>
    <t>SERVICIOS GENERALES</t>
  </si>
  <si>
    <t>SERVICIOS BASICOS</t>
  </si>
  <si>
    <t>ENERGIA ELECTRICA</t>
  </si>
  <si>
    <t>AGUA</t>
  </si>
  <si>
    <t>TELEFONIA TRADICIONAL</t>
  </si>
  <si>
    <t>TELEFONIA CELULAR</t>
  </si>
  <si>
    <t>SERVICIO DE TELECOMUNICACIONES</t>
  </si>
  <si>
    <t>SERV DE ACCESO A INTERNET, REDES Y PROC DE INFORMACION</t>
  </si>
  <si>
    <t>SERVICIO POSTAL</t>
  </si>
  <si>
    <t>SERVICIO DE ARRENDAMIENTO</t>
  </si>
  <si>
    <t>ARRENDAMIENTO DE EDIFICIOS</t>
  </si>
  <si>
    <t>ARRENDAMIENTO DE MUEBLES, MAQUINARIA Y EQUIPO</t>
  </si>
  <si>
    <t>ARRENDAMIENTO DE EQUIPO DE TRANSPORTE</t>
  </si>
  <si>
    <t>PATENTES Y REGALIAS</t>
  </si>
  <si>
    <t>SERVICIOS PROFESIONALES, CIENTIFICOS, TECNICOS Y O</t>
  </si>
  <si>
    <t>SERVICIOS LEGALES, DE CONTABILIDAD, AUDITORIAS RELACIONADOS</t>
  </si>
  <si>
    <t>SERVICIOS DE DISEÑO , ARQUITECTURA, INGENIERIA Y SERVICOS RELACIONADOS</t>
  </si>
  <si>
    <t>SERVICIO DE INFORMATICA</t>
  </si>
  <si>
    <t>SERVICIO DE CAPACITACION</t>
  </si>
  <si>
    <t>ESTUDIOS E INVESTIGACIONES</t>
  </si>
  <si>
    <t>IMPRESIONES Y PUBLICACIONES OFICIALES</t>
  </si>
  <si>
    <t>LICITACIONES, CONVENIOS Y CONVOCATORIAS</t>
  </si>
  <si>
    <t>SERVICIO DE VIGILANCIA</t>
  </si>
  <si>
    <t>SERVICIOS FINANCIEROS, BANCARIOS Y COMERCIALES</t>
  </si>
  <si>
    <t>SERVICIOS FINANCIEROS Y BANCARIOS</t>
  </si>
  <si>
    <t>SEGURO DE BIENES PATRIMONIALES</t>
  </si>
  <si>
    <t>FLETES Y MANIOBRAS</t>
  </si>
  <si>
    <t>COMISIONES POR VENTA</t>
  </si>
  <si>
    <t>SERVICIOS DE INSTALACION, REP., MANT. Y CONSERVACI</t>
  </si>
  <si>
    <t>MANTENIMIENTO Y CONSERVACION DE INMUEBLES</t>
  </si>
  <si>
    <t>MANTENIMIENTO Y CONSERVACION DE MOBILIARIO Y EQUIPO</t>
  </si>
  <si>
    <t>INSTALACIONES</t>
  </si>
  <si>
    <t>MANTENIMIENTO Y CONSERVACION DE BIENES INFORMATICOS</t>
  </si>
  <si>
    <t>MANTENIMIENTO Y CONSERVACION DE EQUIPO DE TRANSPORTE</t>
  </si>
  <si>
    <t>MANTENIMIENTO Y CONSERVACION DE MAQUINARIA Y EQUIPO</t>
  </si>
  <si>
    <t>SERVICIOS DE JARDINERIA Y FUMIGACION</t>
  </si>
  <si>
    <t>SERVICIOS DE COMUNICACIÓN SOCIAL Y PUBLICIDAD</t>
  </si>
  <si>
    <t>DIFUSION POR RADIO, TELEVISION Y OTROS MEDIOS DE MENSAJES SOBRE PROGRAMAS Y ACTIVIDADES GUBERNAMENTALES</t>
  </si>
  <si>
    <t>SERVICIOS DE TRASLADO Y VIATICOS</t>
  </si>
  <si>
    <t>PASAJES AEREOS</t>
  </si>
  <si>
    <t>PASAJES TERRESTRES</t>
  </si>
  <si>
    <t>VIATICOS EN EL PAIS</t>
  </si>
  <si>
    <t>GASTOS DE CAMINO</t>
  </si>
  <si>
    <t>CUOTAS</t>
  </si>
  <si>
    <t>SERVICIOS OFICIALES</t>
  </si>
  <si>
    <t>GASTOS CEREMONIALES</t>
  </si>
  <si>
    <t>CONGRESOS Y CONVENCIONES</t>
  </si>
  <si>
    <t>OTROS SERVICIOS GENERALES</t>
  </si>
  <si>
    <t>IMPUESTOS Y DERECHOS</t>
  </si>
  <si>
    <t>SERVICIOS FUNERARIOS</t>
  </si>
  <si>
    <t>PENAS, MULTAS, ACCESORIOS Y ACTUALIZACIONES</t>
  </si>
  <si>
    <t>BIENES MUEBLES, INMUEBLES E INTANGIBLES</t>
  </si>
  <si>
    <t>MOBILIARIO Y EQUIPO DE ADMINISTRACION</t>
  </si>
  <si>
    <t>MOBILIARIO</t>
  </si>
  <si>
    <t>BIENES INFORMATICOS</t>
  </si>
  <si>
    <t>EQUIPO DE ADMINISTRACION</t>
  </si>
  <si>
    <t>VEHICULOS Y EQUIPOS DE TRANSPORTE</t>
  </si>
  <si>
    <t>AUTOMOVILES Y CAMIONES</t>
  </si>
  <si>
    <t>MAQUINARIA, OTROS EQUIPOS Y HERRAMIENTAS MENORES</t>
  </si>
  <si>
    <t>SISTEMA DE AIRE ACONDICIONADO</t>
  </si>
  <si>
    <t>INVERSION PUBLICA</t>
  </si>
  <si>
    <t>EDIFICACION HABITACIONAL</t>
  </si>
  <si>
    <t>CONSTRUCCION Y AMPLIACION FONHAPO</t>
  </si>
  <si>
    <t>EDIFICACION NO HABITACIONAL</t>
  </si>
  <si>
    <t>CONSTRUCCION</t>
  </si>
  <si>
    <t>REMODELACION Y REHABILITACION</t>
  </si>
  <si>
    <t>PROYECTOS DEPORTIVOS ESTATALES, INFRAESTRUCTURAS DEPORTIVAS FED (INFRAESTRUCTURA Y EQ. EN MATERIA DE CULTURA, DEPORTE Y RECREACION )</t>
  </si>
  <si>
    <t>INFRAESTRUCTURA Y EQUIPAMIENTO EN MATERIA DE EDUCACION INICIAL Y ESPECIAL</t>
  </si>
  <si>
    <t>INFRAESTRUCTURA Y EQUIPAMIENTO EN MATERIA DE EDUCACION PREESCOLAR</t>
  </si>
  <si>
    <t>INFRAESTRUCTURA Y EQUIPAMIENTO EN MATERIA DE EDUCACION PRIMARIA</t>
  </si>
  <si>
    <t>INFRAESTRUCTURA Y EQUIPAMIENTO EN MATERIA DE EDUCACION SECUNDARIA</t>
  </si>
  <si>
    <t>INFRAESTRUCTURA Y EQUIPAMIENTO EN MATERIA DE EDUCACION PARA PROGRAMAS ESPECIALES</t>
  </si>
  <si>
    <t>GASTOS INDIRECTOS FED (INDIRECTOS PARA OBRAS DE EDIFICACION NO HABITACIONAL )</t>
  </si>
  <si>
    <t>CONSTRUCCION DE OBRAS PARA EL ABASTECIMIENTO DE AGUA , PETROLEO , GAS, ELECTRICIDAD Y TELECOMUNICACION</t>
  </si>
  <si>
    <t>INFRAESTRUCTURA PARA GENERACION Y TRANSFORMACION DE ENERGIA ELECTRICA</t>
  </si>
  <si>
    <t>SUPERVISION Y CONTROL DE CALIDAD</t>
  </si>
  <si>
    <t>DVISION DE TERRENOS  Y CONSTRUCCION DE OBRAS DE URBANIZACION</t>
  </si>
  <si>
    <t>CECOP</t>
  </si>
  <si>
    <t xml:space="preserve">CONSTRUCCION Y REHABILITACION </t>
  </si>
  <si>
    <t>PAVIMENTACION DE CALLES Y AVENIDAS</t>
  </si>
  <si>
    <t>INDIRECTOS PARA OBRAS EN DIVISIÓN DE TERRENOS</t>
  </si>
  <si>
    <t>EJECUCION DE OBRA</t>
  </si>
  <si>
    <t>AMPLIACION</t>
  </si>
  <si>
    <t>INFRAESTRUCTURA Y EQUIPAMIENTO EN MATERIA DE CULTURA , DEPORTE Y RECREACION</t>
  </si>
  <si>
    <t>INFRAESTRUCTURA Y EQUIPAMIENTO EN MATERIA DE EDUCACION SUPERIOR</t>
  </si>
  <si>
    <t>SUPERVICION Y CONTROL DE CALIDAD</t>
  </si>
  <si>
    <t>DIVISION DE TERRENOS Y CONSTRUCCION DE OBRAS DE URBANIZACION</t>
  </si>
  <si>
    <t>EJECUCION DE PROYECTOS PRODUCTIVOS NO INCLUIDOS EN CONCEPTOS ANTERIORES DE ESTE CAPITULO</t>
  </si>
  <si>
    <t>Coordinacion General</t>
  </si>
  <si>
    <t>Direccion General de Concertacion y Apoyo Tecnico</t>
  </si>
  <si>
    <t>Direccion General de Administracion y Finanzas</t>
  </si>
  <si>
    <t>Direccion General de Organizacion Social</t>
  </si>
  <si>
    <t>.</t>
  </si>
  <si>
    <t>NO APLICA</t>
  </si>
  <si>
    <t>CECOP 11</t>
  </si>
  <si>
    <t>FORD EXPLORER 2005 BLANCA</t>
  </si>
  <si>
    <t>CECOP 08</t>
  </si>
  <si>
    <t>FORD PICK UP LOBO 2007</t>
  </si>
  <si>
    <t>CECOP 12</t>
  </si>
  <si>
    <t>FORD RANGER 2005 (Azul Marino)</t>
  </si>
  <si>
    <t>CECOP 14</t>
  </si>
  <si>
    <t>FORD RANGER 2005 (Plata Metalico)</t>
  </si>
  <si>
    <t>CECOP 16</t>
  </si>
  <si>
    <t>FORD RANGER 2007 (Blanco)</t>
  </si>
  <si>
    <t>CECOP 20</t>
  </si>
  <si>
    <t>FORD FOCUS 2007</t>
  </si>
  <si>
    <t>CECOP 21</t>
  </si>
  <si>
    <t>FORD EXPLORER 2008 PLATA</t>
  </si>
  <si>
    <t>CECOP 23</t>
  </si>
  <si>
    <t>CHEVROLET SUBURBAN 2010</t>
  </si>
  <si>
    <t>CECOP 25</t>
  </si>
  <si>
    <t>CHEVROLET MONZA 2010 (BLANCO)</t>
  </si>
  <si>
    <t>CECOP 26</t>
  </si>
  <si>
    <t>CECOP 24</t>
  </si>
  <si>
    <t>CECOP 29</t>
  </si>
  <si>
    <t>CHEVROLET MONZA 2011 (PLATA)</t>
  </si>
  <si>
    <t>CECOP 30</t>
  </si>
  <si>
    <t>CECOP 31</t>
  </si>
  <si>
    <t>CEC0001</t>
  </si>
  <si>
    <t>LIBRERO EMPOTRADO P/CARPETAS</t>
  </si>
  <si>
    <t>CEC0003</t>
  </si>
  <si>
    <t>MODULO COMPUTACIONAL NEGRO CAOBA</t>
  </si>
  <si>
    <t>CEC0004</t>
  </si>
  <si>
    <t>ARCHIVERO 3 GAVETAS</t>
  </si>
  <si>
    <t>CEC0005</t>
  </si>
  <si>
    <t>SILLA DE VISITA TELA NEGRA</t>
  </si>
  <si>
    <t>CEC0006</t>
  </si>
  <si>
    <t>CEC0007</t>
  </si>
  <si>
    <t>CEC0008</t>
  </si>
  <si>
    <t>CEC0009</t>
  </si>
  <si>
    <t>CEC0010</t>
  </si>
  <si>
    <t>SILLÓN EJECUTIVO ALTO C/BRAZO FIJO</t>
  </si>
  <si>
    <t>CEC0011</t>
  </si>
  <si>
    <t>CREDENZA CON 4 CAJONES</t>
  </si>
  <si>
    <t>CEC0012</t>
  </si>
  <si>
    <t>MESA REDONDA</t>
  </si>
  <si>
    <t>CEC0014</t>
  </si>
  <si>
    <t>CPU GENERICO</t>
  </si>
  <si>
    <t>CEC0015</t>
  </si>
  <si>
    <t>MONITOR 19"</t>
  </si>
  <si>
    <t>CEC0016</t>
  </si>
  <si>
    <t>EQUIPO DE SONIDO C/ BOCINA, PEDESTAL Y MICROFONO</t>
  </si>
  <si>
    <t>CEC0017</t>
  </si>
  <si>
    <t>SILLA C/RUEDITAS COLOR NEGRO Y DESC/BRAZOS</t>
  </si>
  <si>
    <t>CEC0018</t>
  </si>
  <si>
    <t>ESCRITORIO EJECUTIVO</t>
  </si>
  <si>
    <t>CEC0019</t>
  </si>
  <si>
    <t>SILLA VISITA</t>
  </si>
  <si>
    <t>CEC0021</t>
  </si>
  <si>
    <t>COMPUTADORA PERSONAL DE ESCRITORIO</t>
  </si>
  <si>
    <t>CEC0022</t>
  </si>
  <si>
    <t>MONITOR 18.5" 6185HV</t>
  </si>
  <si>
    <t>CEC0023</t>
  </si>
  <si>
    <t>MESITA P/CAFÉ</t>
  </si>
  <si>
    <t>CEC0024</t>
  </si>
  <si>
    <t>LIBRERO 3 GAVETAS, 2 PUERTAS</t>
  </si>
  <si>
    <t>CEC0026</t>
  </si>
  <si>
    <t>CEC0027</t>
  </si>
  <si>
    <t>ESCRITORIO C/CREDENZA 4 CAJONES</t>
  </si>
  <si>
    <t>CEC0028</t>
  </si>
  <si>
    <t>SILLÓN EJECUTIVO C/RUEDITAS COLOR NEGRO</t>
  </si>
  <si>
    <t>CEC0029</t>
  </si>
  <si>
    <t>CEC0030</t>
  </si>
  <si>
    <t>CONJUNTO SECRETARIAL EN ESCUADRA DE 1.60 X 1.50</t>
  </si>
  <si>
    <t>CEC0033</t>
  </si>
  <si>
    <t>CEC0034</t>
  </si>
  <si>
    <t>COMPUTADORA</t>
  </si>
  <si>
    <t>CEC0035</t>
  </si>
  <si>
    <t>ESCRITORIO PENINSULAR DE 108 X .75 X .75 CON LATERAL</t>
  </si>
  <si>
    <t>CEC0036</t>
  </si>
  <si>
    <t xml:space="preserve">SILLÓN NEGRO C/DES. BRAZOS </t>
  </si>
  <si>
    <t>CEC0037</t>
  </si>
  <si>
    <t>ARCHIVERO VERTICAL 3 GAVETAS</t>
  </si>
  <si>
    <t>CEC0038</t>
  </si>
  <si>
    <t>MESA PARA EQUIPO DE IMPRESIÓN</t>
  </si>
  <si>
    <t>CEC0039</t>
  </si>
  <si>
    <t>SCANNER PHOTOSMART</t>
  </si>
  <si>
    <t>CEC0040</t>
  </si>
  <si>
    <t>IMPRESORA HP DESJET 6540</t>
  </si>
  <si>
    <t>CEC0042</t>
  </si>
  <si>
    <t>IMPRESORA LASER COLOR MAGICOLOR 5550</t>
  </si>
  <si>
    <t>CEC0044</t>
  </si>
  <si>
    <t>CEC0045</t>
  </si>
  <si>
    <t>SILLA DE VISITA NEGRA C/RUEDITAS</t>
  </si>
  <si>
    <t>CEC0046</t>
  </si>
  <si>
    <t>CEC0047</t>
  </si>
  <si>
    <t>ARCHIVERO 2 CAJONES</t>
  </si>
  <si>
    <t>CEC0048</t>
  </si>
  <si>
    <t>"U" EJECUTIVA DE 1.6 X 2.2</t>
  </si>
  <si>
    <t>CEC0050</t>
  </si>
  <si>
    <t>CEC0052</t>
  </si>
  <si>
    <t>SILLA C/ RUEDITAS</t>
  </si>
  <si>
    <t>CEC0053</t>
  </si>
  <si>
    <t>MODULO DE TRABAJO DE 1.2 X .6</t>
  </si>
  <si>
    <t>CEC0054</t>
  </si>
  <si>
    <t>COMPUTADORA   INSPIRON  560 SLIM</t>
  </si>
  <si>
    <t>CEC0055</t>
  </si>
  <si>
    <t>MONITOR 17"</t>
  </si>
  <si>
    <t>CEC0057</t>
  </si>
  <si>
    <t>LIBRERO CON 4 PUERTAS</t>
  </si>
  <si>
    <t>CEC0058</t>
  </si>
  <si>
    <t>MODULO ESCRITORIO 2 CAJONES</t>
  </si>
  <si>
    <t>CEC0059</t>
  </si>
  <si>
    <t>IMPRESORA LASERJET P1606</t>
  </si>
  <si>
    <t>CEC0060</t>
  </si>
  <si>
    <t>MESITA PARA IMPRESORA</t>
  </si>
  <si>
    <t>CEC0062</t>
  </si>
  <si>
    <t>CAJA FUERTE</t>
  </si>
  <si>
    <t>CEC0063</t>
  </si>
  <si>
    <t>LIBRERO DE MADERA 6 NIVELES</t>
  </si>
  <si>
    <t>CEC0064</t>
  </si>
  <si>
    <t>CEC0065</t>
  </si>
  <si>
    <t>MONITOR  LCD</t>
  </si>
  <si>
    <t>CEC0067</t>
  </si>
  <si>
    <t>SILLA DE VISITA TELA NEGRA C/DESCANZABRAZOS</t>
  </si>
  <si>
    <t>CEC0068</t>
  </si>
  <si>
    <t>CEC0069</t>
  </si>
  <si>
    <t>ARCHIVERO DE 3 GAVETAS  T/OF</t>
  </si>
  <si>
    <t>CEC0070</t>
  </si>
  <si>
    <t>MESA ESQUINERA DE .60 X .60</t>
  </si>
  <si>
    <t>CEC0071</t>
  </si>
  <si>
    <t>SILLÓN VISITA 3 PLAZAS</t>
  </si>
  <si>
    <t>CEC0072</t>
  </si>
  <si>
    <t>IMPRESORA LASERJET CP2025 COLOR</t>
  </si>
  <si>
    <t>CEC0075</t>
  </si>
  <si>
    <t>CREDENZA 4 CAJONES</t>
  </si>
  <si>
    <t>CEC0076</t>
  </si>
  <si>
    <t>ESCRITORIO SECRETARIAL</t>
  </si>
  <si>
    <t>CEC0077</t>
  </si>
  <si>
    <t>ESCRITORIO PENINSULAR DE 1.60 X .60 X .75 CAOBA NEGRO</t>
  </si>
  <si>
    <t>CEC0078</t>
  </si>
  <si>
    <t>ESCRITORIO BASE ALUMINIO CON VIDRIO</t>
  </si>
  <si>
    <t>CEC0079</t>
  </si>
  <si>
    <t>IMPRESORA COLOR</t>
  </si>
  <si>
    <t>CEC0080</t>
  </si>
  <si>
    <t>LIBRERO C/PEDESTAL 9 CAJONES 1.80 X 2.07 X 0.60 MTS.</t>
  </si>
  <si>
    <t>CEC0081</t>
  </si>
  <si>
    <t>SILLÓN EJECUTIVO C/DESC. BRAZOS C/RUEDITAS RE 1900</t>
  </si>
  <si>
    <t>CEC0082</t>
  </si>
  <si>
    <t>SILLÓN DE VISITA 3 PLAZAS COLOR VERDE</t>
  </si>
  <si>
    <t>CEC0083</t>
  </si>
  <si>
    <t>SILLÓN DE VISITA 1 PLAZA COLOR VERDE</t>
  </si>
  <si>
    <t>CEC0084</t>
  </si>
  <si>
    <t>SILLA PARIS COLOR BEIGE</t>
  </si>
  <si>
    <t>CEC0085</t>
  </si>
  <si>
    <t>CEC0087</t>
  </si>
  <si>
    <t>COMPUTADORA GENERICA CON DVDRW</t>
  </si>
  <si>
    <t>CEC0089</t>
  </si>
  <si>
    <t>CEC0091</t>
  </si>
  <si>
    <t>IMPRESORA</t>
  </si>
  <si>
    <t>CEC0092</t>
  </si>
  <si>
    <t>CONJUNTO PENINSULAR 1.2 X .60 X .75 CON LATERAL Y CAJONERA</t>
  </si>
  <si>
    <t>CEC0093</t>
  </si>
  <si>
    <t>IMPRESORA DESKJET</t>
  </si>
  <si>
    <t>CEC0094</t>
  </si>
  <si>
    <t>SILLÓN SECRETARIAL VINIPIEL C/DESC. BRAZOS</t>
  </si>
  <si>
    <t>CEC0095</t>
  </si>
  <si>
    <t>LOVE SEAT COLOR NEGRO</t>
  </si>
  <si>
    <t>CEC0096</t>
  </si>
  <si>
    <t>CEC0099</t>
  </si>
  <si>
    <t>CEC0100</t>
  </si>
  <si>
    <t>CEC0101</t>
  </si>
  <si>
    <t>CEC0102</t>
  </si>
  <si>
    <t>COMPUTADORA C/LECTOR DE TARJETAS COLOR NEGRO</t>
  </si>
  <si>
    <t>CEC0103</t>
  </si>
  <si>
    <t>CEC0104</t>
  </si>
  <si>
    <t>SCANER</t>
  </si>
  <si>
    <t>CEC0105</t>
  </si>
  <si>
    <t>CEC0106</t>
  </si>
  <si>
    <t>MÓDULO 4 ESTACIONES DE TRABAJO CON CREDENZA 3 CAJONES</t>
  </si>
  <si>
    <t>CEC0107</t>
  </si>
  <si>
    <t>CEC0108</t>
  </si>
  <si>
    <t>COMPUTADORA LAPTOP  COLOR GRIS METALICO HP435</t>
  </si>
  <si>
    <t>CEC0110</t>
  </si>
  <si>
    <t>CEC0112</t>
  </si>
  <si>
    <t>CEC0116</t>
  </si>
  <si>
    <t>MONITOR - COLOR NEGRO 15"</t>
  </si>
  <si>
    <t>CEC0118</t>
  </si>
  <si>
    <t>ESCRITORIO PENINSULAR CON LIBRERO</t>
  </si>
  <si>
    <t>CEC0119</t>
  </si>
  <si>
    <t>CEC0120</t>
  </si>
  <si>
    <t>CEC0121</t>
  </si>
  <si>
    <t>SILLÓN CON DESCANZA BRAZOS</t>
  </si>
  <si>
    <t>CEC0122</t>
  </si>
  <si>
    <t>CEC0123</t>
  </si>
  <si>
    <t>LIBRERO EMPOTRADO COLOR NEGRO</t>
  </si>
  <si>
    <t>CEC0124</t>
  </si>
  <si>
    <t>CEC0125</t>
  </si>
  <si>
    <t>SILLÓN C/DESC. BRAZOS</t>
  </si>
  <si>
    <t>CEC0127</t>
  </si>
  <si>
    <t>MONITOR 18.5"</t>
  </si>
  <si>
    <t>CEC0128</t>
  </si>
  <si>
    <t>CEC0129</t>
  </si>
  <si>
    <t xml:space="preserve">IMPRESORA </t>
  </si>
  <si>
    <t>CEC0130</t>
  </si>
  <si>
    <t>MONITOR LCD COLOR NEGRO</t>
  </si>
  <si>
    <t>CEC0131</t>
  </si>
  <si>
    <t>CEC0132</t>
  </si>
  <si>
    <t>CEC0133</t>
  </si>
  <si>
    <t>ARCHIVERO 3 CAJONES</t>
  </si>
  <si>
    <t>CEC0134</t>
  </si>
  <si>
    <t>CEC0135</t>
  </si>
  <si>
    <t>CEC0136</t>
  </si>
  <si>
    <t>CEC0137</t>
  </si>
  <si>
    <t>ESCRITORIO TRADICIONAL MEDIDA 1.2 X .60 X .5 CON CAJONERA</t>
  </si>
  <si>
    <t>CEC0138</t>
  </si>
  <si>
    <t>CEC0139</t>
  </si>
  <si>
    <t>CEC0140</t>
  </si>
  <si>
    <t>CEC0141</t>
  </si>
  <si>
    <t>CEC0142</t>
  </si>
  <si>
    <t>CEC0143</t>
  </si>
  <si>
    <t>MESITA C/RUEDITAS</t>
  </si>
  <si>
    <t>CEC0144</t>
  </si>
  <si>
    <t>LATERAL MEDIDA 1.10 X.45 X .75 CON UNA CAJONERA</t>
  </si>
  <si>
    <t>CEC0145</t>
  </si>
  <si>
    <t>CEC0146</t>
  </si>
  <si>
    <t>CEC0149</t>
  </si>
  <si>
    <t>IMPRESORA LASERJET 1000</t>
  </si>
  <si>
    <t>CEC0150</t>
  </si>
  <si>
    <t>ESCRITORIO PEQUEÑO MELANINA CAFÉ</t>
  </si>
  <si>
    <t>CEC0151</t>
  </si>
  <si>
    <t>CEC0152</t>
  </si>
  <si>
    <t>CEC0155</t>
  </si>
  <si>
    <t>CEC0156</t>
  </si>
  <si>
    <t>ESCANER</t>
  </si>
  <si>
    <t>CEC0157</t>
  </si>
  <si>
    <t>SILLA NEGRA</t>
  </si>
  <si>
    <t>CEC0161</t>
  </si>
  <si>
    <t>CEC0162</t>
  </si>
  <si>
    <t>CEC0164</t>
  </si>
  <si>
    <t>MODULO 2 ESTACIONES DE TRABAJO 1 CAJÓN C/U</t>
  </si>
  <si>
    <t>CEC0165</t>
  </si>
  <si>
    <t>SILLÓN EJECUTIVO C/RUEDITAS</t>
  </si>
  <si>
    <t>CEC0166</t>
  </si>
  <si>
    <t>IMPRESORA COLOR NEGRO</t>
  </si>
  <si>
    <t>CEC0167</t>
  </si>
  <si>
    <t>MESA MULTIUSOS LADO CIRCULAR</t>
  </si>
  <si>
    <t>CEC0168</t>
  </si>
  <si>
    <t>CEC0170</t>
  </si>
  <si>
    <t>SILLA DE VISITA</t>
  </si>
  <si>
    <t>CEC0171</t>
  </si>
  <si>
    <t>CEC0172</t>
  </si>
  <si>
    <t>CEC0173</t>
  </si>
  <si>
    <t>CEC0174</t>
  </si>
  <si>
    <t>CEC0175</t>
  </si>
  <si>
    <t>CEC0176</t>
  </si>
  <si>
    <t>CEC0177</t>
  </si>
  <si>
    <t>CEC0178</t>
  </si>
  <si>
    <t>CEC0179</t>
  </si>
  <si>
    <t>CEC0180</t>
  </si>
  <si>
    <t>CREDENZA 4 CAJONES, 2 PUERTAS</t>
  </si>
  <si>
    <t>CEC0181</t>
  </si>
  <si>
    <t>ESCRITORIO 85X182</t>
  </si>
  <si>
    <t>CEC0182</t>
  </si>
  <si>
    <t>CEC0183</t>
  </si>
  <si>
    <t>SILLÓN CON DESC. BRAZOS</t>
  </si>
  <si>
    <t>CEC0184</t>
  </si>
  <si>
    <t>CEC0186</t>
  </si>
  <si>
    <t>SILLA DE VISITA MADERA C/DESC. BRAZOS</t>
  </si>
  <si>
    <t>CEC0187</t>
  </si>
  <si>
    <t>CEC0188</t>
  </si>
  <si>
    <t>MESITA PARA CAFÉ C/ENTREPAÑO</t>
  </si>
  <si>
    <t>CEC0190</t>
  </si>
  <si>
    <t xml:space="preserve">SCANER </t>
  </si>
  <si>
    <t>CEC0191</t>
  </si>
  <si>
    <t>CEC0192</t>
  </si>
  <si>
    <t>CEC0193</t>
  </si>
  <si>
    <t>SILLA SECRETARIAL CON DESC/BRAZOS</t>
  </si>
  <si>
    <t>CEC0196</t>
  </si>
  <si>
    <t>SILLA DE VISITA NEGRA</t>
  </si>
  <si>
    <t>CEC0199</t>
  </si>
  <si>
    <t>SCANNER COLOR NEGRO</t>
  </si>
  <si>
    <t>CEC0200</t>
  </si>
  <si>
    <t>IMPRESORA HP COLOR</t>
  </si>
  <si>
    <t>CEC0201</t>
  </si>
  <si>
    <t>IMPRESORA LASERJET 1200</t>
  </si>
  <si>
    <t>CEC0202</t>
  </si>
  <si>
    <t>CEC0204</t>
  </si>
  <si>
    <t>CEC0206</t>
  </si>
  <si>
    <t>CEC0224</t>
  </si>
  <si>
    <t>FAX HP OFFICEJET 4255</t>
  </si>
  <si>
    <t>CEC0225</t>
  </si>
  <si>
    <t>COMPUTADORA 3 GHZ 512 MB</t>
  </si>
  <si>
    <t>CEC0226</t>
  </si>
  <si>
    <t>CEC0227</t>
  </si>
  <si>
    <t>IMPRESORA DE INJECCIÓN DE TINTA</t>
  </si>
  <si>
    <t>CEC0228</t>
  </si>
  <si>
    <t>IMPRESORA LASER B/N</t>
  </si>
  <si>
    <t>CEC0229</t>
  </si>
  <si>
    <t>ENFRIADOR DE AGUA</t>
  </si>
  <si>
    <t>CEC0230</t>
  </si>
  <si>
    <t>COMPUTADORA GENERICA</t>
  </si>
  <si>
    <t>CEC0233</t>
  </si>
  <si>
    <t>MUEBLE ESCRITORIO DE 1.80 X .45 X.75</t>
  </si>
  <si>
    <t>CEC0234</t>
  </si>
  <si>
    <t>SILLA TELA NEGRA</t>
  </si>
  <si>
    <t>CEC0237</t>
  </si>
  <si>
    <t>SILLA SECRETARIAL NEGRA CON RUEDITAS</t>
  </si>
  <si>
    <t>CEC0240</t>
  </si>
  <si>
    <t>IMPRESORA MULTIFUNCIONAL C4680 COLOR</t>
  </si>
  <si>
    <t>CEC0241</t>
  </si>
  <si>
    <t>COMPUTADORA DE 512 MB</t>
  </si>
  <si>
    <t>CEC0245</t>
  </si>
  <si>
    <t>CEC0246</t>
  </si>
  <si>
    <t>CEC0247</t>
  </si>
  <si>
    <t>ARCHIVERO NEGRO</t>
  </si>
  <si>
    <t>CEC0252</t>
  </si>
  <si>
    <t>CEC0255</t>
  </si>
  <si>
    <t>EQUIPO DE REFRIGERACIÓN 2.0 TONELADAS</t>
  </si>
  <si>
    <t>CEC0257</t>
  </si>
  <si>
    <t>ROUTER VPN CON CONMUTADOR</t>
  </si>
  <si>
    <t>CEC0258</t>
  </si>
  <si>
    <t>COMPUTADORA GENÉRICA GABINETE ACTECK</t>
  </si>
  <si>
    <t>CEC0259</t>
  </si>
  <si>
    <t>PENINSULA DE 1.6 X 0.6  COLOR CHOCOLATE</t>
  </si>
  <si>
    <t>CEC0260</t>
  </si>
  <si>
    <t>PENINSULA DE 1.4 X 0.6  COLOR CHOCOLATE</t>
  </si>
  <si>
    <t>CEC0264</t>
  </si>
  <si>
    <t>LIBRERO 3 NIVELES 2 PUERTAS</t>
  </si>
  <si>
    <t>CEC0265</t>
  </si>
  <si>
    <t>ESCRITORIO PENINSULAR</t>
  </si>
  <si>
    <t>CEC0266</t>
  </si>
  <si>
    <t>CEC0267</t>
  </si>
  <si>
    <t>CEC0268</t>
  </si>
  <si>
    <t>CEC0269</t>
  </si>
  <si>
    <t>SILLA SECRETARIAL C/BRAZOS</t>
  </si>
  <si>
    <t>CEC0270</t>
  </si>
  <si>
    <t>SILLÓN TRINEO EN PIEL NEGRO</t>
  </si>
  <si>
    <t>CEC0271</t>
  </si>
  <si>
    <t>CEC0273</t>
  </si>
  <si>
    <t>MESITA PARA IMPRESORA 2 PUERTAS</t>
  </si>
  <si>
    <t>CEC0274</t>
  </si>
  <si>
    <t>SILLA DE VISITA  TELA NEGRA</t>
  </si>
  <si>
    <t>CEC0275</t>
  </si>
  <si>
    <t>CEC0277</t>
  </si>
  <si>
    <t>COMPUTADORA CHECADOR</t>
  </si>
  <si>
    <t>CEC0279</t>
  </si>
  <si>
    <t>CEC0282</t>
  </si>
  <si>
    <t>CEC0283</t>
  </si>
  <si>
    <t>SILLA SECRETARIAL VINIPIEL C/DESC. BRAZOS Y RUEDITAS</t>
  </si>
  <si>
    <t>CEC0285</t>
  </si>
  <si>
    <t>IMPRESORA DESKJET 6940</t>
  </si>
  <si>
    <t>CEC0286</t>
  </si>
  <si>
    <t>LIBRERO MADERA EMPOTRADO</t>
  </si>
  <si>
    <t>CEC0288</t>
  </si>
  <si>
    <t>CEC0289</t>
  </si>
  <si>
    <t>SILLA SECRETARIAL C/DESC. BRAZOS Y RUEDITAS</t>
  </si>
  <si>
    <t>CEC0290</t>
  </si>
  <si>
    <t>CEC0293</t>
  </si>
  <si>
    <t>MODULO DE 1.5 X .30 X .75 CON PUERTA</t>
  </si>
  <si>
    <t>CEC0294</t>
  </si>
  <si>
    <t>CEC0296</t>
  </si>
  <si>
    <t>ENMICADORA</t>
  </si>
  <si>
    <t>CEC0299</t>
  </si>
  <si>
    <t>CEC0302</t>
  </si>
  <si>
    <t xml:space="preserve">PROYECTOR </t>
  </si>
  <si>
    <t>CEC0303</t>
  </si>
  <si>
    <t>FAX DE PAPEL BOND</t>
  </si>
  <si>
    <t>CEC0304</t>
  </si>
  <si>
    <t>PANTALLA  C/TRIPIE</t>
  </si>
  <si>
    <t>CEC0306</t>
  </si>
  <si>
    <t>ESCRITORIO 2 CAJONES</t>
  </si>
  <si>
    <t>CEC0307</t>
  </si>
  <si>
    <t>CEC0309</t>
  </si>
  <si>
    <t>CEC0310</t>
  </si>
  <si>
    <t>IMPRESORA LASERJET 1300</t>
  </si>
  <si>
    <t>CEC0311</t>
  </si>
  <si>
    <t>ARCHIVERO PEQUEÑO 3 CAJONES</t>
  </si>
  <si>
    <t>CEC0312</t>
  </si>
  <si>
    <t>CEC0313</t>
  </si>
  <si>
    <t>CEC0314</t>
  </si>
  <si>
    <t>"U" EJECUTIVA CON LIBRERO Y PUERTAS PEQUEÑAS</t>
  </si>
  <si>
    <t>CEC0315</t>
  </si>
  <si>
    <t xml:space="preserve">MESA PARA JUNTAS </t>
  </si>
  <si>
    <t>CEC0316</t>
  </si>
  <si>
    <t>SILLÓN NEGRO C/DESC. BRAZOS Y RUEDITAS</t>
  </si>
  <si>
    <t>CEC0317</t>
  </si>
  <si>
    <t>CEC0318</t>
  </si>
  <si>
    <t>CEC0319</t>
  </si>
  <si>
    <t>CEC0320</t>
  </si>
  <si>
    <t>CEC0321</t>
  </si>
  <si>
    <t>CEC0322</t>
  </si>
  <si>
    <t>CEC0323</t>
  </si>
  <si>
    <t>CEC0324</t>
  </si>
  <si>
    <t>CEC0326</t>
  </si>
  <si>
    <t>MESITA PARA CAFÉ CON 2 PUERTAS</t>
  </si>
  <si>
    <t>CEC0327</t>
  </si>
  <si>
    <t>CEC0329</t>
  </si>
  <si>
    <t>CEC0330</t>
  </si>
  <si>
    <t>CEC0331</t>
  </si>
  <si>
    <t>SILLA SECRETARIAL C/DESC. BRAZOS</t>
  </si>
  <si>
    <t>CEC0332</t>
  </si>
  <si>
    <t>CEC0333</t>
  </si>
  <si>
    <t>CEC0334</t>
  </si>
  <si>
    <t>CEC0339</t>
  </si>
  <si>
    <t>MESITA</t>
  </si>
  <si>
    <t>CEC0340</t>
  </si>
  <si>
    <t>SILLA TRINEO CON DESCANZA BRAZOS</t>
  </si>
  <si>
    <t>CEC0341</t>
  </si>
  <si>
    <t>CEC0342</t>
  </si>
  <si>
    <t>CEC0343</t>
  </si>
  <si>
    <t>ESCRITORIO EJECUTIVO 6 CAJONES</t>
  </si>
  <si>
    <t>CEC0345</t>
  </si>
  <si>
    <t>SILLÓN EJECECUTIVO PRINCIPAL NEGRO C/DESC. BRAZOS</t>
  </si>
  <si>
    <t>CEC0346</t>
  </si>
  <si>
    <t>SILLÓN EJECUTIVO NEGRO C/ DESC. BRAZOS</t>
  </si>
  <si>
    <t>CEC0347</t>
  </si>
  <si>
    <t>CEC0348</t>
  </si>
  <si>
    <t>REGRIGERADOR 5 PIES</t>
  </si>
  <si>
    <t>CEC0349</t>
  </si>
  <si>
    <t>LIBRERO GRANDE 3 PIEZAS</t>
  </si>
  <si>
    <t>CEC0350</t>
  </si>
  <si>
    <t>SILLA MADERA PIEL C/DESC. BRAZOS</t>
  </si>
  <si>
    <t>CEC0351</t>
  </si>
  <si>
    <t>CEC0352</t>
  </si>
  <si>
    <t>CEC0353</t>
  </si>
  <si>
    <t>CEC0354</t>
  </si>
  <si>
    <t>CEC0355</t>
  </si>
  <si>
    <t>CEC0356</t>
  </si>
  <si>
    <t>CEC0357</t>
  </si>
  <si>
    <t>CEC0358</t>
  </si>
  <si>
    <t>CEC0359</t>
  </si>
  <si>
    <t>CEC0360</t>
  </si>
  <si>
    <t>CEC0361</t>
  </si>
  <si>
    <t>CEC0362</t>
  </si>
  <si>
    <t>CEC0363</t>
  </si>
  <si>
    <t>CEC0364</t>
  </si>
  <si>
    <t>CEC0365</t>
  </si>
  <si>
    <t>CEC0366</t>
  </si>
  <si>
    <t>CEC0367</t>
  </si>
  <si>
    <t>SILLA MADERA PIEL C/DESC. BRAZOS  C/RUEDITAS</t>
  </si>
  <si>
    <t>CEC0368</t>
  </si>
  <si>
    <t>VITRINA PORTA BANDERA</t>
  </si>
  <si>
    <t>CEC0369</t>
  </si>
  <si>
    <t>CEC0370</t>
  </si>
  <si>
    <t>GRAN MESA DE JUNTAS</t>
  </si>
  <si>
    <t>CEC0373</t>
  </si>
  <si>
    <t>MESA ESQUINERA</t>
  </si>
  <si>
    <t>CEC0376</t>
  </si>
  <si>
    <t>PANTALLA PARA PROYECCIÓN DE IMÁGENES Y VIDEO</t>
  </si>
  <si>
    <t>CEC0377</t>
  </si>
  <si>
    <t>PROYECTOR CONTROL REMOTO</t>
  </si>
  <si>
    <t>CEC0378</t>
  </si>
  <si>
    <t>COMPUTADORA COLOR AZUL</t>
  </si>
  <si>
    <t>CEC0380</t>
  </si>
  <si>
    <t>ARCHIVERO DOS CAJONES</t>
  </si>
  <si>
    <t>CEC0382</t>
  </si>
  <si>
    <t>CEC0384</t>
  </si>
  <si>
    <t>SILLÓN NEGRO PIEL 3 PLAZAS</t>
  </si>
  <si>
    <t>CEC0386</t>
  </si>
  <si>
    <t>SERVIBAR 5 PIES</t>
  </si>
  <si>
    <t>CEC0388</t>
  </si>
  <si>
    <t xml:space="preserve">MESITA MADERA </t>
  </si>
  <si>
    <t>CEC0389</t>
  </si>
  <si>
    <t>CONJUNTO MODULAR EJECUTIVO DE 1.9 X 2.2</t>
  </si>
  <si>
    <t>CEC0390</t>
  </si>
  <si>
    <t>BATERÍA DE 3 PLAZAS TELA COLOR NEGRO</t>
  </si>
  <si>
    <t>CEC0391</t>
  </si>
  <si>
    <t>CEC0393</t>
  </si>
  <si>
    <t>CEC0395</t>
  </si>
  <si>
    <t>CEC0397</t>
  </si>
  <si>
    <t>CEC0398</t>
  </si>
  <si>
    <t>CEC0400</t>
  </si>
  <si>
    <t>MULTIFUNCIONAL OFFICE PRO K5400</t>
  </si>
  <si>
    <t>CEC0402</t>
  </si>
  <si>
    <t>COMPUTADORA ESCRITORIO</t>
  </si>
  <si>
    <t>CEC0404</t>
  </si>
  <si>
    <t>COMPUTADORA LAPTOP</t>
  </si>
  <si>
    <t>CEC0405</t>
  </si>
  <si>
    <t>CEC0406</t>
  </si>
  <si>
    <t>SILLA SECRETARIAL C/RUEDITAS</t>
  </si>
  <si>
    <t>CEC0408</t>
  </si>
  <si>
    <t>CEC0409</t>
  </si>
  <si>
    <t>ESCRITORIO PEQUEÑO 2 CAJONES</t>
  </si>
  <si>
    <t>CEC0410</t>
  </si>
  <si>
    <t>CÁMARA FOTOGRÁFICA  EOS REBEL T3I MEMORIA 16 GB</t>
  </si>
  <si>
    <t>CEC0411</t>
  </si>
  <si>
    <t>IMPRESORA LASER  P1102W</t>
  </si>
  <si>
    <t>CEC0413</t>
  </si>
  <si>
    <t>CEC0414</t>
  </si>
  <si>
    <t>CEC0415</t>
  </si>
  <si>
    <t>CEC0416</t>
  </si>
  <si>
    <t>CEC0419</t>
  </si>
  <si>
    <t>CEC0420</t>
  </si>
  <si>
    <t>CEC0421</t>
  </si>
  <si>
    <t>CEC0422</t>
  </si>
  <si>
    <t>CEC0423</t>
  </si>
  <si>
    <t>CEC0424</t>
  </si>
  <si>
    <t>CEC0428</t>
  </si>
  <si>
    <t>SILLÓN VINIPIEL C/ DESCANSA BRAZOS</t>
  </si>
  <si>
    <t>CEC0429</t>
  </si>
  <si>
    <t>SILLA DE VISITA NEGRA C/DESC. BRAZOS</t>
  </si>
  <si>
    <t>CEC0430</t>
  </si>
  <si>
    <t>CEC0431</t>
  </si>
  <si>
    <t>COMPUTADORA GHIA - INTEL PENTIUM COLOR NEGRO</t>
  </si>
  <si>
    <t>CEC0433</t>
  </si>
  <si>
    <t>SILLÓN SECRETARIAL</t>
  </si>
  <si>
    <t>CEC0434</t>
  </si>
  <si>
    <t>CEC0435</t>
  </si>
  <si>
    <t>CONJUNTO MODULAR EJECUTIVO DE 1.8X2.5X1.85C/2 CAJONES</t>
  </si>
  <si>
    <t>CEC0436</t>
  </si>
  <si>
    <t>LIBRERO C/ PUERTAS DE 1.8X.85X.35 COLOR CHOCOLATE</t>
  </si>
  <si>
    <t>CEC0437</t>
  </si>
  <si>
    <t>MESA DE 1.2 DE DIAMETRO COLOR CHOCOLATE</t>
  </si>
  <si>
    <t>CEC0438</t>
  </si>
  <si>
    <t>SILLON EJECUTIVO TAPIZADO EN  TELA NEGRA</t>
  </si>
  <si>
    <t>CEC0439</t>
  </si>
  <si>
    <t>SILLON DE VISITA C/ DESCANSA BRAZOS</t>
  </si>
  <si>
    <t>CEC0440</t>
  </si>
  <si>
    <t>CEC0441</t>
  </si>
  <si>
    <t>CEC0442</t>
  </si>
  <si>
    <t>CEC0443</t>
  </si>
  <si>
    <t>CEC0444</t>
  </si>
  <si>
    <t>CEC0445</t>
  </si>
  <si>
    <t xml:space="preserve">MINISPLIT 1.5 TONELADAS </t>
  </si>
  <si>
    <t>CEC0446</t>
  </si>
  <si>
    <t>COMPUTADORA LANIX TITAN HX4130CORE E5400</t>
  </si>
  <si>
    <t>CEC0447</t>
  </si>
  <si>
    <t>MONITOR LCD 20" WIDESCREEN</t>
  </si>
  <si>
    <t>CEC0448</t>
  </si>
  <si>
    <t>ARCHIVERO VERTICAL 3 GAVETAS T/OFICIO</t>
  </si>
  <si>
    <t>CEC0449</t>
  </si>
  <si>
    <t>SWITCH 3COM BASELIN 24 PUERTOS 10/100MBBPS</t>
  </si>
  <si>
    <t>CEC0450</t>
  </si>
  <si>
    <t>COMPUTADORA PORTATIL HP PAVILON, PANTALLA 14</t>
  </si>
  <si>
    <t>CEC0451</t>
  </si>
  <si>
    <t>CONJUNTO MODULAR DE1.80X2.25,85C/CAJONESC/LIBRERO</t>
  </si>
  <si>
    <t>CEC0452</t>
  </si>
  <si>
    <t>ARCHIVERO 3 GAVETAS T/O C/ CORREDEDAS</t>
  </si>
  <si>
    <t>CEC0453</t>
  </si>
  <si>
    <t>CEC0454</t>
  </si>
  <si>
    <t>CEC0455</t>
  </si>
  <si>
    <t>CEC0456</t>
  </si>
  <si>
    <t>MINI SPLIT 1 TON.</t>
  </si>
  <si>
    <t>CEC0459</t>
  </si>
  <si>
    <t>IMPRESORA  HP 4000</t>
  </si>
  <si>
    <t>CEC0460</t>
  </si>
  <si>
    <t>COMPUTADORA PORTATIL</t>
  </si>
  <si>
    <t>CEC0461</t>
  </si>
  <si>
    <t>PENINSULA DE 1.20 X 0.60 CON LATERAL IZQUIERDO C.CHOCOLATE</t>
  </si>
  <si>
    <t>CEC0462</t>
  </si>
  <si>
    <t>CEC0465</t>
  </si>
  <si>
    <t xml:space="preserve">COMPUTADORA </t>
  </si>
  <si>
    <t>CEC0467</t>
  </si>
  <si>
    <t>CEC0468</t>
  </si>
  <si>
    <t>SILLA SECRETARIAL TAPIZADA EN TELA NEGRA</t>
  </si>
  <si>
    <t>CEC0470</t>
  </si>
  <si>
    <t>CEC0471</t>
  </si>
  <si>
    <t>CEC0472</t>
  </si>
  <si>
    <t>CEC0474</t>
  </si>
  <si>
    <t>CEC0475</t>
  </si>
  <si>
    <t>CAMARA FOTOGRAFICA PROFECIONAL</t>
  </si>
  <si>
    <t>CEC0476</t>
  </si>
  <si>
    <t>MULTIFUNCIONAL COLOR XEROX PHASER 6121</t>
  </si>
  <si>
    <t>CEC0477</t>
  </si>
  <si>
    <t>CEC0478</t>
  </si>
  <si>
    <t>CEC0479</t>
  </si>
  <si>
    <t>CEC0480</t>
  </si>
  <si>
    <t>SILLON EJECUTIVO TELA NEGRA</t>
  </si>
  <si>
    <t>CEC0481</t>
  </si>
  <si>
    <t>CEC0482</t>
  </si>
  <si>
    <t>CEC0483</t>
  </si>
  <si>
    <t xml:space="preserve">COMPUTADORA LANIX TITAN  </t>
  </si>
  <si>
    <t>CEC0484</t>
  </si>
  <si>
    <t>MONITOR LCD 17" CON BOCINA</t>
  </si>
  <si>
    <t>CEC0486</t>
  </si>
  <si>
    <t>MESA DE TRABAJO GRANDE</t>
  </si>
  <si>
    <t>CEC0487</t>
  </si>
  <si>
    <t>1 CREDENZA 4 CAJONES</t>
  </si>
  <si>
    <t>CEC0488</t>
  </si>
  <si>
    <t>ARCHIVERO 2 GAVETAS T/O C/ CORREDEDAS</t>
  </si>
  <si>
    <t>CEC0489</t>
  </si>
  <si>
    <t>CEC0490</t>
  </si>
  <si>
    <t>CEC0491</t>
  </si>
  <si>
    <t>CEC0492</t>
  </si>
  <si>
    <t xml:space="preserve">MODULO DE TRABAJO 1.10 X 60 X1.10 CON MAMPARA DIVISORA Y GABETA </t>
  </si>
  <si>
    <t>CEC0493</t>
  </si>
  <si>
    <t>CEC0494</t>
  </si>
  <si>
    <t>MODULO DE TRABAJO 1.10 X 60 X1.10 CON MAMPARA DIVISORA Y GABETA</t>
  </si>
  <si>
    <t>CEC0495</t>
  </si>
  <si>
    <t>CEC0497</t>
  </si>
  <si>
    <t>CEC0498</t>
  </si>
  <si>
    <t>CEC0499</t>
  </si>
  <si>
    <t>SILLÓN EJECUTIVO EN DELIPIEL COLOR NEGRO</t>
  </si>
  <si>
    <t>CEC0501</t>
  </si>
  <si>
    <t>CEC0502</t>
  </si>
  <si>
    <t>CEC0503</t>
  </si>
  <si>
    <t>CEC0507</t>
  </si>
  <si>
    <t>CEC0508</t>
  </si>
  <si>
    <t>ESCRITORIO PEQUEÑO CON 2 CAJONES</t>
  </si>
  <si>
    <t>CEC0509</t>
  </si>
  <si>
    <t>CEC0510</t>
  </si>
  <si>
    <t>CEC0512</t>
  </si>
  <si>
    <t>CEC0514</t>
  </si>
  <si>
    <t>CEC0516</t>
  </si>
  <si>
    <t>CEC0517</t>
  </si>
  <si>
    <t>CEC0518</t>
  </si>
  <si>
    <t>CEC0522</t>
  </si>
  <si>
    <t>CEC0524</t>
  </si>
  <si>
    <t>CEC0526</t>
  </si>
  <si>
    <t>CEC0527</t>
  </si>
  <si>
    <t>CEC0529</t>
  </si>
  <si>
    <t>CEC0530</t>
  </si>
  <si>
    <t>CEC0532</t>
  </si>
  <si>
    <t>CEC0533</t>
  </si>
  <si>
    <t>MODULO DE TRABAJO 1.10 X 60 X1.10 CON MAMPARA DIVISORA Y GABETA COMPARTIDO</t>
  </si>
  <si>
    <t>CEC0534</t>
  </si>
  <si>
    <t>CEC0535</t>
  </si>
  <si>
    <t>CEC0536</t>
  </si>
  <si>
    <t>CEC0537</t>
  </si>
  <si>
    <t>MÓDULO DE RECEPCIÓN SEMI CURVO DE 1.2 X 0.8 X 1.10</t>
  </si>
  <si>
    <t>CEC0538</t>
  </si>
  <si>
    <t>CEC0539</t>
  </si>
  <si>
    <t>EQUIPO DE AIRE ACONDICIONADO MINISPLIT 2 TONELADAS</t>
  </si>
  <si>
    <t>CEC0540</t>
  </si>
  <si>
    <t>CEC0542</t>
  </si>
  <si>
    <t>CEC0544</t>
  </si>
  <si>
    <t>CEC0546</t>
  </si>
  <si>
    <t>CEC0547</t>
  </si>
  <si>
    <t>SILLA TAPIZADA EN TELA NEGRA</t>
  </si>
  <si>
    <t>CEC0548</t>
  </si>
  <si>
    <t>EQUIPO DE AIRE MINISPLIT 1 TONELADA</t>
  </si>
  <si>
    <t>CEC0550</t>
  </si>
  <si>
    <t>CEC0551</t>
  </si>
  <si>
    <t>CEC0553</t>
  </si>
  <si>
    <t>CEC0554</t>
  </si>
  <si>
    <t>CEC0556</t>
  </si>
  <si>
    <t>CEC0557</t>
  </si>
  <si>
    <t>CEC0563</t>
  </si>
  <si>
    <t>CAMARA DIGITAL</t>
  </si>
  <si>
    <t>CEC0564</t>
  </si>
  <si>
    <t>EQUIPO DE AIRE ACONDICIONADO 1 TONELADA</t>
  </si>
  <si>
    <t>CEC0565</t>
  </si>
  <si>
    <t>CEC0566</t>
  </si>
  <si>
    <t>EQUIPO DE AIRE ACONDICIONADO 1 .5 TONELADAS</t>
  </si>
  <si>
    <t>CEC0567</t>
  </si>
  <si>
    <t>PROYECTOR EPSON LCD MODELO H436A</t>
  </si>
  <si>
    <t>CEC0571</t>
  </si>
  <si>
    <t>MODULO DE ESTANTERÍA METALICO</t>
  </si>
  <si>
    <t>CEC0572</t>
  </si>
  <si>
    <t>CEC0575</t>
  </si>
  <si>
    <t>CEC0576</t>
  </si>
  <si>
    <t>SERVIDOR</t>
  </si>
  <si>
    <t>CEC0577</t>
  </si>
  <si>
    <t>EQUIPO DE REFRIGERACIÓN MINISPLIT 2 TONELADAS</t>
  </si>
  <si>
    <t>CEC0580</t>
  </si>
  <si>
    <t>EQUIPO DE REFRIGERACIÓN MINISPLIT 1 TONELADAS</t>
  </si>
  <si>
    <t>CEC0582</t>
  </si>
  <si>
    <t>CEC0583</t>
  </si>
  <si>
    <t>CEC0584</t>
  </si>
  <si>
    <t>CEC0585</t>
  </si>
  <si>
    <t>EQUIPO DE REFRIGERACIÓN MINISPLIT 1 .5 TONELADAS</t>
  </si>
  <si>
    <t>CEC0586</t>
  </si>
  <si>
    <t>CEC0587</t>
  </si>
  <si>
    <t>CEC0588</t>
  </si>
  <si>
    <t>MAQUINA DE ESCRIBIR</t>
  </si>
  <si>
    <t>CEC0589</t>
  </si>
  <si>
    <t xml:space="preserve">EQUIPO HIDRONEUMATICO CON BOMBA DE 3/4 </t>
  </si>
  <si>
    <t>CEC0590</t>
  </si>
  <si>
    <t>CEC0591</t>
  </si>
  <si>
    <t>CEC0592</t>
  </si>
  <si>
    <t>CEC0593</t>
  </si>
  <si>
    <t>CEC0599</t>
  </si>
  <si>
    <t xml:space="preserve">MESA DE 1.2 DE DIAMETRO </t>
  </si>
  <si>
    <t>CEC0602</t>
  </si>
  <si>
    <t>EQUIPO DE REFRIGERACIÓN CENTRAL</t>
  </si>
  <si>
    <t>CEC0617</t>
  </si>
  <si>
    <t>EQUIPO DE REFRIGERACIÓN 4 TONELADAS</t>
  </si>
  <si>
    <t>CEC0620</t>
  </si>
  <si>
    <t>EQUIPO DE REFRIGERACIÓN 3 TONELADAS</t>
  </si>
  <si>
    <t>CEC0622</t>
  </si>
  <si>
    <t>CONCENTRADOR 16 PUERTOS</t>
  </si>
  <si>
    <t>CEC0625</t>
  </si>
  <si>
    <t>COMPUTADORA PORTATIL IDEAPAD LENOVO G480</t>
  </si>
  <si>
    <t>CEC0626</t>
  </si>
  <si>
    <t>CEC0627</t>
  </si>
  <si>
    <t>PROYECTOR PORTABLE INFOCUS MODELO IN112</t>
  </si>
  <si>
    <t>CEC0628</t>
  </si>
  <si>
    <t>CEC0629</t>
  </si>
  <si>
    <t>COMPUTADORA PORTATIL LAPTOP ASUS, QUEMADOR CD/DVD</t>
  </si>
  <si>
    <t>CEC0630</t>
  </si>
  <si>
    <t>ESCANER MOVIL PERSONAL CANON P215</t>
  </si>
  <si>
    <t>CEC0631</t>
  </si>
  <si>
    <t>MUEBLE PARA ARCHIVO DE CARPETAS, MELANINA NEGRO CAOBA</t>
  </si>
  <si>
    <t>CEC0632</t>
  </si>
  <si>
    <t>COMPUTADORA ARMADA GENÉRICA DE TORRE</t>
  </si>
  <si>
    <t>CEC0633</t>
  </si>
  <si>
    <t>CEC0634</t>
  </si>
  <si>
    <t>CEC0638</t>
  </si>
  <si>
    <t>PROYECTOR PORTATIL POWER LITE COLOR NEGRO</t>
  </si>
  <si>
    <t>CEC0639</t>
  </si>
  <si>
    <t>CEC0640</t>
  </si>
  <si>
    <t>COMPUTADORA CPU GENÉRICA CON DVD LG</t>
  </si>
  <si>
    <t>CEC0642</t>
  </si>
  <si>
    <t>IMPRESORA HP LASERJET MULTIFUNCIONAL M132</t>
  </si>
  <si>
    <t>CEC0643</t>
  </si>
  <si>
    <t>CEC0644</t>
  </si>
  <si>
    <t>IMPRESORA OFFICEJET 8100</t>
  </si>
  <si>
    <t>CEC0645</t>
  </si>
  <si>
    <t>CÁMARA FOTOGRÁFICA  DIGITAL SONY CYBERSHOT W70/16.1 MP/VIDEO</t>
  </si>
  <si>
    <t>CEC0646</t>
  </si>
  <si>
    <t>CEC0647</t>
  </si>
  <si>
    <t>CEC0648</t>
  </si>
  <si>
    <t>CEC0649</t>
  </si>
  <si>
    <t>PANTALLA DE PROYECCIÓN PORTATIL MODELO S14</t>
  </si>
  <si>
    <t>CEC0650</t>
  </si>
  <si>
    <t>EQUIPO DE SONIDO C/ BOCINA, PEDESTAL Y MICROFONO MODELO SBX1519BT</t>
  </si>
  <si>
    <t>CEC0651</t>
  </si>
  <si>
    <t>300 SILLAS DE LÁMINA</t>
  </si>
  <si>
    <t>CEC0652</t>
  </si>
  <si>
    <t>CALEFACTOR ELÉCTRICO</t>
  </si>
  <si>
    <t>CEC0653</t>
  </si>
  <si>
    <t>CEC0655</t>
  </si>
  <si>
    <t>MULTIFUNCIONAL OFFICEJET PRO 8600</t>
  </si>
  <si>
    <t>CEC0656</t>
  </si>
  <si>
    <t>CEC0657</t>
  </si>
  <si>
    <t>COMPUTADORA CORE I5 DE 3.2 GHZ 8 GB RAM, DISCO DE 1T</t>
  </si>
  <si>
    <t>CEC0658</t>
  </si>
  <si>
    <t>CEC0659</t>
  </si>
  <si>
    <t>CEC0660</t>
  </si>
  <si>
    <t>CEC0661</t>
  </si>
  <si>
    <t>COMPUTADORA CORE I3 DE 3.3 GHZ 4 GB RAM, DISCO DE 500 GB</t>
  </si>
  <si>
    <t>CEC0662</t>
  </si>
  <si>
    <t>CEC0663</t>
  </si>
  <si>
    <t>CEC0665</t>
  </si>
  <si>
    <t>ESCANER CANON DR-6010C VELOCIDAD DE 60 Y 120 PPM</t>
  </si>
  <si>
    <t>CEC0669</t>
  </si>
  <si>
    <t>FLASH CANON PARA CÁMARA SPEEDLITE 270</t>
  </si>
  <si>
    <t>CEC0670</t>
  </si>
  <si>
    <t>ESCANER CANON DR-M160 II</t>
  </si>
  <si>
    <t>CEC0671</t>
  </si>
  <si>
    <t>CEC0672</t>
  </si>
  <si>
    <t>CEC0673</t>
  </si>
  <si>
    <t>IMPRESORA LASER COLOR SAMSUNG EPRESS C410 W</t>
  </si>
  <si>
    <t>CEC0674</t>
  </si>
  <si>
    <t>IMPRESORA SAMSUNG SL</t>
  </si>
  <si>
    <t>CEC0675</t>
  </si>
  <si>
    <t>IMPRESORA MULTIFUNCIONAL LASER JET MFP M127FN</t>
  </si>
  <si>
    <t>S/N</t>
  </si>
  <si>
    <t>INMUEBLE CECOP (TERRENO Y CONSTRUCCIÓN)</t>
  </si>
  <si>
    <t>CECOP 34</t>
  </si>
  <si>
    <t>FORD RANGER 2001 VERDE CABINA Y MEDIA</t>
  </si>
  <si>
    <t>CECOP 35</t>
  </si>
  <si>
    <t>FORD FOCUS 2000 BLANCO</t>
  </si>
  <si>
    <t>CEC0676</t>
  </si>
  <si>
    <t>SILLÓN CON DESCANSA BRAZOS COLOR NEGRO</t>
  </si>
  <si>
    <t>CEC0677</t>
  </si>
  <si>
    <t>CEC0678</t>
  </si>
  <si>
    <t>CEC0679</t>
  </si>
  <si>
    <t>ARCHIVERO VERTICAL 4 GAVETAS CHOCOLATE GRIS</t>
  </si>
  <si>
    <t>CECOP 36</t>
  </si>
  <si>
    <t>MITSUBISHI L200 PICKUP COLOR BLANCO</t>
  </si>
  <si>
    <t>CECOP 37</t>
  </si>
  <si>
    <t>MITSUBISHI L200 PICKUP COLOR PLATA</t>
  </si>
  <si>
    <t>CECOP 38</t>
  </si>
  <si>
    <t>MITSUBISHI L200 PICKUP COLOR VERDE</t>
  </si>
  <si>
    <t>CEC0680</t>
  </si>
  <si>
    <t>EQUIPO DE REFRIGERACION MINISPLIT 1 TONELADA</t>
  </si>
  <si>
    <t>CEC0681</t>
  </si>
  <si>
    <t>CEC0682</t>
  </si>
  <si>
    <t>EQUIPO DE REFRIGERACION MINISPLIT 2 TONELADA</t>
  </si>
  <si>
    <t>CEC0683</t>
  </si>
  <si>
    <t>ESTACION DE TRABAJO DE 1.10 X .70 CON DIVISION CAOBA NEGRO</t>
  </si>
  <si>
    <t>CEC0684</t>
  </si>
  <si>
    <t>CEC0685</t>
  </si>
  <si>
    <t>CEC0686</t>
  </si>
  <si>
    <t>CEC0687</t>
  </si>
  <si>
    <t>CEC0688</t>
  </si>
  <si>
    <t>CEC0689</t>
  </si>
  <si>
    <t>ESTACION DE TRABAJO ESQUINERO DE 1.25 X .70 CON DIVISION  CAOBA NEGRO</t>
  </si>
  <si>
    <t>CEC0690</t>
  </si>
  <si>
    <t>MODULO EMPOTRABLE DE 1.10 X .35 X 1.65 NEGRO CAOBA</t>
  </si>
  <si>
    <t>CEC0691</t>
  </si>
  <si>
    <t>CEC0692</t>
  </si>
  <si>
    <t>CEC0693</t>
  </si>
  <si>
    <t>CEC0694</t>
  </si>
  <si>
    <t>CEC0695</t>
  </si>
  <si>
    <t>CEC0696</t>
  </si>
  <si>
    <t>CEC0697</t>
  </si>
  <si>
    <t>CEC0698</t>
  </si>
  <si>
    <t>CEC0699</t>
  </si>
  <si>
    <t>CEC0700</t>
  </si>
  <si>
    <t>CEC0701</t>
  </si>
  <si>
    <t>CEC0702</t>
  </si>
  <si>
    <t>CEC0703</t>
  </si>
  <si>
    <t>CEC0704</t>
  </si>
  <si>
    <t>CEC0705</t>
  </si>
  <si>
    <t>CEC0706</t>
  </si>
  <si>
    <t>CEC0707</t>
  </si>
  <si>
    <t>CEC0708</t>
  </si>
  <si>
    <t>CEC0709</t>
  </si>
  <si>
    <t>CEC0710</t>
  </si>
  <si>
    <t xml:space="preserve">TABLET IPAD PRO 9.7 WI-FI 32 GB </t>
  </si>
  <si>
    <t>ESCRITORIO PENINSULAR CON DOS GAVETAS NEGRO CAOBA</t>
  </si>
  <si>
    <t>ARCHIVERO HORIZONTAL DOS GAVETAS OFICIO</t>
  </si>
  <si>
    <t>IMPRESORA LASERJET PRO M176N</t>
  </si>
  <si>
    <t>ESCANER CANNON DR-C225</t>
  </si>
  <si>
    <t>SISTEMA ESTATAL DE EVALUACION</t>
  </si>
  <si>
    <t>CONSEJO ESTATAL DE CONCERTACION PARA LA OBRA PUBLICA</t>
  </si>
  <si>
    <t>ANALISIS DE LAS VARIACIONES PROGRAMATICO-PRESUPUESTAL</t>
  </si>
  <si>
    <t>TRASPASOS DE ABRIL A JUNIO DEL 2016</t>
  </si>
  <si>
    <t>TRASPASO DE LA PARTIDA</t>
  </si>
  <si>
    <t>A LA PARTIDA</t>
  </si>
  <si>
    <t>IMPORTE</t>
  </si>
  <si>
    <t>JUSTIFICACION</t>
  </si>
  <si>
    <t>DICHAS PARTIDAS RESULTAN CON INSUFICIENCIA PRESUPUESTAL POR MOTIVO DE QUE LA DIRECCION GENERAL DE POLITICA Y CONTROL PRESUPUESTAL DE LA SUBSECRETARIA DE EGRESOS NO LAS CONSIDERA EN EL PRESUPUESTO Y LA CEDULA QUE ENVIA LA DIRECCION GENERAL DE RECURSOS HUMANOS SI LAS AFECTA, POR LO CONSIGUIENTE AL MOMENTO DE CONTABILIZARLA NOS VEMOS EN LA NECESIDAD DE DARLES SUFICIENCIA POR MEDIO DE TRASPASOS ENTRE PARTIDAS  DEL MISMO CAPITULO, CABE ACLARAR QUE EL RECURSO DE LA 1000 LO MANEJA RECURSOS HUMANOS</t>
  </si>
  <si>
    <t>SE REALIZO TRASPASO A DICHA PARTIDA YA QUE NO CONTABA CON SUFICIENCIA PRESUPUESTAL  Y POR EL RITMO DE TRABAJO EN LA DEPENDENCIA SE NECESITABA ADQUIRIR TONERS, TINTAS</t>
  </si>
  <si>
    <t>SE REALIZO TRASPASO A DICHA PARTIDA YA QUE NO CONTABA CON SUFICIENCIA PRESUPUESTAL  Y SE REALIZARON COMPRAS DE HERRAMIENTAS MENORES</t>
  </si>
  <si>
    <t>SE REALIZO TRASPASO A DICHA PARTIDA YA QUE NO CONTABA CON SUFICIENCIA PRESUPUESTAL  Y SE REALIZARON COMPRAS DE LLAVES, CHAPAS PARA LA DEPENDENCIA</t>
  </si>
  <si>
    <t>SE REALIZO TRASPASO A DICHA PARTIDA YA QUE NO CONTABA CON SUFICIENCIA PRESUPUESTAL  Y SE REALIZARON COMPRAS CABLES, DISCOS DUROS</t>
  </si>
  <si>
    <t>SE REALIZO TRASPASO A DICHA PARTIDA YA QUE NO CONTABA CON SUFICIENCIA PRESUPUESTAL  Y SE ADQUIRIERON CAFÉ, AZUCAR, SODAS PARA ATENCION DE LAS PERSONAS DE LA DEPENDENCIA Y DE LAS QUE VISITAN LAS INSTALACIONES</t>
  </si>
  <si>
    <t>SE REALIZO TRASPASO A DICHA PARTIDA YA QUE NO CONTABA CON SUFICIENCIA PRESUPUESTAL  Y POR EL RITMO DE TRABAJO DE LA DEPENDENCIA SE HACEN MUCHAS GIRAS POR EL ESTADO Y SE LES TIENE QUE ESTAR DANDO SERVICIOS A LOS CARROS</t>
  </si>
  <si>
    <t>SE REALIZO TRASPASO A DICHA PARTIDA YA QUE NO CONTABA CON SUFICIENCIA PRESUPUESTAL  Y POR EL RITMO DE TRABAJO DE LA DEPENDENCIA SE HACEN MUCHAS GIRAS POR EL ESTADO Y SE LES TIENE QUE ESTAR DANDO SERVICIOS A LOS CARROS ASI COMO CAMBIO DE ALTERNADORES , LLANTAS, CAMBIO DE SUSPENSION</t>
  </si>
  <si>
    <t>SE REALIZO TRASPASO A DICHA PARTIDA YA QUE NO CONTABA CON SUFICIENCIA PRESUPUESTAL  Y SE REALIZARON PAGOS DE SEGUROS DE CARROS</t>
  </si>
  <si>
    <t>SE REALIZO TRASPASO A DICHA PARTIDA YA QUE NO CONTABA CON SUFICIENCIA PRESUPUESTAL  Y SE REALIZARON PAGOS DE LUZ DE LA DEPENDENCIA</t>
  </si>
  <si>
    <t>SE REALIZO TRASPASO A DICHA PARTIDA YA QUE NO CONTABA CON SUFICIENCIA PRESUPUESTAL  Y SE RENTO UNA GRUA PARA TRASLADAR UN CARRO DE LA DEPENDENCIA</t>
  </si>
  <si>
    <t>SE REALIZO TRASPASO A DICHA PARTIDA YA QUE NO CONTABA CON SUFICIENCIA PRESUPUESTAL  Y REALIZA EL PAGO DEL MANTENIMIENTO DE LOS EQUIPOS DE COMPUTO DE LA DEPENCIA</t>
  </si>
  <si>
    <t>SE REALIZO TRASPASO A DICHA PARTIDA YA QUE NO CONTABA CON SUFICIENCIA PRESUPUESTAL  Y ASI PODER REALIZAR EL PAGO DE AGUA DE LA DEPENDENCIA</t>
  </si>
  <si>
    <t>SE REALIZO TRASPASO A DICHA PARTIDA YA QUE NO CONTABA CON SUFICIENCIA PRESUPUESTAL  Y REALIZO LOS SERVICIOS A LOS APARATOS DE AIRES ACONDICIONADOS</t>
  </si>
  <si>
    <t>SE REALIZO TRASPASO A DICHA PARTIDA YA QUE NO CONTABA CON SUFICIENCIA PRESUPUESTAL  Y SE PAGARON ACTUALIZACIONES Y RECARGOS DE IMPUESTOS MENSUALES</t>
  </si>
  <si>
    <t>SE REALIZO TRASPASO A DICHA PARTIDA YA QUE NO CONTABA CON SUFICIENCIA PRESUPUESTAL  Y SE REALIZO COMPRA DE CHALECOS Y CASCOS DE CONSTRUCCION</t>
  </si>
  <si>
    <t>SE REALIZO TRASPASO A DICHA PARTIDA YA QUE NO CONTABA CON SUFICIENCIA PRESUPUESTAL  Y SE REALIZAN PAGOS A RADIO SONORA</t>
  </si>
  <si>
    <t>SE REALIZO TRASPASO A DICHA PARTIDA YA QUE NO CONTABA CON SUFICIENCIA PRESUPUESTAL  Y SE ADQUIRIO COMPUTADORAS</t>
  </si>
  <si>
    <t>SE REALIZO TRASPASO A DICHA PARTIDA YA QUE NO CONTABA CON SUFICIENCIA PRESUPUESTAL  Y SE REALIZARON TRABAJOS DE INVESTIGACION</t>
  </si>
  <si>
    <t>SE REALIZO TRASPASO A DICHA PARTIDA YA QUE NO CONTABA CON SUFICIENCIA PRESUPUESTAL  Y SE REALIZARON DE INSTALACION DE RED</t>
  </si>
  <si>
    <t>SE REALIZO TRASPASO A DICHA PARTIDA YA QUE NO CONTABA CON SUFICIENCIA PRESUPUESTAL  Y SE REALIZARON SALIDAS DE SUPERVISION LAS CUALES IMPLICABAN CUOTAS</t>
  </si>
  <si>
    <t>SE REALIZO TRASPASO A DICHA PARTIDA YA QUE NO CONTABA CON SUFICIENCIA PRESUPUESTAL  Y SE REALIZARON COMPRA DE PASAJE PARA ASISTIR A UNA CONVENCION</t>
  </si>
  <si>
    <t>EN ESTE TRIMESTRE SE REALIZO AMPLIACION A LA PARTIDA 51101 MOBILIARIO YA QUE SE REALIZO ADQUISICION DE MOBILIARIO ADMINISTRATIVO</t>
  </si>
  <si>
    <t>EN ESTE TRIMESTRE SE REALIZO AMPLIACION A LA PARTIDA 51501 BIENES INFORMATICOS YA QUE SE REALIZO ADQUISICION DE EQUIPO DE COMPUTO</t>
  </si>
  <si>
    <t>EN EL TRIMESTRE SE REALIZARON AFECTACION A LA CUENTA DE RESULTADOS ANTERIORES</t>
  </si>
  <si>
    <t>ORDEN DE PAGO 2015</t>
  </si>
  <si>
    <t>DEVOLUCION DE RECURSO 2015 PUERTO PEÑASCO</t>
  </si>
  <si>
    <t>ACTA ENTREGA RECEPCION CONTRATO 133/2015</t>
  </si>
  <si>
    <t>PENALIZACION A CONTRATO 151/15</t>
  </si>
  <si>
    <t>PENALIZACION A CONTRATO 158/15</t>
  </si>
  <si>
    <t>ACTA ENTREGA RECEPCION CONTRATO 109/2015</t>
  </si>
  <si>
    <t>ACTA ENTREGA RECEPCION CONTRATO 146/2015</t>
  </si>
  <si>
    <t>RESULTADOS DE EJERCICIOS ANTERIORES ABRIL A JUNIO</t>
  </si>
  <si>
    <t>AMPLIACION PRESUPUESTAL CON OFICIOS DE AUTORIZACION Y PARTIDAS</t>
  </si>
  <si>
    <t>OFICIO</t>
  </si>
  <si>
    <t>SH-ED-16-026</t>
  </si>
  <si>
    <t>SH-ED-16-062</t>
  </si>
  <si>
    <t>SH-ED-16-065</t>
  </si>
  <si>
    <t>SH-ED-16-067</t>
  </si>
  <si>
    <t>SH-ED-16-070</t>
  </si>
  <si>
    <t>SH-ED-16-072</t>
  </si>
  <si>
    <t>SH-ED-16-076</t>
  </si>
  <si>
    <t>SH-ED-16-077</t>
  </si>
  <si>
    <t>SH-ED-16-079</t>
  </si>
  <si>
    <t>EN ESTE TRIMESTRE SE REALIZO AMPLIACION PRESUPUESTAL EN EL CAPITULO 1000 PARTIDA 15304 PRESTACIONES DE RETIRO POR LA CANTIDAD DE $17,997.76</t>
  </si>
  <si>
    <t>NOTA: DICHOS TRASPASOS NO IMPLICAN NINGUNA MODIFICACION EN NUESTRA ESTRUCTURA</t>
  </si>
  <si>
    <t xml:space="preserve"> PROGRAMATICA, POR LO QUE NUESTRAS  METAS NO SE VEN AFECTADAS EN SU PROGRAMACION</t>
  </si>
  <si>
    <t xml:space="preserve">NOTA: LA PARTIDA 1000 LA MANEJA RECURSOS HUMANOS , POR LO QUE LA DEPENDENCIA NO REALIZA </t>
  </si>
  <si>
    <t>AUMENTOS NI DISMINUCIONES  PRESUPUESTALES MAS SOLO TRANSFERENCIA ENTRE PARTIDAS DERIVADAS</t>
  </si>
  <si>
    <t xml:space="preserve"> DE LO QUE REPORTA RECURSOS HUMANOS A LA DEPENDENCIA</t>
  </si>
  <si>
    <t>SE REALIZO AMPLIACION A LA PARTIDA 61416 POR LA CANTIDAD DE $2,349,372.19 LA CUAL ERA RECURSO DEL EJERCICIO 2015 Y SE APLICARA EN EL EJERCICIO 2016</t>
  </si>
  <si>
    <t xml:space="preserve">Ing. Manuel de Jesús Bustamante Sandoval                                </t>
  </si>
  <si>
    <t xml:space="preserve">Coordinador General                                                                              </t>
  </si>
  <si>
    <t xml:space="preserve">Ing. Miguel Servando Portoni Encinas             </t>
  </si>
  <si>
    <t>Director General de Administración y Finanzas</t>
  </si>
  <si>
    <t>2DO TRIM 2015</t>
  </si>
  <si>
    <t>2do Trim 2015</t>
  </si>
  <si>
    <t>INFORME SOBRE PASIVOS CONTINGENTES: Existe actualmente tres demandas laboral con numeros de expedientes  334/12/2 y 843/2013 aún no concluidas de acuerdo con lo que acontezca, desaparecen o se convierten en pasivos reales por ejemplo, juicios, garantías, avales, costos de planes de pensiones, jubilaciones, etc.</t>
  </si>
  <si>
    <t>AL CIERRE DEL 2DO TRIMESTRE 2016 NO HAY CAPTURA EN EL VOS DE OBRA 2016</t>
  </si>
  <si>
    <t xml:space="preserve">                                                                           Estado de Actividades                                                             ETCA-I-02</t>
  </si>
  <si>
    <t xml:space="preserve">                                                     Estado de Variación en la Hacienda Pública                                 ETCA-I-03</t>
  </si>
  <si>
    <t xml:space="preserve">                                                     Estado de Cambios en la Situación Financiera                                     ETCA-I-04</t>
  </si>
  <si>
    <t xml:space="preserve">                                                     Flujo de Efectivo                                     ETCA-I-05</t>
  </si>
  <si>
    <t xml:space="preserve">                                                           Estado Analítico del Activo                                        ETCA-I-06</t>
  </si>
  <si>
    <t xml:space="preserve">                                        Estado Analítico de la Deuda y Otros Pasivos                    ETCA-I-07</t>
  </si>
  <si>
    <t xml:space="preserve">                                             Informe sobre Pasivos Contingentes                                  ETCA-I-08</t>
  </si>
  <si>
    <t xml:space="preserve">                                                        Notas a los Estados Financieros                                          ETCA-I-09</t>
  </si>
  <si>
    <t xml:space="preserve">                                                                        Estado Analítico de Ingresos                                                     ETCA-II-10</t>
  </si>
  <si>
    <t xml:space="preserve">                                    Conciliacion entre los Ingresos Presupuestarios y Contables        ETCA-II-10-A</t>
  </si>
  <si>
    <t xml:space="preserve">                                                                     Estado Analítico del Ejercicio Presupuesto de Egresos                                         ETCA-II-11</t>
  </si>
  <si>
    <t xml:space="preserve">                                      Estado Analítico del Ejercicio Presupuesto de Egresos                           ETCA-II-11-A</t>
  </si>
  <si>
    <t xml:space="preserve">                                                                               Estado Analítico del Ejercicio Presupuesto de Egresos                                    ETCA-II-11-B1</t>
  </si>
  <si>
    <t xml:space="preserve">                                                  Estado Analítico del Ejercicio Presupuesto de Egresos                  ETCA-II-11-B2</t>
  </si>
  <si>
    <t xml:space="preserve">                                                           Estado Analítico del Ejercicio Presupuesto de Egresos                                      ETCA-11-B3</t>
  </si>
  <si>
    <t xml:space="preserve">                                                                        Estado Analítico del Ejercicio Presupuesto de Egresos                     ETCA-II-11-C</t>
  </si>
  <si>
    <t xml:space="preserve">                                                Conciliacion entre los Egresos Presupuestarios y los Gastos Contables                         ETCA-II-11-D</t>
  </si>
  <si>
    <t xml:space="preserve">                                                                               Estado Analítico del Ejercicio Presupuesto de Egresos                                             ETCA-II-11-E</t>
  </si>
  <si>
    <t xml:space="preserve">                                                                Endeudamiento Neto                                 ETCA-II-12</t>
  </si>
  <si>
    <t xml:space="preserve">                                                                   Intereses de la Deuda                                                              ETCA-II-13</t>
  </si>
  <si>
    <t xml:space="preserve">                                                                            Gasto Por Categoría Programática                                 ETCA-III-14</t>
  </si>
  <si>
    <t xml:space="preserve">                                                                          Gastos por proyectos de Inversión                                               ETCA-III-16</t>
  </si>
  <si>
    <t xml:space="preserve">                                          Indicadores de Postura Fiscal                       ETCA-IV-17</t>
  </si>
  <si>
    <t xml:space="preserve">                                          Relación de Bienes Muebles e Inmuebles que Componen su Patrimonio           ETCA-IV-19</t>
  </si>
  <si>
    <t xml:space="preserve">                                        Relación de esquemas bursátiles y de coberturas financieras      ETCA-IV-20</t>
  </si>
  <si>
    <t>ANEXO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</si>
</sst>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quot;* #,##0.00_-;\-&quot;€&quot;* #,##0.00_-;_-&quot;€&quot;* &quot;-&quot;??_-;_-@_-"/>
    <numFmt numFmtId="165" formatCode="00"/>
    <numFmt numFmtId="166" formatCode="0.00000"/>
  </numFmts>
  <fonts count="84" x14ac:knownFonts="1">
    <font>
      <sz val="11"/>
      <color theme="1"/>
      <name val="Calibri"/>
      <family val="2"/>
      <scheme val="minor"/>
    </font>
    <font>
      <sz val="10"/>
      <color theme="1"/>
      <name val="Arial Narrow"/>
      <family val="2"/>
    </font>
    <font>
      <sz val="10"/>
      <color rgb="FF000000"/>
      <name val="Arial Narrow"/>
      <family val="2"/>
    </font>
    <font>
      <b/>
      <sz val="10"/>
      <color theme="1"/>
      <name val="Arial Narrow"/>
      <family val="2"/>
    </font>
    <font>
      <sz val="10"/>
      <name val="Arial"/>
      <family val="2"/>
    </font>
    <font>
      <sz val="11"/>
      <color theme="1"/>
      <name val="Arial Narrow"/>
      <family val="2"/>
    </font>
    <font>
      <b/>
      <vertAlign val="superscript"/>
      <sz val="12"/>
      <color theme="1"/>
      <name val="Arial Narrow"/>
      <family val="2"/>
    </font>
    <font>
      <b/>
      <sz val="11"/>
      <color theme="1"/>
      <name val="Arial Narrow"/>
      <family val="2"/>
    </font>
    <font>
      <b/>
      <i/>
      <sz val="11"/>
      <color theme="1"/>
      <name val="Arial Narrow"/>
      <family val="2"/>
    </font>
    <font>
      <sz val="11"/>
      <color theme="1"/>
      <name val="Calibri"/>
      <family val="2"/>
      <scheme val="minor"/>
    </font>
    <font>
      <sz val="10"/>
      <name val="MS Sans Serif"/>
      <family val="2"/>
    </font>
    <font>
      <b/>
      <sz val="12"/>
      <color theme="1"/>
      <name val="Arial Narrow"/>
      <family val="2"/>
    </font>
    <font>
      <b/>
      <sz val="9"/>
      <color theme="1"/>
      <name val="Arial Narrow"/>
      <family val="2"/>
    </font>
    <font>
      <sz val="8"/>
      <color theme="1"/>
      <name val="Arial Narrow"/>
      <family val="2"/>
    </font>
    <font>
      <sz val="11"/>
      <color indexed="8"/>
      <name val="Calibri"/>
      <family val="2"/>
    </font>
    <font>
      <b/>
      <u/>
      <sz val="10"/>
      <color theme="1"/>
      <name val="Arial Narrow"/>
      <family val="2"/>
    </font>
    <font>
      <b/>
      <i/>
      <sz val="10"/>
      <color theme="1"/>
      <name val="Arial Narrow"/>
      <family val="2"/>
    </font>
    <font>
      <sz val="11"/>
      <color rgb="FF000000"/>
      <name val="Arial Narrow"/>
      <family val="2"/>
    </font>
    <font>
      <i/>
      <sz val="10"/>
      <color theme="1"/>
      <name val="Arial Narrow"/>
      <family val="2"/>
    </font>
    <font>
      <i/>
      <sz val="11"/>
      <color theme="1"/>
      <name val="Arial Narrow"/>
      <family val="2"/>
    </font>
    <font>
      <u/>
      <sz val="11"/>
      <color theme="10"/>
      <name val="Calibri"/>
      <family val="2"/>
    </font>
    <font>
      <b/>
      <sz val="10"/>
      <color rgb="FF000000"/>
      <name val="Arial Narrow"/>
      <family val="2"/>
    </font>
    <font>
      <sz val="12"/>
      <color theme="1"/>
      <name val="Arial Narrow"/>
      <family val="2"/>
    </font>
    <font>
      <b/>
      <sz val="11"/>
      <color rgb="FF000000"/>
      <name val="Arial Narrow"/>
      <family val="2"/>
    </font>
    <font>
      <sz val="9"/>
      <color theme="1"/>
      <name val="Arial Narrow"/>
      <family val="2"/>
    </font>
    <font>
      <sz val="6"/>
      <color theme="1"/>
      <name val="Arial Narrow"/>
      <family val="2"/>
    </font>
    <font>
      <b/>
      <i/>
      <sz val="8"/>
      <color theme="1"/>
      <name val="Arial Narrow"/>
      <family val="2"/>
    </font>
    <font>
      <b/>
      <sz val="8"/>
      <color theme="1"/>
      <name val="Arial Narrow"/>
      <family val="2"/>
    </font>
    <font>
      <sz val="7"/>
      <color theme="1"/>
      <name val="Arial Narrow"/>
      <family val="2"/>
    </font>
    <font>
      <b/>
      <sz val="6"/>
      <color rgb="FF000000"/>
      <name val="Arial Narrow"/>
      <family val="2"/>
    </font>
    <font>
      <sz val="6"/>
      <color rgb="FF000000"/>
      <name val="Arial Narrow"/>
      <family val="2"/>
    </font>
    <font>
      <b/>
      <sz val="9"/>
      <color rgb="FF000000"/>
      <name val="Arial Narrow"/>
      <family val="2"/>
    </font>
    <font>
      <sz val="9"/>
      <color rgb="FF000000"/>
      <name val="Arial Narrow"/>
      <family val="2"/>
    </font>
    <font>
      <b/>
      <u/>
      <sz val="11"/>
      <color rgb="FF000000"/>
      <name val="Arial Narrow"/>
      <family val="2"/>
    </font>
    <font>
      <b/>
      <i/>
      <sz val="9"/>
      <color rgb="FF000000"/>
      <name val="Arial Narrow"/>
      <family val="2"/>
    </font>
    <font>
      <i/>
      <sz val="9"/>
      <color rgb="FF000000"/>
      <name val="Arial Narrow"/>
      <family val="2"/>
    </font>
    <font>
      <b/>
      <sz val="14"/>
      <color theme="1"/>
      <name val="Arial Narrow"/>
      <family val="2"/>
    </font>
    <font>
      <b/>
      <i/>
      <sz val="11"/>
      <color rgb="FF000000"/>
      <name val="Arial Narrow"/>
      <family val="2"/>
    </font>
    <font>
      <b/>
      <i/>
      <sz val="10"/>
      <color rgb="FF000000"/>
      <name val="Arial Narrow"/>
      <family val="2"/>
    </font>
    <font>
      <b/>
      <i/>
      <sz val="9"/>
      <color theme="1"/>
      <name val="Arial Narrow"/>
      <family val="2"/>
    </font>
    <font>
      <b/>
      <sz val="12"/>
      <name val="Arial Narrow"/>
      <family val="2"/>
    </font>
    <font>
      <b/>
      <sz val="10"/>
      <name val="Arial Narrow"/>
      <family val="2"/>
    </font>
    <font>
      <sz val="10"/>
      <name val="Arial Narrow"/>
      <family val="2"/>
    </font>
    <font>
      <b/>
      <sz val="11"/>
      <name val="Arial Narrow"/>
      <family val="2"/>
    </font>
    <font>
      <b/>
      <sz val="20"/>
      <color theme="1"/>
      <name val="Arial Narrow"/>
      <family val="2"/>
    </font>
    <font>
      <b/>
      <i/>
      <sz val="10"/>
      <name val="Arial Narrow"/>
      <family val="2"/>
    </font>
    <font>
      <u/>
      <sz val="11"/>
      <color theme="10"/>
      <name val="Arial Narrow"/>
      <family val="2"/>
    </font>
    <font>
      <b/>
      <sz val="24"/>
      <color theme="1"/>
      <name val="Arial Narrow"/>
      <family val="2"/>
    </font>
    <font>
      <b/>
      <i/>
      <sz val="12"/>
      <color theme="1"/>
      <name val="Arial Narrow"/>
      <family val="2"/>
    </font>
    <font>
      <sz val="10"/>
      <color theme="1"/>
      <name val="Arial"/>
      <family val="2"/>
    </font>
    <font>
      <b/>
      <sz val="10"/>
      <color theme="1"/>
      <name val="Arial"/>
      <family val="2"/>
    </font>
    <font>
      <b/>
      <i/>
      <sz val="10"/>
      <color theme="1"/>
      <name val="Arial"/>
      <family val="2"/>
    </font>
    <font>
      <b/>
      <sz val="11"/>
      <color theme="1"/>
      <name val="Calibri"/>
      <family val="2"/>
      <scheme val="minor"/>
    </font>
    <font>
      <sz val="11"/>
      <color theme="0"/>
      <name val="Arial Narrow"/>
      <family val="2"/>
    </font>
    <font>
      <sz val="9"/>
      <color indexed="81"/>
      <name val="Tahoma"/>
      <family val="2"/>
    </font>
    <font>
      <b/>
      <sz val="9"/>
      <color indexed="81"/>
      <name val="Tahoma"/>
      <family val="2"/>
    </font>
    <font>
      <sz val="10"/>
      <color theme="0"/>
      <name val="Arial Narrow"/>
      <family val="2"/>
    </font>
    <font>
      <b/>
      <sz val="10"/>
      <color theme="0"/>
      <name val="Arial Narrow"/>
      <family val="2"/>
    </font>
    <font>
      <sz val="11"/>
      <color theme="1"/>
      <name val="Arial"/>
      <family val="2"/>
    </font>
    <font>
      <b/>
      <sz val="9"/>
      <color theme="0"/>
      <name val="Arial Narrow"/>
      <family val="2"/>
    </font>
    <font>
      <b/>
      <i/>
      <sz val="9"/>
      <color theme="3" tint="0.39997558519241921"/>
      <name val="Arial Narrow"/>
      <family val="2"/>
    </font>
    <font>
      <b/>
      <sz val="12"/>
      <color theme="0"/>
      <name val="Arial Narrow"/>
      <family val="2"/>
    </font>
    <font>
      <sz val="9"/>
      <color theme="1"/>
      <name val="Calibri"/>
      <family val="2"/>
      <scheme val="minor"/>
    </font>
    <font>
      <sz val="12"/>
      <color theme="0"/>
      <name val="Arial Narrow"/>
      <family val="2"/>
    </font>
    <font>
      <b/>
      <i/>
      <sz val="11"/>
      <color theme="1"/>
      <name val="Calibri"/>
      <family val="2"/>
      <scheme val="minor"/>
    </font>
    <font>
      <sz val="16"/>
      <color theme="0"/>
      <name val="Arial Narrow"/>
      <family val="2"/>
    </font>
    <font>
      <b/>
      <sz val="11"/>
      <color theme="0"/>
      <name val="Arial Narrow"/>
      <family val="2"/>
    </font>
    <font>
      <b/>
      <sz val="16"/>
      <color theme="0"/>
      <name val="Arial Narrow"/>
      <family val="2"/>
    </font>
    <font>
      <b/>
      <sz val="14"/>
      <color theme="0"/>
      <name val="Arial Narrow"/>
      <family val="2"/>
    </font>
    <font>
      <b/>
      <sz val="9"/>
      <color theme="0"/>
      <name val="Arial"/>
      <family val="2"/>
    </font>
    <font>
      <sz val="8"/>
      <color theme="1"/>
      <name val="Calibri"/>
      <family val="2"/>
      <scheme val="minor"/>
    </font>
    <font>
      <sz val="7"/>
      <color theme="1"/>
      <name val="Calibri"/>
      <family val="2"/>
      <scheme val="minor"/>
    </font>
    <font>
      <b/>
      <sz val="8"/>
      <color theme="1"/>
      <name val="Calibri"/>
      <family val="2"/>
      <scheme val="minor"/>
    </font>
    <font>
      <sz val="8"/>
      <color theme="1"/>
      <name val="Arial"/>
      <family val="2"/>
    </font>
    <font>
      <i/>
      <sz val="8"/>
      <color theme="1"/>
      <name val="Arial"/>
      <family val="2"/>
    </font>
    <font>
      <b/>
      <sz val="8"/>
      <name val="Arial"/>
      <family val="2"/>
    </font>
    <font>
      <b/>
      <sz val="8"/>
      <color indexed="8"/>
      <name val="Arial"/>
      <family val="2"/>
    </font>
    <font>
      <sz val="8"/>
      <name val="Arial"/>
      <family val="2"/>
    </font>
    <font>
      <sz val="8"/>
      <color indexed="8"/>
      <name val="Arial"/>
      <family val="2"/>
    </font>
    <font>
      <sz val="9"/>
      <color indexed="8"/>
      <name val="Times New Roman"/>
      <family val="1"/>
    </font>
    <font>
      <b/>
      <sz val="8"/>
      <color theme="1"/>
      <name val="Arial"/>
      <family val="2"/>
    </font>
    <font>
      <sz val="9"/>
      <color rgb="FF000000"/>
      <name val="Times New Roman"/>
      <family val="1"/>
    </font>
    <font>
      <sz val="9"/>
      <name val="Arial"/>
      <family val="2"/>
    </font>
    <font>
      <sz val="9"/>
      <color indexed="8"/>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indexed="47"/>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s>
  <cellStyleXfs count="14">
    <xf numFmtId="0" fontId="0"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0" fontId="10" fillId="0" borderId="0"/>
    <xf numFmtId="44" fontId="9" fillId="0" borderId="0" applyFont="0" applyFill="0" applyBorder="0" applyAlignment="0" applyProtection="0"/>
    <xf numFmtId="43" fontId="4" fillId="0" borderId="0" applyFont="0" applyFill="0" applyBorder="0" applyAlignment="0" applyProtection="0"/>
    <xf numFmtId="0" fontId="14" fillId="5" borderId="0" applyNumberFormat="0" applyBorder="0" applyAlignment="0" applyProtection="0"/>
    <xf numFmtId="0" fontId="9" fillId="0" borderId="0"/>
    <xf numFmtId="0" fontId="20" fillId="0" borderId="0" applyNumberFormat="0" applyFill="0" applyBorder="0" applyAlignment="0" applyProtection="0">
      <alignment vertical="top"/>
      <protection locked="0"/>
    </xf>
    <xf numFmtId="43" fontId="9" fillId="0" borderId="0" applyFont="0" applyFill="0" applyBorder="0" applyAlignment="0" applyProtection="0"/>
  </cellStyleXfs>
  <cellXfs count="1015">
    <xf numFmtId="0" fontId="0" fillId="0" borderId="0" xfId="0"/>
    <xf numFmtId="0" fontId="1" fillId="0" borderId="8" xfId="0" applyFont="1" applyBorder="1"/>
    <xf numFmtId="0" fontId="1" fillId="0" borderId="9" xfId="0" applyFont="1" applyBorder="1"/>
    <xf numFmtId="0" fontId="5" fillId="0" borderId="0" xfId="0" applyFont="1"/>
    <xf numFmtId="0" fontId="7" fillId="0" borderId="0" xfId="0" applyFont="1" applyFill="1" applyBorder="1" applyAlignment="1">
      <alignment horizontal="right" vertical="top"/>
    </xf>
    <xf numFmtId="0" fontId="12" fillId="0" borderId="0" xfId="0" applyFont="1" applyFill="1" applyBorder="1" applyAlignment="1">
      <alignment vertical="top"/>
    </xf>
    <xf numFmtId="0" fontId="5" fillId="0" borderId="0" xfId="0" applyFont="1" applyAlignment="1">
      <alignment vertical="center"/>
    </xf>
    <xf numFmtId="0" fontId="5" fillId="0" borderId="0" xfId="0" applyFont="1" applyAlignment="1"/>
    <xf numFmtId="0" fontId="1" fillId="0" borderId="1" xfId="0" applyFont="1" applyBorder="1"/>
    <xf numFmtId="0" fontId="1" fillId="0" borderId="2" xfId="0" applyFont="1" applyBorder="1"/>
    <xf numFmtId="0" fontId="1" fillId="0" borderId="3" xfId="0" applyFont="1" applyBorder="1"/>
    <xf numFmtId="0" fontId="1" fillId="0" borderId="5" xfId="0" applyFont="1" applyBorder="1"/>
    <xf numFmtId="0" fontId="1" fillId="0" borderId="0" xfId="0" applyFont="1" applyBorder="1"/>
    <xf numFmtId="0" fontId="1" fillId="0" borderId="6" xfId="0" applyFont="1" applyBorder="1"/>
    <xf numFmtId="0" fontId="3" fillId="0" borderId="5" xfId="0" applyFont="1" applyBorder="1"/>
    <xf numFmtId="0" fontId="3" fillId="0" borderId="0" xfId="0" applyFont="1" applyBorder="1" applyAlignment="1">
      <alignment vertical="justify"/>
    </xf>
    <xf numFmtId="0" fontId="1" fillId="0" borderId="7" xfId="0" applyFont="1" applyBorder="1"/>
    <xf numFmtId="0" fontId="3" fillId="0" borderId="8" xfId="0" applyFont="1" applyBorder="1" applyAlignment="1">
      <alignment vertical="justify"/>
    </xf>
    <xf numFmtId="0" fontId="5" fillId="0" borderId="0" xfId="0" applyFont="1" applyFill="1" applyBorder="1"/>
    <xf numFmtId="0" fontId="3" fillId="0" borderId="0" xfId="0" applyFont="1" applyBorder="1"/>
    <xf numFmtId="0" fontId="1" fillId="0" borderId="0" xfId="0" applyFont="1" applyBorder="1" applyAlignment="1"/>
    <xf numFmtId="0" fontId="1" fillId="0" borderId="5" xfId="0" quotePrefix="1" applyFont="1" applyBorder="1"/>
    <xf numFmtId="0" fontId="1" fillId="0" borderId="0" xfId="0" applyFont="1" applyFill="1" applyBorder="1"/>
    <xf numFmtId="0" fontId="22"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right" vertical="center" indent="1"/>
    </xf>
    <xf numFmtId="0" fontId="1" fillId="0" borderId="0" xfId="0" applyFont="1"/>
    <xf numFmtId="0" fontId="7" fillId="0" borderId="0" xfId="0" applyFont="1"/>
    <xf numFmtId="0" fontId="40" fillId="0" borderId="0" xfId="0" applyFont="1" applyAlignment="1"/>
    <xf numFmtId="0" fontId="41" fillId="0" borderId="40" xfId="0" applyFont="1" applyBorder="1" applyAlignment="1">
      <alignment horizontal="center" vertical="center"/>
    </xf>
    <xf numFmtId="0" fontId="41" fillId="0" borderId="36" xfId="0" applyFont="1" applyBorder="1" applyAlignment="1">
      <alignment horizontal="center" vertical="center"/>
    </xf>
    <xf numFmtId="0" fontId="41" fillId="0" borderId="39" xfId="0" applyFont="1" applyBorder="1" applyAlignment="1">
      <alignment horizontal="center" vertical="center"/>
    </xf>
    <xf numFmtId="0" fontId="47" fillId="0" borderId="0" xfId="0" applyFont="1" applyAlignment="1">
      <alignment horizontal="center"/>
    </xf>
    <xf numFmtId="0" fontId="5" fillId="2" borderId="0" xfId="0" applyFont="1" applyFill="1"/>
    <xf numFmtId="0" fontId="36" fillId="2" borderId="0" xfId="0" applyFont="1" applyFill="1"/>
    <xf numFmtId="0" fontId="11" fillId="2" borderId="19" xfId="0" applyFont="1" applyFill="1" applyBorder="1" applyAlignment="1">
      <alignment horizontal="center"/>
    </xf>
    <xf numFmtId="0" fontId="11" fillId="2" borderId="40" xfId="0" applyFont="1" applyFill="1" applyBorder="1" applyAlignment="1">
      <alignment horizontal="center"/>
    </xf>
    <xf numFmtId="0" fontId="11" fillId="0" borderId="20" xfId="0" applyFont="1" applyFill="1" applyBorder="1" applyAlignment="1">
      <alignment horizontal="center"/>
    </xf>
    <xf numFmtId="0" fontId="45" fillId="0" borderId="36" xfId="0" applyFont="1" applyFill="1" applyBorder="1" applyAlignment="1">
      <alignment horizontal="center" vertical="center"/>
    </xf>
    <xf numFmtId="0" fontId="5" fillId="0" borderId="0" xfId="0" applyFont="1" applyFill="1"/>
    <xf numFmtId="0" fontId="49" fillId="0" borderId="19" xfId="0" applyFont="1" applyBorder="1" applyAlignment="1">
      <alignment horizontal="left"/>
    </xf>
    <xf numFmtId="0" fontId="49" fillId="0" borderId="40" xfId="0" applyFont="1" applyBorder="1"/>
    <xf numFmtId="0" fontId="49" fillId="0" borderId="19" xfId="0" applyFont="1" applyBorder="1"/>
    <xf numFmtId="0" fontId="49" fillId="0" borderId="21" xfId="0" applyFont="1" applyBorder="1" applyAlignment="1">
      <alignment horizontal="left"/>
    </xf>
    <xf numFmtId="0" fontId="49" fillId="0" borderId="21" xfId="0" applyFont="1" applyBorder="1"/>
    <xf numFmtId="0" fontId="49" fillId="0" borderId="26" xfId="0" applyFont="1" applyBorder="1"/>
    <xf numFmtId="0" fontId="49" fillId="0" borderId="22" xfId="0" applyFont="1" applyBorder="1" applyAlignment="1">
      <alignment horizontal="left"/>
    </xf>
    <xf numFmtId="0" fontId="49" fillId="0" borderId="17" xfId="0" applyFont="1" applyBorder="1"/>
    <xf numFmtId="0" fontId="49" fillId="0" borderId="21" xfId="0" applyFont="1" applyBorder="1" applyAlignment="1">
      <alignment horizontal="left" vertical="center"/>
    </xf>
    <xf numFmtId="0" fontId="49" fillId="0" borderId="26" xfId="0" applyFont="1" applyBorder="1" applyAlignment="1">
      <alignment vertical="center"/>
    </xf>
    <xf numFmtId="0" fontId="49" fillId="0" borderId="21" xfId="0" applyFont="1" applyBorder="1" applyAlignment="1">
      <alignment wrapText="1"/>
    </xf>
    <xf numFmtId="0" fontId="50" fillId="0" borderId="0" xfId="0" applyFont="1" applyFill="1" applyBorder="1" applyAlignment="1">
      <alignment horizontal="center"/>
    </xf>
    <xf numFmtId="0" fontId="49" fillId="0" borderId="0" xfId="0" applyFont="1" applyFill="1" applyBorder="1" applyAlignment="1">
      <alignment horizontal="left"/>
    </xf>
    <xf numFmtId="0" fontId="49" fillId="0" borderId="0" xfId="0" applyFont="1"/>
    <xf numFmtId="0" fontId="49" fillId="0" borderId="0" xfId="0" applyFont="1" applyFill="1" applyBorder="1"/>
    <xf numFmtId="0" fontId="12" fillId="0" borderId="8" xfId="0" applyFont="1" applyFill="1" applyBorder="1" applyAlignment="1">
      <alignment vertical="center"/>
    </xf>
    <xf numFmtId="0" fontId="49" fillId="0" borderId="20" xfId="0" applyFont="1" applyBorder="1" applyAlignment="1">
      <alignment horizontal="left"/>
    </xf>
    <xf numFmtId="0" fontId="49" fillId="0" borderId="20" xfId="0" applyFont="1" applyBorder="1"/>
    <xf numFmtId="0" fontId="7" fillId="0" borderId="0" xfId="0" applyFont="1" applyFill="1" applyBorder="1" applyAlignment="1">
      <alignment horizontal="left" vertical="top"/>
    </xf>
    <xf numFmtId="0" fontId="49" fillId="0" borderId="21" xfId="0" applyFont="1" applyBorder="1" applyAlignment="1">
      <alignment vertical="center" wrapText="1"/>
    </xf>
    <xf numFmtId="0" fontId="49" fillId="0" borderId="19" xfId="0" applyFont="1" applyBorder="1" applyAlignment="1">
      <alignment wrapText="1"/>
    </xf>
    <xf numFmtId="0" fontId="49" fillId="0" borderId="19" xfId="0" applyFont="1" applyBorder="1" applyAlignment="1">
      <alignment horizontal="left" vertical="center"/>
    </xf>
    <xf numFmtId="43" fontId="16" fillId="2" borderId="0" xfId="0" applyNumberFormat="1" applyFont="1" applyFill="1" applyBorder="1" applyAlignment="1" applyProtection="1">
      <alignment wrapText="1"/>
    </xf>
    <xf numFmtId="0" fontId="7" fillId="0" borderId="0" xfId="0" applyFont="1" applyFill="1" applyBorder="1" applyAlignment="1" applyProtection="1">
      <alignment vertical="top"/>
      <protection locked="0"/>
    </xf>
    <xf numFmtId="0" fontId="5" fillId="0" borderId="0" xfId="0" applyFont="1" applyFill="1" applyProtection="1">
      <protection locked="0"/>
    </xf>
    <xf numFmtId="0" fontId="7" fillId="0" borderId="0" xfId="0" applyFont="1" applyFill="1" applyBorder="1" applyAlignment="1" applyProtection="1">
      <protection locked="0"/>
    </xf>
    <xf numFmtId="0" fontId="7" fillId="0" borderId="0" xfId="0" applyFont="1" applyFill="1" applyBorder="1" applyAlignment="1" applyProtection="1">
      <alignment horizontal="right" vertical="top"/>
      <protection locked="0"/>
    </xf>
    <xf numFmtId="0" fontId="7" fillId="0" borderId="0" xfId="0" applyFont="1" applyFill="1" applyBorder="1" applyAlignment="1" applyProtection="1">
      <alignment vertical="top" wrapText="1"/>
      <protection locked="0"/>
    </xf>
    <xf numFmtId="0" fontId="5" fillId="0" borderId="0" xfId="0" applyFont="1" applyFill="1" applyBorder="1" applyProtection="1">
      <protection locked="0"/>
    </xf>
    <xf numFmtId="0" fontId="12" fillId="0" borderId="0" xfId="0" applyFont="1" applyFill="1" applyBorder="1" applyAlignment="1" applyProtection="1">
      <alignment horizontal="center" vertical="top"/>
      <protection locked="0"/>
    </xf>
    <xf numFmtId="0" fontId="12" fillId="0" borderId="0" xfId="0" applyFont="1" applyFill="1" applyBorder="1" applyAlignment="1" applyProtection="1">
      <alignment vertical="top"/>
      <protection locked="0"/>
    </xf>
    <xf numFmtId="0" fontId="2" fillId="0" borderId="5" xfId="0" applyFont="1" applyFill="1" applyBorder="1" applyAlignment="1" applyProtection="1">
      <alignment vertical="top" wrapText="1"/>
      <protection locked="0"/>
    </xf>
    <xf numFmtId="0" fontId="2" fillId="0" borderId="0" xfId="0" applyFont="1" applyFill="1" applyBorder="1" applyAlignment="1" applyProtection="1">
      <alignment vertical="top" wrapText="1"/>
      <protection locked="0"/>
    </xf>
    <xf numFmtId="0" fontId="2" fillId="0" borderId="6" xfId="0" applyFont="1" applyFill="1" applyBorder="1" applyAlignment="1" applyProtection="1">
      <alignment vertical="top" wrapText="1"/>
      <protection locked="0"/>
    </xf>
    <xf numFmtId="0" fontId="8" fillId="0" borderId="5" xfId="0" applyFont="1" applyFill="1" applyBorder="1" applyAlignment="1" applyProtection="1">
      <alignment wrapText="1"/>
      <protection locked="0"/>
    </xf>
    <xf numFmtId="0" fontId="16" fillId="0" borderId="0" xfId="0" applyFont="1" applyFill="1" applyBorder="1" applyAlignment="1" applyProtection="1">
      <alignment wrapText="1"/>
      <protection locked="0"/>
    </xf>
    <xf numFmtId="0" fontId="5" fillId="0" borderId="0" xfId="0" applyFont="1" applyFill="1" applyBorder="1" applyAlignment="1" applyProtection="1">
      <alignment horizontal="justify" wrapText="1"/>
      <protection locked="0"/>
    </xf>
    <xf numFmtId="0" fontId="8" fillId="0" borderId="0" xfId="0" applyFont="1" applyFill="1" applyBorder="1" applyAlignment="1" applyProtection="1">
      <alignment wrapText="1"/>
      <protection locked="0"/>
    </xf>
    <xf numFmtId="0" fontId="16" fillId="0" borderId="6" xfId="0" applyFont="1" applyFill="1" applyBorder="1" applyAlignment="1" applyProtection="1">
      <alignment wrapText="1"/>
      <protection locked="0"/>
    </xf>
    <xf numFmtId="0" fontId="5" fillId="0" borderId="5" xfId="0" applyFont="1" applyFill="1" applyBorder="1" applyAlignment="1" applyProtection="1">
      <alignment wrapText="1"/>
      <protection locked="0"/>
    </xf>
    <xf numFmtId="43" fontId="1" fillId="0" borderId="0" xfId="8" applyNumberFormat="1" applyFont="1" applyFill="1" applyBorder="1" applyAlignment="1" applyProtection="1">
      <alignment vertical="top" wrapText="1"/>
      <protection locked="0"/>
    </xf>
    <xf numFmtId="0" fontId="5" fillId="0" borderId="0" xfId="0" applyFont="1" applyFill="1" applyBorder="1" applyAlignment="1" applyProtection="1">
      <alignment wrapText="1"/>
      <protection locked="0"/>
    </xf>
    <xf numFmtId="43" fontId="1" fillId="0" borderId="6" xfId="8" applyNumberFormat="1" applyFont="1" applyFill="1" applyBorder="1" applyAlignment="1" applyProtection="1">
      <alignment vertical="top" wrapText="1"/>
      <protection locked="0"/>
    </xf>
    <xf numFmtId="0" fontId="5" fillId="0" borderId="0" xfId="0" applyFont="1" applyFill="1" applyBorder="1" applyAlignment="1" applyProtection="1">
      <alignment horizontal="left" wrapText="1"/>
      <protection locked="0"/>
    </xf>
    <xf numFmtId="0" fontId="5" fillId="0" borderId="5" xfId="0" applyFont="1" applyFill="1" applyBorder="1" applyAlignment="1" applyProtection="1">
      <alignment horizontal="left" wrapText="1"/>
      <protection locked="0"/>
    </xf>
    <xf numFmtId="0" fontId="17" fillId="0" borderId="5" xfId="0" applyFont="1" applyFill="1" applyBorder="1" applyAlignment="1" applyProtection="1">
      <alignment horizontal="justify" wrapText="1"/>
      <protection locked="0"/>
    </xf>
    <xf numFmtId="43" fontId="1" fillId="0" borderId="0" xfId="0" applyNumberFormat="1" applyFont="1" applyFill="1" applyBorder="1" applyAlignment="1" applyProtection="1">
      <alignment wrapText="1"/>
      <protection locked="0"/>
    </xf>
    <xf numFmtId="43" fontId="18" fillId="0" borderId="0" xfId="0" applyNumberFormat="1" applyFont="1" applyFill="1" applyBorder="1" applyAlignment="1" applyProtection="1">
      <alignment wrapText="1"/>
      <protection locked="0"/>
    </xf>
    <xf numFmtId="0" fontId="19" fillId="0" borderId="0" xfId="0" applyFont="1" applyFill="1" applyBorder="1" applyAlignment="1" applyProtection="1">
      <alignment wrapText="1"/>
      <protection locked="0"/>
    </xf>
    <xf numFmtId="43" fontId="18" fillId="0" borderId="6" xfId="0" applyNumberFormat="1" applyFont="1" applyFill="1" applyBorder="1" applyAlignment="1" applyProtection="1">
      <alignment wrapText="1"/>
      <protection locked="0"/>
    </xf>
    <xf numFmtId="43" fontId="16" fillId="0" borderId="0" xfId="0" applyNumberFormat="1" applyFont="1" applyFill="1" applyBorder="1" applyAlignment="1" applyProtection="1">
      <alignment wrapText="1"/>
      <protection locked="0"/>
    </xf>
    <xf numFmtId="43" fontId="16" fillId="0" borderId="6" xfId="0" applyNumberFormat="1" applyFont="1" applyFill="1" applyBorder="1" applyAlignment="1" applyProtection="1">
      <alignment wrapText="1"/>
      <protection locked="0"/>
    </xf>
    <xf numFmtId="0" fontId="5" fillId="0" borderId="0" xfId="0" applyFont="1" applyFill="1" applyBorder="1" applyAlignment="1" applyProtection="1">
      <protection locked="0"/>
    </xf>
    <xf numFmtId="0" fontId="19" fillId="0" borderId="5" xfId="0" applyFont="1" applyFill="1" applyBorder="1" applyAlignment="1" applyProtection="1">
      <alignment wrapText="1"/>
      <protection locked="0"/>
    </xf>
    <xf numFmtId="43" fontId="1" fillId="0" borderId="6" xfId="0" applyNumberFormat="1" applyFont="1" applyFill="1" applyBorder="1" applyAlignment="1" applyProtection="1">
      <alignment wrapText="1"/>
      <protection locked="0"/>
    </xf>
    <xf numFmtId="0" fontId="0" fillId="0" borderId="0" xfId="0" applyFont="1" applyFill="1" applyProtection="1">
      <protection locked="0"/>
    </xf>
    <xf numFmtId="0" fontId="7" fillId="0" borderId="0" xfId="0" applyFont="1" applyFill="1" applyBorder="1" applyAlignment="1" applyProtection="1">
      <alignment wrapText="1"/>
      <protection locked="0"/>
    </xf>
    <xf numFmtId="0" fontId="5" fillId="0" borderId="5" xfId="0" applyFont="1" applyFill="1" applyBorder="1" applyAlignment="1" applyProtection="1">
      <protection locked="0"/>
    </xf>
    <xf numFmtId="43" fontId="1" fillId="0" borderId="0" xfId="0" applyNumberFormat="1" applyFont="1" applyFill="1" applyBorder="1" applyAlignment="1" applyProtection="1">
      <protection locked="0"/>
    </xf>
    <xf numFmtId="0" fontId="17" fillId="0" borderId="0" xfId="0" applyFont="1" applyFill="1" applyBorder="1" applyAlignment="1" applyProtection="1">
      <alignment horizontal="justify" wrapText="1"/>
      <protection locked="0"/>
    </xf>
    <xf numFmtId="43" fontId="1" fillId="0" borderId="6" xfId="0" applyNumberFormat="1" applyFont="1" applyFill="1" applyBorder="1" applyAlignment="1" applyProtection="1">
      <protection locked="0"/>
    </xf>
    <xf numFmtId="4" fontId="1" fillId="0" borderId="0" xfId="0" applyNumberFormat="1" applyFont="1" applyFill="1" applyBorder="1" applyProtection="1">
      <protection locked="0"/>
    </xf>
    <xf numFmtId="4" fontId="1" fillId="0" borderId="6" xfId="0" applyNumberFormat="1" applyFont="1" applyFill="1" applyBorder="1" applyProtection="1">
      <protection locked="0"/>
    </xf>
    <xf numFmtId="0" fontId="5" fillId="0" borderId="7" xfId="0" applyFont="1" applyFill="1" applyBorder="1" applyProtection="1">
      <protection locked="0"/>
    </xf>
    <xf numFmtId="43" fontId="1" fillId="0" borderId="8" xfId="0" applyNumberFormat="1" applyFont="1" applyFill="1" applyBorder="1" applyProtection="1">
      <protection locked="0"/>
    </xf>
    <xf numFmtId="0" fontId="5" fillId="0" borderId="8" xfId="0" applyFont="1" applyFill="1" applyBorder="1" applyProtection="1">
      <protection locked="0"/>
    </xf>
    <xf numFmtId="0" fontId="1" fillId="0" borderId="8" xfId="0" applyFont="1" applyFill="1" applyBorder="1" applyProtection="1">
      <protection locked="0"/>
    </xf>
    <xf numFmtId="0" fontId="1" fillId="0" borderId="9" xfId="0" applyFont="1" applyFill="1" applyBorder="1" applyProtection="1">
      <protection locked="0"/>
    </xf>
    <xf numFmtId="43" fontId="16" fillId="2" borderId="6" xfId="0" applyNumberFormat="1" applyFont="1" applyFill="1" applyBorder="1" applyAlignment="1" applyProtection="1">
      <alignment wrapText="1"/>
    </xf>
    <xf numFmtId="43" fontId="3" fillId="2" borderId="0" xfId="0" applyNumberFormat="1" applyFont="1" applyFill="1" applyBorder="1" applyAlignment="1" applyProtection="1">
      <alignment wrapText="1"/>
    </xf>
    <xf numFmtId="43" fontId="3" fillId="2" borderId="6" xfId="0" applyNumberFormat="1" applyFont="1" applyFill="1" applyBorder="1" applyAlignment="1" applyProtection="1">
      <alignment wrapText="1"/>
    </xf>
    <xf numFmtId="43" fontId="3" fillId="2" borderId="0" xfId="0" applyNumberFormat="1" applyFont="1" applyFill="1" applyBorder="1" applyAlignment="1" applyProtection="1">
      <alignment vertical="center" wrapText="1"/>
    </xf>
    <xf numFmtId="43" fontId="3" fillId="2" borderId="6" xfId="0" applyNumberFormat="1" applyFont="1" applyFill="1" applyBorder="1" applyAlignment="1" applyProtection="1">
      <alignment vertical="center" wrapText="1"/>
    </xf>
    <xf numFmtId="43" fontId="16" fillId="2" borderId="0" xfId="0" applyNumberFormat="1" applyFont="1" applyFill="1" applyBorder="1" applyAlignment="1" applyProtection="1"/>
    <xf numFmtId="43" fontId="16" fillId="2" borderId="6" xfId="0" applyNumberFormat="1" applyFont="1" applyFill="1" applyBorder="1" applyAlignment="1" applyProtection="1"/>
    <xf numFmtId="0" fontId="7" fillId="0" borderId="41" xfId="0" applyFont="1" applyFill="1" applyBorder="1" applyAlignment="1" applyProtection="1">
      <alignment horizontal="center" vertical="center" wrapText="1"/>
      <protection locked="0"/>
    </xf>
    <xf numFmtId="0" fontId="33" fillId="0" borderId="43"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right" vertical="top"/>
      <protection locked="0"/>
    </xf>
    <xf numFmtId="0" fontId="5" fillId="2" borderId="0" xfId="0" applyFont="1" applyFill="1" applyProtection="1">
      <protection locked="0"/>
    </xf>
    <xf numFmtId="0" fontId="7" fillId="0" borderId="0" xfId="0" applyFont="1" applyFill="1" applyProtection="1">
      <protection locked="0"/>
    </xf>
    <xf numFmtId="0" fontId="8" fillId="2" borderId="5" xfId="0" applyFont="1" applyFill="1" applyBorder="1" applyAlignment="1" applyProtection="1">
      <alignment wrapText="1"/>
      <protection locked="0"/>
    </xf>
    <xf numFmtId="0" fontId="8" fillId="2" borderId="0" xfId="0" applyFont="1" applyFill="1" applyBorder="1" applyAlignment="1" applyProtection="1">
      <protection locked="0"/>
    </xf>
    <xf numFmtId="0" fontId="8" fillId="2" borderId="0" xfId="0" applyFont="1" applyFill="1" applyBorder="1" applyAlignment="1" applyProtection="1">
      <alignment wrapText="1"/>
      <protection locked="0"/>
    </xf>
    <xf numFmtId="0" fontId="8" fillId="2" borderId="0" xfId="0" applyFont="1" applyFill="1" applyBorder="1" applyAlignment="1" applyProtection="1">
      <alignment horizontal="left" wrapText="1"/>
      <protection locked="0"/>
    </xf>
    <xf numFmtId="0" fontId="5" fillId="0" borderId="0" xfId="0" applyFont="1" applyProtection="1">
      <protection locked="0"/>
    </xf>
    <xf numFmtId="0" fontId="22" fillId="0" borderId="0" xfId="0" applyFont="1" applyBorder="1" applyAlignment="1" applyProtection="1">
      <alignment horizontal="left"/>
      <protection locked="0"/>
    </xf>
    <xf numFmtId="0" fontId="5" fillId="0" borderId="0" xfId="0" applyFont="1" applyBorder="1" applyAlignment="1" applyProtection="1">
      <alignment horizontal="left"/>
      <protection locked="0"/>
    </xf>
    <xf numFmtId="0" fontId="7" fillId="0" borderId="5"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23" fillId="2" borderId="5" xfId="0" applyFont="1" applyFill="1" applyBorder="1" applyAlignment="1" applyProtection="1">
      <alignment horizontal="left" vertical="top"/>
      <protection locked="0"/>
    </xf>
    <xf numFmtId="0" fontId="23" fillId="2" borderId="0" xfId="0" applyFont="1" applyFill="1" applyBorder="1" applyAlignment="1" applyProtection="1">
      <alignment horizontal="left" vertical="top"/>
      <protection locked="0"/>
    </xf>
    <xf numFmtId="0" fontId="17" fillId="0" borderId="5"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4" fontId="5" fillId="0" borderId="0" xfId="0" applyNumberFormat="1" applyFont="1" applyBorder="1" applyAlignment="1" applyProtection="1">
      <alignment horizontal="right" vertical="top"/>
      <protection locked="0"/>
    </xf>
    <xf numFmtId="4" fontId="5" fillId="0" borderId="6" xfId="0" applyNumberFormat="1" applyFont="1" applyBorder="1" applyAlignment="1" applyProtection="1">
      <alignment horizontal="right" vertical="top"/>
      <protection locked="0"/>
    </xf>
    <xf numFmtId="0" fontId="8" fillId="2" borderId="5" xfId="0" applyFont="1" applyFill="1" applyBorder="1" applyAlignment="1" applyProtection="1">
      <alignment horizontal="left" vertical="top"/>
      <protection locked="0"/>
    </xf>
    <xf numFmtId="0" fontId="8" fillId="2" borderId="0" xfId="0" applyFont="1" applyFill="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7" xfId="0" applyFont="1" applyBorder="1" applyAlignment="1" applyProtection="1">
      <alignment horizontal="left" vertical="top"/>
      <protection locked="0"/>
    </xf>
    <xf numFmtId="0" fontId="17" fillId="0" borderId="8" xfId="0" applyFont="1" applyBorder="1" applyAlignment="1" applyProtection="1">
      <alignment horizontal="left" vertical="top"/>
      <protection locked="0"/>
    </xf>
    <xf numFmtId="4" fontId="7" fillId="2" borderId="0" xfId="0" applyNumberFormat="1" applyFont="1" applyFill="1" applyBorder="1" applyAlignment="1" applyProtection="1">
      <alignment horizontal="right" vertical="top"/>
    </xf>
    <xf numFmtId="4" fontId="7" fillId="2" borderId="6" xfId="0" applyNumberFormat="1" applyFont="1" applyFill="1" applyBorder="1" applyAlignment="1" applyProtection="1">
      <alignment horizontal="right" vertical="top"/>
    </xf>
    <xf numFmtId="4" fontId="7" fillId="2" borderId="0" xfId="13" applyNumberFormat="1" applyFont="1" applyFill="1" applyBorder="1" applyAlignment="1" applyProtection="1">
      <alignment horizontal="right" vertical="top"/>
    </xf>
    <xf numFmtId="4" fontId="8" fillId="2" borderId="0" xfId="0" applyNumberFormat="1" applyFont="1" applyFill="1" applyBorder="1" applyAlignment="1" applyProtection="1">
      <alignment horizontal="right" vertical="top"/>
    </xf>
    <xf numFmtId="4" fontId="8" fillId="2" borderId="6" xfId="0" applyNumberFormat="1" applyFont="1" applyFill="1" applyBorder="1" applyAlignment="1" applyProtection="1">
      <alignment horizontal="right" vertical="top"/>
    </xf>
    <xf numFmtId="4" fontId="7" fillId="2" borderId="6" xfId="13" applyNumberFormat="1" applyFont="1" applyFill="1" applyBorder="1" applyAlignment="1" applyProtection="1">
      <alignment horizontal="right" vertical="top"/>
    </xf>
    <xf numFmtId="4" fontId="8" fillId="2" borderId="0" xfId="13" applyNumberFormat="1" applyFont="1" applyFill="1" applyBorder="1" applyAlignment="1" applyProtection="1">
      <alignment horizontal="right" vertical="top"/>
    </xf>
    <xf numFmtId="4" fontId="8" fillId="2" borderId="6" xfId="13" applyNumberFormat="1" applyFont="1" applyFill="1" applyBorder="1" applyAlignment="1" applyProtection="1">
      <alignment horizontal="right" vertical="top"/>
    </xf>
    <xf numFmtId="0" fontId="33" fillId="0" borderId="44" xfId="0" applyFont="1" applyFill="1" applyBorder="1" applyAlignment="1" applyProtection="1">
      <alignment horizontal="center" vertical="center" wrapText="1"/>
      <protection locked="0"/>
    </xf>
    <xf numFmtId="0" fontId="7" fillId="0" borderId="44" xfId="0" applyFont="1" applyFill="1" applyBorder="1" applyAlignment="1" applyProtection="1">
      <alignment horizontal="center" vertical="center" wrapText="1"/>
      <protection locked="0"/>
    </xf>
    <xf numFmtId="0" fontId="33" fillId="0" borderId="44" xfId="0" applyFont="1" applyBorder="1" applyAlignment="1" applyProtection="1">
      <alignment horizontal="center" vertical="center" wrapText="1"/>
      <protection locked="0"/>
    </xf>
    <xf numFmtId="0" fontId="53" fillId="6" borderId="0" xfId="0" applyFont="1" applyFill="1" applyAlignment="1" applyProtection="1">
      <alignment wrapText="1"/>
    </xf>
    <xf numFmtId="0" fontId="24" fillId="0" borderId="0" xfId="0" applyFont="1" applyProtection="1">
      <protection locked="0"/>
    </xf>
    <xf numFmtId="0" fontId="5" fillId="0" borderId="0" xfId="0" applyFont="1" applyAlignment="1" applyProtection="1">
      <alignment vertical="center"/>
      <protection locked="0"/>
    </xf>
    <xf numFmtId="0" fontId="24" fillId="0" borderId="0" xfId="0" applyFont="1" applyAlignment="1" applyProtection="1">
      <alignment vertical="center"/>
      <protection locked="0"/>
    </xf>
    <xf numFmtId="0" fontId="5" fillId="0" borderId="0" xfId="0" applyFont="1" applyAlignment="1" applyProtection="1">
      <protection locked="0"/>
    </xf>
    <xf numFmtId="0" fontId="7" fillId="3" borderId="5" xfId="0" applyFont="1" applyFill="1" applyBorder="1" applyAlignment="1" applyProtection="1">
      <alignment horizontal="justify" vertical="top"/>
      <protection locked="0"/>
    </xf>
    <xf numFmtId="0" fontId="8" fillId="3" borderId="5" xfId="0" applyFont="1" applyFill="1" applyBorder="1" applyAlignment="1" applyProtection="1">
      <alignment horizontal="justify" vertical="top"/>
      <protection locked="0"/>
    </xf>
    <xf numFmtId="0" fontId="24" fillId="3" borderId="5" xfId="0" applyFont="1" applyFill="1" applyBorder="1" applyAlignment="1" applyProtection="1">
      <alignment horizontal="justify" vertical="top"/>
      <protection locked="0"/>
    </xf>
    <xf numFmtId="4" fontId="24" fillId="3" borderId="0" xfId="0" applyNumberFormat="1" applyFont="1" applyFill="1" applyBorder="1" applyAlignment="1" applyProtection="1">
      <alignment horizontal="right" vertical="top"/>
      <protection locked="0"/>
    </xf>
    <xf numFmtId="0" fontId="24" fillId="0" borderId="0" xfId="0" applyFont="1" applyAlignment="1" applyProtection="1">
      <protection locked="0"/>
    </xf>
    <xf numFmtId="0" fontId="19" fillId="3" borderId="5" xfId="0" applyFont="1" applyFill="1" applyBorder="1" applyAlignment="1" applyProtection="1">
      <alignment horizontal="justify" vertical="top"/>
      <protection locked="0"/>
    </xf>
    <xf numFmtId="0" fontId="1" fillId="3" borderId="5" xfId="0" applyFont="1" applyFill="1" applyBorder="1" applyAlignment="1" applyProtection="1">
      <alignment horizontal="justify" vertical="top"/>
      <protection locked="0"/>
    </xf>
    <xf numFmtId="0" fontId="24" fillId="3" borderId="7" xfId="0" applyFont="1" applyFill="1" applyBorder="1" applyAlignment="1" applyProtection="1">
      <alignment horizontal="justify" vertical="top"/>
      <protection locked="0"/>
    </xf>
    <xf numFmtId="4" fontId="24" fillId="3" borderId="8" xfId="0" applyNumberFormat="1" applyFont="1" applyFill="1" applyBorder="1" applyAlignment="1" applyProtection="1">
      <alignment horizontal="right" vertical="top"/>
      <protection locked="0"/>
    </xf>
    <xf numFmtId="0" fontId="23" fillId="3" borderId="45" xfId="0" applyFont="1" applyFill="1" applyBorder="1" applyAlignment="1" applyProtection="1">
      <alignment horizontal="justify" vertical="center"/>
      <protection locked="0"/>
    </xf>
    <xf numFmtId="0" fontId="33" fillId="3" borderId="44" xfId="0" applyFont="1" applyFill="1" applyBorder="1" applyAlignment="1" applyProtection="1">
      <alignment horizontal="center" vertical="center"/>
      <protection locked="0"/>
    </xf>
    <xf numFmtId="0" fontId="33" fillId="3" borderId="46" xfId="0" applyFont="1" applyFill="1" applyBorder="1" applyAlignment="1" applyProtection="1">
      <alignment horizontal="center" vertical="center"/>
      <protection locked="0"/>
    </xf>
    <xf numFmtId="4" fontId="16" fillId="3" borderId="0" xfId="0" applyNumberFormat="1" applyFont="1" applyFill="1" applyBorder="1" applyAlignment="1" applyProtection="1">
      <alignment horizontal="right" vertical="top"/>
    </xf>
    <xf numFmtId="4" fontId="16" fillId="3" borderId="6" xfId="0" applyNumberFormat="1" applyFont="1" applyFill="1" applyBorder="1" applyAlignment="1" applyProtection="1">
      <alignment horizontal="right" vertical="top"/>
    </xf>
    <xf numFmtId="4" fontId="3" fillId="3" borderId="0" xfId="0" applyNumberFormat="1" applyFont="1" applyFill="1" applyBorder="1" applyAlignment="1" applyProtection="1">
      <alignment horizontal="right" vertical="top"/>
    </xf>
    <xf numFmtId="4" fontId="3" fillId="3" borderId="6" xfId="0" applyNumberFormat="1" applyFont="1" applyFill="1" applyBorder="1" applyAlignment="1" applyProtection="1">
      <alignment horizontal="right" vertical="top"/>
    </xf>
    <xf numFmtId="4" fontId="24" fillId="3" borderId="6" xfId="0" applyNumberFormat="1" applyFont="1" applyFill="1" applyBorder="1" applyAlignment="1" applyProtection="1">
      <alignment horizontal="right" vertical="top"/>
      <protection locked="0"/>
    </xf>
    <xf numFmtId="4" fontId="3" fillId="3" borderId="0" xfId="0" applyNumberFormat="1" applyFont="1" applyFill="1" applyBorder="1" applyAlignment="1" applyProtection="1">
      <alignment horizontal="right" vertical="top"/>
      <protection locked="0"/>
    </xf>
    <xf numFmtId="4" fontId="3" fillId="3" borderId="6" xfId="0" applyNumberFormat="1" applyFont="1" applyFill="1" applyBorder="1" applyAlignment="1" applyProtection="1">
      <alignment horizontal="right" vertical="top"/>
      <protection locked="0"/>
    </xf>
    <xf numFmtId="4" fontId="1" fillId="0" borderId="0" xfId="0" applyNumberFormat="1" applyFont="1" applyAlignment="1" applyProtection="1">
      <alignment horizontal="right"/>
      <protection locked="0"/>
    </xf>
    <xf numFmtId="4" fontId="1" fillId="0" borderId="6" xfId="0" applyNumberFormat="1" applyFont="1" applyBorder="1" applyAlignment="1" applyProtection="1">
      <alignment horizontal="right"/>
      <protection locked="0"/>
    </xf>
    <xf numFmtId="4" fontId="12" fillId="3" borderId="0" xfId="0" applyNumberFormat="1" applyFont="1" applyFill="1" applyBorder="1" applyAlignment="1" applyProtection="1">
      <alignment horizontal="right" vertical="top"/>
      <protection locked="0"/>
    </xf>
    <xf numFmtId="4" fontId="12" fillId="3" borderId="6" xfId="0" applyNumberFormat="1" applyFont="1" applyFill="1" applyBorder="1" applyAlignment="1" applyProtection="1">
      <alignment horizontal="right" vertical="top"/>
      <protection locked="0"/>
    </xf>
    <xf numFmtId="4" fontId="24" fillId="3" borderId="9" xfId="0" applyNumberFormat="1" applyFont="1" applyFill="1" applyBorder="1" applyAlignment="1" applyProtection="1">
      <alignment horizontal="right" vertical="top"/>
      <protection locked="0"/>
    </xf>
    <xf numFmtId="0" fontId="13" fillId="0" borderId="6" xfId="0" applyFont="1" applyFill="1" applyBorder="1" applyProtection="1">
      <protection locked="0"/>
    </xf>
    <xf numFmtId="0" fontId="13" fillId="0" borderId="0" xfId="0" applyFont="1" applyFill="1" applyProtection="1">
      <protection locked="0"/>
    </xf>
    <xf numFmtId="0" fontId="13" fillId="0" borderId="5" xfId="0" applyFont="1" applyFill="1" applyBorder="1" applyAlignment="1" applyProtection="1">
      <alignment horizontal="justify" vertical="top"/>
      <protection locked="0"/>
    </xf>
    <xf numFmtId="0" fontId="27" fillId="0" borderId="0" xfId="0" applyFont="1" applyFill="1" applyBorder="1" applyAlignment="1" applyProtection="1">
      <alignment vertical="top"/>
      <protection locked="0"/>
    </xf>
    <xf numFmtId="0" fontId="28" fillId="0" borderId="5" xfId="0" applyFont="1" applyFill="1" applyBorder="1" applyAlignment="1" applyProtection="1">
      <alignment horizontal="justify" vertical="top"/>
      <protection locked="0"/>
    </xf>
    <xf numFmtId="0" fontId="28" fillId="0" borderId="0" xfId="0" applyFont="1" applyFill="1" applyProtection="1">
      <protection locked="0"/>
    </xf>
    <xf numFmtId="0" fontId="26" fillId="0" borderId="5" xfId="0" applyFont="1" applyFill="1" applyBorder="1" applyAlignment="1" applyProtection="1">
      <alignment vertical="top"/>
      <protection locked="0"/>
    </xf>
    <xf numFmtId="0" fontId="26" fillId="0" borderId="0" xfId="0" applyFont="1" applyFill="1" applyBorder="1" applyAlignment="1" applyProtection="1">
      <alignment vertical="top"/>
      <protection locked="0"/>
    </xf>
    <xf numFmtId="0" fontId="13" fillId="0" borderId="5" xfId="0" applyFont="1" applyFill="1" applyBorder="1" applyAlignment="1" applyProtection="1">
      <alignment vertical="top"/>
      <protection locked="0"/>
    </xf>
    <xf numFmtId="0" fontId="13" fillId="0" borderId="0" xfId="0" applyFont="1" applyFill="1" applyBorder="1" applyAlignment="1" applyProtection="1">
      <alignment vertical="top"/>
      <protection locked="0"/>
    </xf>
    <xf numFmtId="0" fontId="27" fillId="0" borderId="5" xfId="0" applyFont="1" applyFill="1" applyBorder="1" applyAlignment="1" applyProtection="1">
      <alignment vertical="top"/>
      <protection locked="0"/>
    </xf>
    <xf numFmtId="0" fontId="26" fillId="0" borderId="0" xfId="0" applyFont="1" applyFill="1" applyBorder="1" applyAlignment="1" applyProtection="1">
      <alignment vertical="top" wrapText="1"/>
      <protection locked="0"/>
    </xf>
    <xf numFmtId="0" fontId="25" fillId="0" borderId="5" xfId="0" applyFont="1" applyFill="1" applyBorder="1" applyAlignment="1" applyProtection="1">
      <alignment vertical="top"/>
      <protection locked="0"/>
    </xf>
    <xf numFmtId="0" fontId="25" fillId="0" borderId="0" xfId="0" applyFont="1" applyFill="1" applyBorder="1" applyAlignment="1" applyProtection="1">
      <alignment vertical="top"/>
      <protection locked="0"/>
    </xf>
    <xf numFmtId="0" fontId="26" fillId="0" borderId="8" xfId="0" applyFont="1" applyFill="1" applyBorder="1" applyAlignment="1" applyProtection="1">
      <alignment vertical="top" wrapText="1"/>
      <protection locked="0"/>
    </xf>
    <xf numFmtId="0" fontId="26" fillId="0" borderId="7" xfId="0" applyFont="1" applyFill="1" applyBorder="1" applyAlignment="1" applyProtection="1">
      <alignment vertical="top"/>
      <protection locked="0"/>
    </xf>
    <xf numFmtId="0" fontId="13" fillId="0" borderId="0" xfId="0" applyFont="1" applyFill="1" applyBorder="1" applyAlignment="1" applyProtection="1">
      <alignment horizontal="left" vertical="top" wrapText="1" indent="2"/>
      <protection locked="0"/>
    </xf>
    <xf numFmtId="0" fontId="13" fillId="0" borderId="0" xfId="0" applyFont="1" applyFill="1" applyBorder="1" applyAlignment="1" applyProtection="1">
      <alignment horizontal="left" vertical="top" indent="2"/>
      <protection locked="0"/>
    </xf>
    <xf numFmtId="0" fontId="53" fillId="0" borderId="0" xfId="0" applyFont="1" applyProtection="1">
      <protection locked="0"/>
    </xf>
    <xf numFmtId="4" fontId="27" fillId="0" borderId="0" xfId="0" applyNumberFormat="1" applyFont="1" applyFill="1" applyBorder="1" applyAlignment="1" applyProtection="1">
      <alignment vertical="top"/>
    </xf>
    <xf numFmtId="4" fontId="27" fillId="0" borderId="6" xfId="0" applyNumberFormat="1" applyFont="1" applyFill="1" applyBorder="1" applyAlignment="1" applyProtection="1">
      <alignment vertical="top"/>
    </xf>
    <xf numFmtId="4" fontId="13" fillId="0" borderId="0" xfId="0" applyNumberFormat="1" applyFont="1" applyFill="1" applyBorder="1" applyProtection="1">
      <protection locked="0"/>
    </xf>
    <xf numFmtId="4" fontId="13" fillId="0" borderId="6" xfId="0" applyNumberFormat="1" applyFont="1" applyFill="1" applyBorder="1" applyProtection="1">
      <protection locked="0"/>
    </xf>
    <xf numFmtId="4" fontId="26" fillId="0" borderId="0" xfId="0" applyNumberFormat="1" applyFont="1" applyFill="1" applyBorder="1" applyAlignment="1" applyProtection="1">
      <alignment vertical="top"/>
    </xf>
    <xf numFmtId="4" fontId="26" fillId="0" borderId="6" xfId="0" applyNumberFormat="1" applyFont="1" applyFill="1" applyBorder="1" applyAlignment="1" applyProtection="1">
      <alignment vertical="top"/>
    </xf>
    <xf numFmtId="4" fontId="13" fillId="0" borderId="0" xfId="0" applyNumberFormat="1" applyFont="1" applyFill="1" applyBorder="1" applyAlignment="1" applyProtection="1">
      <alignment vertical="top"/>
    </xf>
    <xf numFmtId="4" fontId="13" fillId="0" borderId="6" xfId="0" applyNumberFormat="1" applyFont="1" applyFill="1" applyBorder="1" applyAlignment="1" applyProtection="1">
      <alignment vertical="top"/>
    </xf>
    <xf numFmtId="4" fontId="27" fillId="0" borderId="0" xfId="0" applyNumberFormat="1" applyFont="1" applyFill="1" applyBorder="1" applyAlignment="1" applyProtection="1">
      <alignment vertical="top"/>
      <protection locked="0"/>
    </xf>
    <xf numFmtId="4" fontId="27" fillId="0" borderId="6" xfId="0" applyNumberFormat="1" applyFont="1" applyFill="1" applyBorder="1" applyAlignment="1" applyProtection="1">
      <alignment vertical="top"/>
      <protection locked="0"/>
    </xf>
    <xf numFmtId="4" fontId="13" fillId="0" borderId="0" xfId="0" applyNumberFormat="1" applyFont="1" applyFill="1" applyBorder="1" applyAlignment="1" applyProtection="1">
      <alignment vertical="top"/>
      <protection locked="0"/>
    </xf>
    <xf numFmtId="4" fontId="13" fillId="0" borderId="6" xfId="0" applyNumberFormat="1" applyFont="1" applyFill="1" applyBorder="1" applyAlignment="1" applyProtection="1">
      <alignment vertical="top"/>
      <protection locked="0"/>
    </xf>
    <xf numFmtId="4" fontId="26" fillId="0" borderId="0" xfId="0" applyNumberFormat="1" applyFont="1" applyFill="1" applyBorder="1" applyAlignment="1" applyProtection="1">
      <alignment vertical="top" wrapText="1"/>
    </xf>
    <xf numFmtId="4" fontId="26" fillId="0" borderId="6" xfId="0" applyNumberFormat="1" applyFont="1" applyFill="1" applyBorder="1" applyAlignment="1" applyProtection="1">
      <alignment vertical="top" wrapText="1"/>
    </xf>
    <xf numFmtId="4" fontId="26" fillId="0" borderId="8" xfId="0" applyNumberFormat="1" applyFont="1" applyFill="1" applyBorder="1" applyAlignment="1" applyProtection="1">
      <alignment vertical="top" wrapText="1"/>
    </xf>
    <xf numFmtId="4" fontId="26" fillId="0" borderId="9" xfId="0" applyNumberFormat="1" applyFont="1" applyFill="1" applyBorder="1" applyAlignment="1" applyProtection="1">
      <alignment vertical="top" wrapText="1"/>
    </xf>
    <xf numFmtId="0" fontId="15" fillId="0" borderId="44" xfId="0" applyFont="1" applyFill="1" applyBorder="1" applyAlignment="1" applyProtection="1">
      <alignment horizontal="center" vertical="center"/>
      <protection locked="0"/>
    </xf>
    <xf numFmtId="0" fontId="15" fillId="0" borderId="46" xfId="0" applyFont="1" applyFill="1" applyBorder="1" applyAlignment="1" applyProtection="1">
      <alignment horizontal="center" vertical="center"/>
      <protection locked="0"/>
    </xf>
    <xf numFmtId="0" fontId="22" fillId="0" borderId="0" xfId="0" applyFont="1" applyBorder="1" applyAlignment="1" applyProtection="1">
      <alignment horizontal="left" vertical="center"/>
      <protection locked="0"/>
    </xf>
    <xf numFmtId="0" fontId="12" fillId="0" borderId="8" xfId="0" applyFont="1" applyFill="1" applyBorder="1" applyAlignment="1" applyProtection="1">
      <alignment vertical="center"/>
      <protection locked="0"/>
    </xf>
    <xf numFmtId="0" fontId="5" fillId="0" borderId="0" xfId="0" applyFont="1" applyBorder="1" applyAlignment="1" applyProtection="1">
      <alignment horizontal="left" vertical="center"/>
      <protection locked="0"/>
    </xf>
    <xf numFmtId="0" fontId="5" fillId="0" borderId="0" xfId="0" applyFont="1" applyAlignment="1" applyProtection="1">
      <alignment vertical="center" wrapText="1"/>
      <protection locked="0"/>
    </xf>
    <xf numFmtId="0" fontId="23" fillId="3" borderId="1" xfId="0" applyFont="1" applyFill="1" applyBorder="1" applyAlignment="1" applyProtection="1">
      <alignment vertical="center"/>
      <protection locked="0"/>
    </xf>
    <xf numFmtId="0" fontId="23" fillId="3" borderId="5" xfId="0" applyFont="1" applyFill="1" applyBorder="1" applyAlignment="1" applyProtection="1">
      <alignment vertical="center"/>
      <protection locked="0"/>
    </xf>
    <xf numFmtId="0" fontId="23" fillId="3" borderId="5" xfId="0" applyFont="1" applyFill="1" applyBorder="1" applyAlignment="1" applyProtection="1">
      <alignment horizontal="justify" vertical="center"/>
      <protection locked="0"/>
    </xf>
    <xf numFmtId="0" fontId="17" fillId="3" borderId="5" xfId="0" applyFont="1" applyFill="1" applyBorder="1" applyAlignment="1" applyProtection="1">
      <alignment horizontal="justify" vertical="center"/>
      <protection locked="0"/>
    </xf>
    <xf numFmtId="0" fontId="17" fillId="3" borderId="7" xfId="0" applyFont="1" applyFill="1" applyBorder="1" applyAlignment="1" applyProtection="1">
      <alignment horizontal="justify" vertical="center"/>
      <protection locked="0"/>
    </xf>
    <xf numFmtId="0" fontId="7" fillId="0" borderId="24" xfId="0" applyFont="1" applyFill="1" applyBorder="1" applyAlignment="1" applyProtection="1">
      <alignment horizontal="center" vertical="center" wrapText="1"/>
      <protection locked="0"/>
    </xf>
    <xf numFmtId="0" fontId="7" fillId="0" borderId="48" xfId="0" applyFont="1" applyFill="1" applyBorder="1" applyAlignment="1" applyProtection="1">
      <alignment horizontal="center" vertical="center" wrapText="1"/>
      <protection locked="0"/>
    </xf>
    <xf numFmtId="4" fontId="17" fillId="3" borderId="17" xfId="0" applyNumberFormat="1" applyFont="1" applyFill="1" applyBorder="1" applyAlignment="1" applyProtection="1">
      <alignment horizontal="justify" vertical="center"/>
      <protection locked="0"/>
    </xf>
    <xf numFmtId="4" fontId="17" fillId="3" borderId="50" xfId="0" applyNumberFormat="1" applyFont="1" applyFill="1" applyBorder="1" applyAlignment="1" applyProtection="1">
      <alignment horizontal="justify" vertical="center"/>
      <protection locked="0"/>
    </xf>
    <xf numFmtId="4" fontId="21" fillId="3" borderId="17" xfId="0" applyNumberFormat="1" applyFont="1" applyFill="1" applyBorder="1" applyAlignment="1" applyProtection="1">
      <alignment horizontal="right" vertical="center"/>
    </xf>
    <xf numFmtId="4" fontId="38" fillId="3" borderId="17" xfId="0" applyNumberFormat="1" applyFont="1" applyFill="1" applyBorder="1" applyAlignment="1" applyProtection="1">
      <alignment horizontal="right" vertical="center"/>
    </xf>
    <xf numFmtId="4" fontId="38" fillId="3" borderId="50" xfId="0" applyNumberFormat="1" applyFont="1" applyFill="1" applyBorder="1" applyAlignment="1" applyProtection="1">
      <alignment horizontal="right" vertical="center"/>
    </xf>
    <xf numFmtId="4" fontId="2" fillId="3" borderId="17" xfId="0" applyNumberFormat="1" applyFont="1" applyFill="1" applyBorder="1" applyAlignment="1" applyProtection="1">
      <alignment horizontal="right" vertical="center"/>
      <protection locked="0"/>
    </xf>
    <xf numFmtId="4" fontId="2" fillId="3" borderId="50" xfId="0" applyNumberFormat="1" applyFont="1" applyFill="1" applyBorder="1" applyAlignment="1" applyProtection="1">
      <alignment horizontal="right" vertical="center"/>
      <protection locked="0"/>
    </xf>
    <xf numFmtId="4" fontId="2" fillId="3" borderId="16" xfId="0" applyNumberFormat="1" applyFont="1" applyFill="1" applyBorder="1" applyAlignment="1" applyProtection="1">
      <alignment horizontal="right" vertical="center"/>
      <protection locked="0"/>
    </xf>
    <xf numFmtId="4" fontId="2" fillId="3" borderId="18" xfId="0" applyNumberFormat="1" applyFont="1" applyFill="1" applyBorder="1" applyAlignment="1" applyProtection="1">
      <alignment horizontal="right" vertical="center"/>
      <protection locked="0"/>
    </xf>
    <xf numFmtId="0" fontId="23" fillId="3" borderId="30" xfId="0" applyFont="1" applyFill="1" applyBorder="1" applyAlignment="1" applyProtection="1">
      <alignment vertical="center"/>
      <protection locked="0"/>
    </xf>
    <xf numFmtId="0" fontId="23" fillId="3" borderId="14" xfId="0" applyFont="1" applyFill="1" applyBorder="1" applyAlignment="1" applyProtection="1">
      <alignment vertical="center"/>
      <protection locked="0"/>
    </xf>
    <xf numFmtId="0" fontId="37" fillId="3" borderId="14" xfId="0" applyFont="1" applyFill="1" applyBorder="1" applyAlignment="1" applyProtection="1">
      <alignment horizontal="justify" vertical="center"/>
      <protection locked="0"/>
    </xf>
    <xf numFmtId="0" fontId="2" fillId="3" borderId="14" xfId="0" applyFont="1" applyFill="1" applyBorder="1" applyAlignment="1" applyProtection="1">
      <alignment horizontal="left" vertical="center" wrapText="1" indent="2"/>
      <protection locked="0"/>
    </xf>
    <xf numFmtId="0" fontId="17" fillId="3" borderId="31" xfId="0" applyFont="1" applyFill="1" applyBorder="1" applyAlignment="1" applyProtection="1">
      <alignment horizontal="justify" vertical="center"/>
      <protection locked="0"/>
    </xf>
    <xf numFmtId="4" fontId="2" fillId="3" borderId="17" xfId="0" applyNumberFormat="1" applyFont="1" applyFill="1" applyBorder="1" applyAlignment="1" applyProtection="1">
      <alignment horizontal="right" vertical="center"/>
    </xf>
    <xf numFmtId="4" fontId="2" fillId="3" borderId="50" xfId="0" applyNumberFormat="1" applyFont="1" applyFill="1" applyBorder="1" applyAlignment="1" applyProtection="1">
      <alignment horizontal="right" vertical="center"/>
    </xf>
    <xf numFmtId="0" fontId="3" fillId="0" borderId="24"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4" fontId="3" fillId="0" borderId="15" xfId="0" applyNumberFormat="1" applyFont="1" applyFill="1" applyBorder="1" applyAlignment="1" applyProtection="1">
      <alignment horizontal="center" vertical="top" wrapText="1"/>
      <protection locked="0"/>
    </xf>
    <xf numFmtId="4" fontId="3" fillId="0" borderId="15" xfId="0" applyNumberFormat="1" applyFont="1" applyFill="1" applyBorder="1" applyAlignment="1" applyProtection="1">
      <alignment vertical="top" wrapText="1"/>
      <protection locked="0"/>
    </xf>
    <xf numFmtId="4" fontId="3" fillId="0" borderId="3" xfId="0" applyNumberFormat="1" applyFont="1" applyFill="1" applyBorder="1" applyAlignment="1" applyProtection="1">
      <alignment horizontal="center" vertical="top" wrapText="1"/>
      <protection locked="0"/>
    </xf>
    <xf numFmtId="4" fontId="16" fillId="0" borderId="17" xfId="0" applyNumberFormat="1" applyFont="1" applyBorder="1" applyAlignment="1" applyProtection="1">
      <alignment horizontal="right" vertical="top" wrapText="1"/>
      <protection locked="0"/>
    </xf>
    <xf numFmtId="4" fontId="16" fillId="0" borderId="6" xfId="0" applyNumberFormat="1" applyFont="1" applyBorder="1" applyAlignment="1" applyProtection="1">
      <alignment horizontal="right" vertical="top" wrapText="1"/>
      <protection locked="0"/>
    </xf>
    <xf numFmtId="4" fontId="3" fillId="0" borderId="17" xfId="0" applyNumberFormat="1" applyFont="1" applyBorder="1" applyAlignment="1" applyProtection="1">
      <alignment horizontal="right" vertical="top" wrapText="1"/>
      <protection locked="0"/>
    </xf>
    <xf numFmtId="4" fontId="3" fillId="0" borderId="6" xfId="0" applyNumberFormat="1" applyFont="1" applyBorder="1" applyAlignment="1" applyProtection="1">
      <alignment horizontal="right" vertical="top" wrapText="1"/>
      <protection locked="0"/>
    </xf>
    <xf numFmtId="0" fontId="1" fillId="0" borderId="0" xfId="0" applyFont="1" applyBorder="1" applyAlignment="1" applyProtection="1">
      <alignment horizontal="justify" vertical="top" wrapText="1"/>
      <protection locked="0"/>
    </xf>
    <xf numFmtId="0" fontId="5" fillId="0" borderId="5" xfId="0" applyFont="1" applyBorder="1" applyAlignment="1" applyProtection="1">
      <alignment horizontal="justify" vertical="top" wrapText="1"/>
      <protection locked="0"/>
    </xf>
    <xf numFmtId="4" fontId="1" fillId="0" borderId="17" xfId="0" applyNumberFormat="1" applyFont="1" applyBorder="1" applyAlignment="1" applyProtection="1">
      <alignment horizontal="right" vertical="top" wrapText="1"/>
      <protection locked="0"/>
    </xf>
    <xf numFmtId="4" fontId="1" fillId="0" borderId="6" xfId="0" applyNumberFormat="1" applyFont="1" applyBorder="1" applyAlignment="1" applyProtection="1">
      <alignment horizontal="right" vertical="top" wrapText="1"/>
      <protection locked="0"/>
    </xf>
    <xf numFmtId="0" fontId="5" fillId="0" borderId="0" xfId="0" applyFont="1" applyBorder="1" applyAlignment="1" applyProtection="1">
      <alignment horizontal="justify" vertical="top" wrapText="1"/>
      <protection locked="0"/>
    </xf>
    <xf numFmtId="0" fontId="19" fillId="0" borderId="5" xfId="0" applyFont="1" applyBorder="1" applyAlignment="1" applyProtection="1">
      <alignment horizontal="justify" vertical="top" wrapText="1"/>
      <protection locked="0"/>
    </xf>
    <xf numFmtId="0" fontId="19" fillId="0" borderId="0" xfId="0" applyFont="1" applyBorder="1" applyAlignment="1" applyProtection="1">
      <alignment horizontal="justify" vertical="top" wrapText="1"/>
      <protection locked="0"/>
    </xf>
    <xf numFmtId="4" fontId="18" fillId="0" borderId="17" xfId="0" applyNumberFormat="1" applyFont="1" applyBorder="1" applyAlignment="1" applyProtection="1">
      <alignment horizontal="right" vertical="top" wrapText="1"/>
      <protection locked="0"/>
    </xf>
    <xf numFmtId="4" fontId="18" fillId="0" borderId="6" xfId="0" applyNumberFormat="1" applyFont="1" applyBorder="1" applyAlignment="1" applyProtection="1">
      <alignment horizontal="right" vertical="top" wrapText="1"/>
      <protection locked="0"/>
    </xf>
    <xf numFmtId="0" fontId="16" fillId="0" borderId="16" xfId="0" applyFont="1" applyBorder="1" applyAlignment="1" applyProtection="1">
      <alignment horizontal="justify" vertical="top" wrapText="1"/>
      <protection locked="0"/>
    </xf>
    <xf numFmtId="0" fontId="16" fillId="0" borderId="9" xfId="0" applyFont="1" applyBorder="1" applyAlignment="1" applyProtection="1">
      <alignment horizontal="justify" vertical="top" wrapText="1"/>
      <protection locked="0"/>
    </xf>
    <xf numFmtId="4" fontId="3" fillId="0" borderId="17" xfId="0" applyNumberFormat="1" applyFont="1" applyBorder="1" applyAlignment="1" applyProtection="1">
      <alignment horizontal="right" vertical="top" wrapText="1"/>
    </xf>
    <xf numFmtId="4" fontId="3" fillId="0" borderId="6" xfId="0" applyNumberFormat="1" applyFont="1" applyBorder="1" applyAlignment="1" applyProtection="1">
      <alignment horizontal="right" vertical="top" wrapText="1"/>
    </xf>
    <xf numFmtId="4" fontId="16" fillId="0" borderId="17" xfId="0" applyNumberFormat="1" applyFont="1" applyBorder="1" applyAlignment="1" applyProtection="1">
      <alignment horizontal="right" vertical="top" wrapText="1"/>
    </xf>
    <xf numFmtId="4" fontId="16" fillId="0" borderId="6" xfId="0" applyNumberFormat="1" applyFont="1" applyBorder="1" applyAlignment="1" applyProtection="1">
      <alignment horizontal="right" vertical="top" wrapText="1"/>
    </xf>
    <xf numFmtId="0" fontId="3" fillId="0" borderId="15"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5"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3" fillId="0" borderId="25"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49" fontId="3" fillId="0" borderId="16" xfId="0" applyNumberFormat="1" applyFont="1" applyFill="1" applyBorder="1" applyAlignment="1" applyProtection="1">
      <alignment horizontal="center" vertical="center" wrapText="1"/>
      <protection locked="0"/>
    </xf>
    <xf numFmtId="49" fontId="3" fillId="4" borderId="16" xfId="0" applyNumberFormat="1" applyFont="1" applyFill="1" applyBorder="1" applyAlignment="1" applyProtection="1">
      <alignment horizontal="center" vertical="center" wrapText="1"/>
      <protection locked="0"/>
    </xf>
    <xf numFmtId="49" fontId="3" fillId="0" borderId="18"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4" fontId="3" fillId="0" borderId="17" xfId="0" applyNumberFormat="1" applyFont="1" applyFill="1" applyBorder="1" applyAlignment="1" applyProtection="1">
      <alignment horizontal="right" vertical="center" wrapText="1"/>
      <protection locked="0"/>
    </xf>
    <xf numFmtId="0" fontId="1" fillId="0" borderId="5" xfId="0" applyFont="1" applyBorder="1" applyAlignment="1" applyProtection="1">
      <alignment horizontal="justify" vertical="center" wrapText="1"/>
      <protection locked="0"/>
    </xf>
    <xf numFmtId="0" fontId="1" fillId="0" borderId="14" xfId="0" applyFont="1" applyBorder="1" applyAlignment="1" applyProtection="1">
      <alignment horizontal="justify" vertical="center" wrapText="1"/>
      <protection locked="0"/>
    </xf>
    <xf numFmtId="0" fontId="1" fillId="0" borderId="7" xfId="0" applyFont="1" applyBorder="1" applyAlignment="1" applyProtection="1">
      <alignment horizontal="justify" vertical="center" wrapText="1"/>
      <protection locked="0"/>
    </xf>
    <xf numFmtId="0" fontId="1" fillId="0" borderId="31" xfId="0" applyFont="1" applyBorder="1" applyAlignment="1" applyProtection="1">
      <alignment horizontal="justify" vertical="center" wrapText="1"/>
      <protection locked="0"/>
    </xf>
    <xf numFmtId="0" fontId="3" fillId="0" borderId="2" xfId="0" applyFont="1" applyBorder="1" applyAlignment="1" applyProtection="1">
      <alignment horizontal="center" vertical="center"/>
      <protection locked="0"/>
    </xf>
    <xf numFmtId="0" fontId="25" fillId="0" borderId="2" xfId="0" applyFont="1" applyBorder="1" applyAlignment="1" applyProtection="1">
      <alignment horizontal="justify" vertical="center" wrapText="1"/>
      <protection locked="0"/>
    </xf>
    <xf numFmtId="0" fontId="11" fillId="0" borderId="2" xfId="0" applyFont="1" applyBorder="1" applyAlignment="1" applyProtection="1">
      <alignment vertical="center" wrapText="1"/>
      <protection locked="0"/>
    </xf>
    <xf numFmtId="0" fontId="3" fillId="0" borderId="0" xfId="0" applyFont="1" applyBorder="1" applyAlignment="1" applyProtection="1">
      <alignment horizontal="center" vertical="center"/>
      <protection locked="0"/>
    </xf>
    <xf numFmtId="0" fontId="25" fillId="0" borderId="0" xfId="0" applyFont="1" applyBorder="1" applyAlignment="1" applyProtection="1">
      <alignment horizontal="justify"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right" vertical="center" wrapText="1"/>
      <protection locked="0"/>
    </xf>
    <xf numFmtId="0" fontId="3" fillId="0" borderId="3" xfId="0" applyFont="1" applyFill="1" applyBorder="1" applyAlignment="1" applyProtection="1">
      <alignment horizontal="center" vertical="center" wrapText="1"/>
      <protection locked="0"/>
    </xf>
    <xf numFmtId="0" fontId="3" fillId="0" borderId="7"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49" fontId="3" fillId="0" borderId="9" xfId="0" applyNumberFormat="1" applyFont="1" applyFill="1" applyBorder="1" applyAlignment="1" applyProtection="1">
      <alignment horizontal="center" vertical="center" wrapText="1"/>
      <protection locked="0"/>
    </xf>
    <xf numFmtId="49" fontId="3" fillId="4" borderId="9" xfId="0" applyNumberFormat="1" applyFont="1" applyFill="1" applyBorder="1" applyAlignment="1" applyProtection="1">
      <alignment horizontal="center" vertical="center" wrapText="1"/>
      <protection locked="0"/>
    </xf>
    <xf numFmtId="49" fontId="3" fillId="0" borderId="13"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 fillId="0" borderId="5" xfId="0" applyFont="1" applyBorder="1" applyAlignment="1" applyProtection="1">
      <alignment horizontal="left" vertical="center" indent="1"/>
      <protection locked="0"/>
    </xf>
    <xf numFmtId="0" fontId="1" fillId="0" borderId="6" xfId="0" applyFont="1" applyBorder="1" applyAlignment="1" applyProtection="1">
      <alignment horizontal="left" vertical="center" indent="1"/>
      <protection locked="0"/>
    </xf>
    <xf numFmtId="0" fontId="1" fillId="0" borderId="5" xfId="0" applyFont="1" applyBorder="1" applyAlignment="1" applyProtection="1">
      <alignment horizontal="left" vertical="center" indent="3"/>
      <protection locked="0"/>
    </xf>
    <xf numFmtId="0" fontId="1" fillId="0" borderId="6" xfId="0" applyFont="1" applyBorder="1" applyAlignment="1" applyProtection="1">
      <alignment horizontal="left" vertical="center" indent="6"/>
      <protection locked="0"/>
    </xf>
    <xf numFmtId="0" fontId="1" fillId="0" borderId="6" xfId="0" applyFont="1" applyBorder="1" applyAlignment="1" applyProtection="1">
      <alignment horizontal="left" vertical="center" wrapText="1" indent="2"/>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6" xfId="0" applyFont="1" applyBorder="1" applyAlignment="1" applyProtection="1">
      <alignment horizontal="left" vertical="justify"/>
      <protection locked="0"/>
    </xf>
    <xf numFmtId="0" fontId="1" fillId="0" borderId="6" xfId="0" applyFont="1" applyBorder="1" applyAlignment="1" applyProtection="1">
      <alignment horizontal="justify" vertical="center" wrapText="1"/>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4" fontId="25" fillId="0" borderId="2" xfId="0" applyNumberFormat="1" applyFont="1" applyBorder="1" applyAlignment="1" applyProtection="1">
      <alignment horizontal="right" vertical="center" wrapText="1"/>
      <protection locked="0"/>
    </xf>
    <xf numFmtId="4" fontId="11" fillId="0" borderId="3" xfId="0" applyNumberFormat="1" applyFont="1" applyBorder="1" applyAlignment="1" applyProtection="1">
      <alignment horizontal="right" vertical="center" wrapText="1"/>
      <protection locked="0"/>
    </xf>
    <xf numFmtId="0" fontId="11" fillId="0" borderId="0" xfId="0" applyFont="1" applyAlignment="1" applyProtection="1">
      <alignment vertical="top"/>
      <protection locked="0"/>
    </xf>
    <xf numFmtId="0" fontId="1" fillId="0" borderId="0" xfId="0" applyFont="1" applyAlignment="1" applyProtection="1">
      <alignment vertical="center"/>
      <protection locked="0"/>
    </xf>
    <xf numFmtId="4" fontId="3" fillId="0" borderId="17" xfId="0" applyNumberFormat="1" applyFont="1" applyFill="1" applyBorder="1" applyAlignment="1" applyProtection="1">
      <alignment horizontal="right" vertical="center" wrapText="1"/>
    </xf>
    <xf numFmtId="4" fontId="3" fillId="0" borderId="50" xfId="0" applyNumberFormat="1" applyFont="1" applyFill="1" applyBorder="1" applyAlignment="1" applyProtection="1">
      <alignment horizontal="right" vertical="center" wrapText="1"/>
    </xf>
    <xf numFmtId="0" fontId="5" fillId="0" borderId="0" xfId="0" applyFont="1" applyAlignment="1" applyProtection="1">
      <alignment vertical="center"/>
    </xf>
    <xf numFmtId="0" fontId="1" fillId="0" borderId="0" xfId="0" applyFont="1" applyFill="1" applyAlignment="1" applyProtection="1">
      <alignment vertical="center"/>
      <protection locked="0"/>
    </xf>
    <xf numFmtId="0" fontId="56" fillId="0" borderId="0" xfId="0" applyFont="1" applyAlignment="1" applyProtection="1">
      <alignment vertical="center"/>
      <protection locked="0"/>
    </xf>
    <xf numFmtId="0" fontId="57" fillId="0" borderId="0" xfId="0" applyFont="1" applyAlignment="1" applyProtection="1">
      <alignment vertical="center"/>
      <protection locked="0"/>
    </xf>
    <xf numFmtId="0" fontId="53" fillId="0" borderId="0" xfId="0" applyFont="1" applyAlignment="1" applyProtection="1">
      <alignment vertical="center"/>
      <protection locked="0"/>
    </xf>
    <xf numFmtId="0" fontId="7" fillId="0" borderId="0" xfId="0" applyFont="1" applyFill="1" applyBorder="1" applyAlignment="1" applyProtection="1">
      <alignment horizontal="left" vertical="top"/>
      <protection locked="0"/>
    </xf>
    <xf numFmtId="0" fontId="7" fillId="4" borderId="2" xfId="0" applyFont="1" applyFill="1" applyBorder="1" applyAlignment="1" applyProtection="1">
      <alignment horizontal="left" vertical="center"/>
      <protection locked="0"/>
    </xf>
    <xf numFmtId="0" fontId="7" fillId="4" borderId="2" xfId="0" applyFont="1" applyFill="1" applyBorder="1" applyAlignment="1" applyProtection="1">
      <alignment horizontal="center" vertical="center" wrapText="1"/>
      <protection locked="0"/>
    </xf>
    <xf numFmtId="0" fontId="5" fillId="4" borderId="0" xfId="0" applyFont="1" applyFill="1" applyAlignment="1" applyProtection="1">
      <alignment vertical="center" wrapText="1"/>
      <protection locked="0"/>
    </xf>
    <xf numFmtId="0" fontId="7" fillId="4" borderId="8" xfId="0" applyFont="1" applyFill="1" applyBorder="1" applyAlignment="1" applyProtection="1">
      <alignment horizontal="left" vertical="center"/>
      <protection locked="0"/>
    </xf>
    <xf numFmtId="0" fontId="7" fillId="4" borderId="8" xfId="0" applyFont="1" applyFill="1" applyBorder="1" applyAlignment="1" applyProtection="1">
      <alignment horizontal="center" vertical="center" wrapText="1"/>
      <protection locked="0"/>
    </xf>
    <xf numFmtId="0" fontId="17" fillId="3" borderId="7" xfId="0" applyFont="1" applyFill="1" applyBorder="1" applyAlignment="1" applyProtection="1">
      <alignment vertical="center"/>
      <protection locked="0"/>
    </xf>
    <xf numFmtId="4" fontId="17" fillId="3" borderId="9" xfId="0" applyNumberFormat="1" applyFont="1" applyFill="1" applyBorder="1" applyAlignment="1" applyProtection="1">
      <alignment horizontal="right" vertical="center"/>
      <protection locked="0"/>
    </xf>
    <xf numFmtId="0" fontId="17" fillId="3" borderId="5" xfId="0" applyFont="1" applyFill="1" applyBorder="1" applyAlignment="1" applyProtection="1">
      <alignment vertical="center"/>
      <protection locked="0"/>
    </xf>
    <xf numFmtId="0" fontId="7" fillId="2" borderId="24" xfId="0" applyFont="1" applyFill="1" applyBorder="1" applyAlignment="1" applyProtection="1">
      <alignment horizontal="center" vertical="center" wrapText="1"/>
      <protection locked="0"/>
    </xf>
    <xf numFmtId="4" fontId="7" fillId="2" borderId="48" xfId="0" applyNumberFormat="1" applyFont="1" applyFill="1" applyBorder="1" applyAlignment="1" applyProtection="1">
      <alignment horizontal="right" vertical="center" wrapText="1"/>
    </xf>
    <xf numFmtId="0" fontId="23" fillId="3" borderId="47" xfId="0" applyFont="1" applyFill="1" applyBorder="1" applyAlignment="1" applyProtection="1">
      <alignment vertical="center"/>
      <protection locked="0"/>
    </xf>
    <xf numFmtId="0" fontId="23" fillId="3" borderId="24" xfId="0" applyFont="1" applyFill="1" applyBorder="1" applyAlignment="1" applyProtection="1">
      <alignment vertical="center"/>
      <protection locked="0"/>
    </xf>
    <xf numFmtId="0" fontId="17" fillId="3" borderId="24" xfId="0" applyFont="1" applyFill="1" applyBorder="1" applyAlignment="1" applyProtection="1">
      <alignment horizontal="justify" vertical="center"/>
      <protection locked="0"/>
    </xf>
    <xf numFmtId="4" fontId="7" fillId="0" borderId="48" xfId="0" applyNumberFormat="1" applyFont="1" applyFill="1" applyBorder="1" applyAlignment="1" applyProtection="1">
      <alignment horizontal="right" vertical="center" wrapText="1"/>
    </xf>
    <xf numFmtId="43" fontId="7" fillId="0" borderId="17" xfId="0" applyNumberFormat="1" applyFont="1" applyFill="1" applyBorder="1" applyAlignment="1" applyProtection="1">
      <alignment horizontal="right" vertical="center" wrapText="1"/>
      <protection locked="0"/>
    </xf>
    <xf numFmtId="43" fontId="7" fillId="0" borderId="16" xfId="0" applyNumberFormat="1" applyFont="1" applyFill="1" applyBorder="1" applyAlignment="1" applyProtection="1">
      <alignment horizontal="right" vertical="center" wrapText="1"/>
      <protection locked="0"/>
    </xf>
    <xf numFmtId="0" fontId="7" fillId="0" borderId="17" xfId="0" applyFont="1" applyFill="1" applyBorder="1" applyAlignment="1" applyProtection="1">
      <alignment horizontal="right" vertical="center" wrapText="1"/>
      <protection locked="0"/>
    </xf>
    <xf numFmtId="0" fontId="17" fillId="3" borderId="17" xfId="0" applyFont="1" applyFill="1" applyBorder="1" applyAlignment="1" applyProtection="1">
      <alignment horizontal="right" vertical="center"/>
      <protection locked="0"/>
    </xf>
    <xf numFmtId="0" fontId="23" fillId="2" borderId="47" xfId="0" applyFont="1" applyFill="1" applyBorder="1" applyAlignment="1" applyProtection="1">
      <alignment vertical="center"/>
      <protection locked="0"/>
    </xf>
    <xf numFmtId="0" fontId="23" fillId="2" borderId="24" xfId="0" applyFont="1" applyFill="1" applyBorder="1" applyAlignment="1" applyProtection="1">
      <alignment vertical="center"/>
      <protection locked="0"/>
    </xf>
    <xf numFmtId="0" fontId="17" fillId="2" borderId="24" xfId="0" applyFont="1" applyFill="1" applyBorder="1" applyAlignment="1" applyProtection="1">
      <alignment horizontal="justify" vertical="center"/>
      <protection locked="0"/>
    </xf>
    <xf numFmtId="0" fontId="7" fillId="4" borderId="1"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4" fontId="7" fillId="4" borderId="3" xfId="0" applyNumberFormat="1" applyFont="1" applyFill="1" applyBorder="1" applyAlignment="1" applyProtection="1">
      <alignment horizontal="right" vertical="center" wrapText="1"/>
      <protection locked="0"/>
    </xf>
    <xf numFmtId="4" fontId="7" fillId="4" borderId="9" xfId="0" applyNumberFormat="1" applyFont="1" applyFill="1" applyBorder="1" applyAlignment="1" applyProtection="1">
      <alignment horizontal="right" vertical="center" wrapText="1"/>
      <protection locked="0"/>
    </xf>
    <xf numFmtId="0" fontId="2" fillId="3" borderId="2" xfId="0" applyFont="1" applyFill="1" applyBorder="1" applyAlignment="1" applyProtection="1">
      <alignment horizontal="justify" vertical="center"/>
      <protection locked="0"/>
    </xf>
    <xf numFmtId="0" fontId="7" fillId="0" borderId="2" xfId="0" applyFont="1" applyFill="1" applyBorder="1" applyAlignment="1" applyProtection="1">
      <alignment horizontal="center" vertical="center" wrapText="1"/>
      <protection locked="0"/>
    </xf>
    <xf numFmtId="4" fontId="17" fillId="3" borderId="3" xfId="0" applyNumberFormat="1" applyFont="1" applyFill="1" applyBorder="1" applyAlignment="1" applyProtection="1">
      <alignment horizontal="right" vertical="center"/>
      <protection locked="0"/>
    </xf>
    <xf numFmtId="0" fontId="37" fillId="3" borderId="8" xfId="0" applyFont="1" applyFill="1" applyBorder="1" applyAlignment="1" applyProtection="1">
      <alignment horizontal="justify" vertical="center"/>
      <protection locked="0"/>
    </xf>
    <xf numFmtId="0" fontId="7" fillId="0" borderId="8"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justify" vertical="center"/>
      <protection locked="0"/>
    </xf>
    <xf numFmtId="0" fontId="2" fillId="3" borderId="14" xfId="0" applyFont="1" applyFill="1" applyBorder="1" applyAlignment="1" applyProtection="1">
      <alignment horizontal="justify" vertical="center"/>
      <protection locked="0"/>
    </xf>
    <xf numFmtId="0" fontId="21" fillId="3" borderId="14" xfId="0" applyFont="1" applyFill="1" applyBorder="1" applyAlignment="1" applyProtection="1">
      <alignment horizontal="justify" vertical="center"/>
      <protection locked="0"/>
    </xf>
    <xf numFmtId="0" fontId="2" fillId="3" borderId="31" xfId="0" applyFont="1" applyFill="1" applyBorder="1" applyAlignment="1" applyProtection="1">
      <alignment horizontal="justify" vertical="center"/>
      <protection locked="0"/>
    </xf>
    <xf numFmtId="0" fontId="21" fillId="3" borderId="31" xfId="0" applyFont="1" applyFill="1" applyBorder="1" applyAlignment="1" applyProtection="1">
      <alignment horizontal="justify" vertical="center"/>
      <protection locked="0"/>
    </xf>
    <xf numFmtId="0" fontId="17" fillId="3" borderId="1" xfId="0" applyFont="1" applyFill="1" applyBorder="1" applyAlignment="1" applyProtection="1">
      <alignment horizontal="justify" vertical="center"/>
      <protection locked="0"/>
    </xf>
    <xf numFmtId="0" fontId="23" fillId="3" borderId="7" xfId="0" applyFont="1" applyFill="1" applyBorder="1" applyAlignment="1" applyProtection="1">
      <alignment horizontal="left" vertical="center"/>
      <protection locked="0"/>
    </xf>
    <xf numFmtId="0" fontId="50" fillId="0" borderId="0" xfId="0" applyFont="1" applyAlignment="1" applyProtection="1">
      <alignment vertical="center"/>
      <protection locked="0"/>
    </xf>
    <xf numFmtId="49" fontId="50" fillId="0" borderId="0" xfId="0" applyNumberFormat="1" applyFont="1" applyAlignment="1" applyProtection="1">
      <alignment vertical="center"/>
      <protection locked="0"/>
    </xf>
    <xf numFmtId="0" fontId="58" fillId="0" borderId="0" xfId="0" applyFont="1" applyAlignment="1" applyProtection="1">
      <alignment vertical="center"/>
      <protection locked="0"/>
    </xf>
    <xf numFmtId="0" fontId="5" fillId="0" borderId="0" xfId="0" applyFont="1" applyFill="1" applyAlignment="1" applyProtection="1">
      <alignment vertical="center"/>
      <protection locked="0"/>
    </xf>
    <xf numFmtId="0" fontId="22"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3" fillId="0" borderId="0" xfId="0" applyFont="1" applyFill="1" applyAlignment="1" applyProtection="1">
      <alignment vertical="center"/>
      <protection locked="0"/>
    </xf>
    <xf numFmtId="49" fontId="3" fillId="0" borderId="0" xfId="0" applyNumberFormat="1" applyFont="1" applyFill="1" applyAlignment="1" applyProtection="1">
      <alignment vertical="center"/>
      <protection locked="0"/>
    </xf>
    <xf numFmtId="0" fontId="59" fillId="0" borderId="0" xfId="0" applyFont="1" applyFill="1" applyAlignment="1" applyProtection="1">
      <alignment vertical="center"/>
      <protection locked="0"/>
    </xf>
    <xf numFmtId="0" fontId="24" fillId="0" borderId="0" xfId="0" applyFont="1" applyFill="1" applyAlignment="1" applyProtection="1">
      <alignment vertical="center"/>
      <protection locked="0"/>
    </xf>
    <xf numFmtId="0" fontId="59" fillId="0" borderId="0" xfId="0" applyFont="1" applyFill="1" applyAlignment="1" applyProtection="1">
      <alignment horizontal="justify"/>
      <protection locked="0"/>
    </xf>
    <xf numFmtId="0" fontId="60" fillId="0" borderId="0" xfId="0" applyFont="1" applyFill="1" applyAlignment="1" applyProtection="1">
      <alignment horizontal="right"/>
      <protection locked="0"/>
    </xf>
    <xf numFmtId="0" fontId="1" fillId="0" borderId="51" xfId="0" applyFont="1" applyFill="1" applyBorder="1" applyAlignment="1" applyProtection="1">
      <alignment horizontal="left" vertical="center" wrapText="1" indent="2"/>
      <protection locked="0"/>
    </xf>
    <xf numFmtId="0" fontId="1" fillId="0" borderId="52" xfId="0" applyFont="1" applyFill="1" applyBorder="1" applyAlignment="1" applyProtection="1">
      <alignment horizontal="justify" vertical="center" wrapText="1"/>
      <protection locked="0"/>
    </xf>
    <xf numFmtId="49" fontId="27" fillId="0" borderId="16" xfId="0" applyNumberFormat="1" applyFont="1" applyFill="1" applyBorder="1" applyAlignment="1">
      <alignment horizontal="center" vertical="center" wrapText="1"/>
    </xf>
    <xf numFmtId="49" fontId="27" fillId="0" borderId="18" xfId="0" applyNumberFormat="1" applyFont="1" applyFill="1" applyBorder="1" applyAlignment="1">
      <alignment horizontal="center" vertical="center" wrapText="1"/>
    </xf>
    <xf numFmtId="0" fontId="7" fillId="0" borderId="0" xfId="0" applyFont="1" applyFill="1" applyAlignment="1" applyProtection="1">
      <alignment vertical="center"/>
      <protection locked="0"/>
    </xf>
    <xf numFmtId="49" fontId="27" fillId="0" borderId="16" xfId="0" applyNumberFormat="1" applyFont="1" applyFill="1" applyBorder="1" applyAlignment="1" applyProtection="1">
      <alignment horizontal="center" vertical="center" wrapText="1"/>
      <protection locked="0"/>
    </xf>
    <xf numFmtId="49" fontId="27" fillId="0" borderId="18" xfId="0" applyNumberFormat="1" applyFont="1" applyFill="1" applyBorder="1" applyAlignment="1" applyProtection="1">
      <alignment horizontal="center" vertical="center" wrapText="1"/>
      <protection locked="0"/>
    </xf>
    <xf numFmtId="49" fontId="7" fillId="0" borderId="0" xfId="0" applyNumberFormat="1" applyFont="1" applyFill="1" applyAlignment="1" applyProtection="1">
      <alignment vertical="center"/>
      <protection locked="0"/>
    </xf>
    <xf numFmtId="0" fontId="24" fillId="0" borderId="51" xfId="0" applyFont="1" applyFill="1" applyBorder="1" applyAlignment="1" applyProtection="1">
      <alignment horizontal="justify" vertical="center" wrapText="1"/>
      <protection locked="0"/>
    </xf>
    <xf numFmtId="0" fontId="3" fillId="0" borderId="47" xfId="0" applyFont="1" applyFill="1" applyBorder="1" applyAlignment="1" applyProtection="1">
      <alignment horizontal="justify" vertical="center" wrapText="1"/>
      <protection locked="0"/>
    </xf>
    <xf numFmtId="49" fontId="27" fillId="0" borderId="0" xfId="0" applyNumberFormat="1" applyFont="1" applyFill="1" applyAlignment="1" applyProtection="1">
      <alignment vertical="center"/>
      <protection locked="0"/>
    </xf>
    <xf numFmtId="0" fontId="7" fillId="0" borderId="15" xfId="0" applyFont="1" applyFill="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0" fontId="1" fillId="0" borderId="51" xfId="0" applyFont="1" applyFill="1" applyBorder="1" applyAlignment="1" applyProtection="1">
      <alignment horizontal="justify" vertical="center" wrapText="1"/>
      <protection locked="0"/>
    </xf>
    <xf numFmtId="4" fontId="1" fillId="0" borderId="17" xfId="0" applyNumberFormat="1" applyFont="1" applyFill="1" applyBorder="1" applyAlignment="1" applyProtection="1">
      <alignment horizontal="justify" vertical="center" wrapText="1"/>
    </xf>
    <xf numFmtId="4" fontId="1" fillId="0" borderId="50" xfId="0" applyNumberFormat="1" applyFont="1" applyFill="1" applyBorder="1" applyAlignment="1" applyProtection="1">
      <alignment horizontal="justify" vertical="center" wrapText="1"/>
    </xf>
    <xf numFmtId="4" fontId="1" fillId="0" borderId="17" xfId="0" applyNumberFormat="1" applyFont="1" applyFill="1" applyBorder="1" applyAlignment="1" applyProtection="1">
      <alignment horizontal="right" vertical="center" wrapText="1"/>
      <protection locked="0"/>
    </xf>
    <xf numFmtId="4" fontId="1" fillId="0" borderId="17" xfId="0" applyNumberFormat="1" applyFont="1" applyFill="1" applyBorder="1" applyAlignment="1" applyProtection="1">
      <alignment horizontal="right" vertical="center" wrapText="1"/>
    </xf>
    <xf numFmtId="0" fontId="12" fillId="0" borderId="15" xfId="0" applyFont="1" applyFill="1" applyBorder="1" applyAlignment="1" applyProtection="1">
      <alignment horizontal="center" vertical="center" wrapText="1"/>
      <protection locked="0"/>
    </xf>
    <xf numFmtId="0" fontId="12" fillId="0" borderId="25" xfId="0" applyFont="1" applyFill="1" applyBorder="1" applyAlignment="1" applyProtection="1">
      <alignment horizontal="center" vertical="center" wrapText="1"/>
      <protection locked="0"/>
    </xf>
    <xf numFmtId="4" fontId="1" fillId="0" borderId="50" xfId="0" applyNumberFormat="1" applyFont="1" applyFill="1" applyBorder="1" applyAlignment="1" applyProtection="1">
      <alignment horizontal="right" vertical="center" wrapText="1"/>
    </xf>
    <xf numFmtId="0" fontId="1" fillId="0" borderId="51" xfId="0" applyFont="1" applyFill="1" applyBorder="1" applyAlignment="1" applyProtection="1">
      <alignment horizontal="left" vertical="center" wrapText="1" indent="1"/>
      <protection locked="0"/>
    </xf>
    <xf numFmtId="0" fontId="0" fillId="0" borderId="0" xfId="0" applyFill="1" applyProtection="1">
      <protection locked="0"/>
    </xf>
    <xf numFmtId="4" fontId="7" fillId="0" borderId="0" xfId="0" applyNumberFormat="1" applyFont="1" applyFill="1" applyBorder="1" applyAlignment="1" applyProtection="1">
      <alignment horizontal="right" vertical="top"/>
      <protection locked="0"/>
    </xf>
    <xf numFmtId="4" fontId="12" fillId="0" borderId="15" xfId="0" applyNumberFormat="1" applyFont="1" applyFill="1" applyBorder="1" applyAlignment="1" applyProtection="1">
      <alignment horizontal="center" vertical="center" wrapText="1"/>
      <protection locked="0"/>
    </xf>
    <xf numFmtId="4" fontId="12" fillId="0" borderId="25" xfId="0" applyNumberFormat="1" applyFont="1" applyFill="1" applyBorder="1" applyAlignment="1" applyProtection="1">
      <alignment horizontal="center" vertical="center" wrapText="1"/>
      <protection locked="0"/>
    </xf>
    <xf numFmtId="0" fontId="62" fillId="0" borderId="0" xfId="0" applyFont="1" applyFill="1" applyProtection="1">
      <protection locked="0"/>
    </xf>
    <xf numFmtId="4" fontId="12" fillId="0" borderId="16" xfId="0" applyNumberFormat="1" applyFont="1" applyFill="1" applyBorder="1" applyAlignment="1" applyProtection="1">
      <alignment horizontal="center" vertical="center" wrapText="1"/>
      <protection locked="0"/>
    </xf>
    <xf numFmtId="4" fontId="12" fillId="0" borderId="18" xfId="0" applyNumberFormat="1" applyFont="1" applyFill="1" applyBorder="1" applyAlignment="1" applyProtection="1">
      <alignment horizontal="center" vertical="center" wrapText="1"/>
      <protection locked="0"/>
    </xf>
    <xf numFmtId="0" fontId="5" fillId="0" borderId="51" xfId="0" applyFont="1" applyFill="1" applyBorder="1" applyAlignment="1" applyProtection="1">
      <alignment horizontal="justify" vertical="center" wrapText="1"/>
      <protection locked="0"/>
    </xf>
    <xf numFmtId="4" fontId="5" fillId="0" borderId="17" xfId="0" applyNumberFormat="1" applyFont="1" applyFill="1" applyBorder="1" applyAlignment="1" applyProtection="1">
      <alignment horizontal="justify" vertical="center" wrapText="1"/>
      <protection locked="0"/>
    </xf>
    <xf numFmtId="4" fontId="5" fillId="0" borderId="50" xfId="0" applyNumberFormat="1" applyFont="1" applyFill="1" applyBorder="1" applyAlignment="1" applyProtection="1">
      <alignment horizontal="justify" vertical="center" wrapText="1"/>
      <protection locked="0"/>
    </xf>
    <xf numFmtId="4" fontId="0" fillId="0" borderId="0" xfId="0" applyNumberFormat="1" applyFill="1" applyProtection="1">
      <protection locked="0"/>
    </xf>
    <xf numFmtId="0" fontId="3" fillId="0" borderId="0" xfId="0" applyFont="1" applyFill="1" applyBorder="1" applyAlignment="1">
      <alignment horizontal="left" vertical="top"/>
    </xf>
    <xf numFmtId="0" fontId="3" fillId="0" borderId="47" xfId="0" applyFont="1" applyFill="1" applyBorder="1" applyAlignment="1" applyProtection="1">
      <alignment horizontal="center" vertical="center" wrapText="1"/>
      <protection locked="0"/>
    </xf>
    <xf numFmtId="0" fontId="3" fillId="0" borderId="48" xfId="0" applyFont="1" applyFill="1" applyBorder="1" applyAlignment="1" applyProtection="1">
      <alignment horizontal="center" vertical="center" wrapText="1"/>
      <protection locked="0"/>
    </xf>
    <xf numFmtId="0" fontId="29" fillId="3" borderId="51" xfId="0" applyFont="1" applyFill="1" applyBorder="1" applyAlignment="1" applyProtection="1">
      <alignment horizontal="justify" vertical="center" wrapText="1"/>
      <protection locked="0"/>
    </xf>
    <xf numFmtId="0" fontId="30" fillId="3" borderId="17" xfId="0" applyFont="1" applyFill="1" applyBorder="1" applyAlignment="1" applyProtection="1">
      <alignment horizontal="justify" vertical="center" wrapText="1"/>
      <protection locked="0"/>
    </xf>
    <xf numFmtId="0" fontId="30" fillId="3" borderId="50" xfId="0" applyFont="1" applyFill="1" applyBorder="1" applyAlignment="1" applyProtection="1">
      <alignment horizontal="justify" vertical="center" wrapText="1"/>
      <protection locked="0"/>
    </xf>
    <xf numFmtId="0" fontId="31" fillId="3" borderId="51" xfId="0" applyFont="1" applyFill="1" applyBorder="1" applyAlignment="1" applyProtection="1">
      <alignment horizontal="justify" vertical="center" wrapText="1"/>
      <protection locked="0"/>
    </xf>
    <xf numFmtId="0" fontId="32" fillId="3" borderId="17" xfId="0" applyFont="1" applyFill="1" applyBorder="1" applyAlignment="1" applyProtection="1">
      <alignment horizontal="justify" vertical="center" wrapText="1"/>
      <protection locked="0"/>
    </xf>
    <xf numFmtId="0" fontId="32" fillId="3" borderId="50" xfId="0" applyFont="1" applyFill="1" applyBorder="1" applyAlignment="1" applyProtection="1">
      <alignment horizontal="justify" vertical="center" wrapText="1"/>
      <protection locked="0"/>
    </xf>
    <xf numFmtId="4" fontId="31" fillId="3" borderId="17" xfId="0" applyNumberFormat="1" applyFont="1" applyFill="1" applyBorder="1" applyAlignment="1" applyProtection="1">
      <alignment horizontal="right" vertical="center" wrapText="1"/>
    </xf>
    <xf numFmtId="4" fontId="34" fillId="3" borderId="50" xfId="0" applyNumberFormat="1" applyFont="1" applyFill="1" applyBorder="1" applyAlignment="1" applyProtection="1">
      <alignment horizontal="right" vertical="center" wrapText="1"/>
    </xf>
    <xf numFmtId="0" fontId="32" fillId="3" borderId="51" xfId="0" applyFont="1" applyFill="1" applyBorder="1" applyAlignment="1" applyProtection="1">
      <alignment horizontal="justify" vertical="center" wrapText="1"/>
      <protection locked="0"/>
    </xf>
    <xf numFmtId="4" fontId="32" fillId="3" borderId="17" xfId="0" applyNumberFormat="1" applyFont="1" applyFill="1" applyBorder="1" applyAlignment="1" applyProtection="1">
      <alignment horizontal="right" vertical="center" wrapText="1"/>
      <protection locked="0"/>
    </xf>
    <xf numFmtId="4" fontId="35" fillId="3" borderId="50" xfId="0" applyNumberFormat="1" applyFont="1" applyFill="1" applyBorder="1" applyAlignment="1" applyProtection="1">
      <alignment horizontal="right" vertical="center" wrapText="1"/>
    </xf>
    <xf numFmtId="4" fontId="35" fillId="3" borderId="50" xfId="0" applyNumberFormat="1" applyFont="1" applyFill="1" applyBorder="1" applyAlignment="1" applyProtection="1">
      <alignment horizontal="right" vertical="center" wrapText="1"/>
      <protection locked="0"/>
    </xf>
    <xf numFmtId="4" fontId="34" fillId="3" borderId="17" xfId="0" applyNumberFormat="1" applyFont="1" applyFill="1" applyBorder="1" applyAlignment="1" applyProtection="1">
      <alignment horizontal="right" vertical="center" wrapText="1"/>
    </xf>
    <xf numFmtId="4" fontId="31" fillId="3" borderId="17" xfId="0" applyNumberFormat="1" applyFont="1" applyFill="1" applyBorder="1" applyAlignment="1" applyProtection="1">
      <alignment horizontal="right" vertical="center" wrapText="1"/>
      <protection locked="0"/>
    </xf>
    <xf numFmtId="4" fontId="34" fillId="3" borderId="50" xfId="0" applyNumberFormat="1" applyFont="1" applyFill="1" applyBorder="1" applyAlignment="1" applyProtection="1">
      <alignment horizontal="right" vertical="center" wrapText="1"/>
      <protection locked="0"/>
    </xf>
    <xf numFmtId="0" fontId="30" fillId="3" borderId="52" xfId="0" applyFont="1" applyFill="1" applyBorder="1" applyAlignment="1" applyProtection="1">
      <alignment horizontal="justify" vertical="center" wrapText="1"/>
      <protection locked="0"/>
    </xf>
    <xf numFmtId="0" fontId="30" fillId="3" borderId="16" xfId="0" applyFont="1" applyFill="1" applyBorder="1" applyAlignment="1" applyProtection="1">
      <alignment horizontal="justify" vertical="center" wrapText="1"/>
      <protection locked="0"/>
    </xf>
    <xf numFmtId="0" fontId="30" fillId="3" borderId="18" xfId="0" applyFont="1" applyFill="1" applyBorder="1" applyAlignment="1" applyProtection="1">
      <alignment horizontal="justify" vertical="center" wrapText="1"/>
      <protection locked="0"/>
    </xf>
    <xf numFmtId="49" fontId="3" fillId="0" borderId="51" xfId="0" applyNumberFormat="1" applyFont="1" applyFill="1" applyBorder="1" applyAlignment="1">
      <alignment horizontal="left" vertical="center" wrapText="1"/>
    </xf>
    <xf numFmtId="49" fontId="3" fillId="0" borderId="17" xfId="0" applyNumberFormat="1" applyFont="1" applyFill="1" applyBorder="1" applyAlignment="1">
      <alignment horizontal="left" vertical="center" wrapText="1"/>
    </xf>
    <xf numFmtId="49" fontId="3" fillId="0" borderId="17"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27" fillId="4" borderId="16" xfId="0" applyNumberFormat="1" applyFont="1" applyFill="1" applyBorder="1" applyAlignment="1">
      <alignment horizontal="center" vertical="center" wrapText="1"/>
    </xf>
    <xf numFmtId="0" fontId="5" fillId="0" borderId="0" xfId="0" applyFont="1" applyProtection="1"/>
    <xf numFmtId="0" fontId="11" fillId="4" borderId="0" xfId="0" applyFont="1" applyFill="1" applyBorder="1" applyAlignment="1" applyProtection="1">
      <alignment horizontal="right"/>
      <protection locked="0"/>
    </xf>
    <xf numFmtId="0" fontId="40" fillId="0" borderId="0" xfId="0" applyFont="1" applyAlignment="1" applyProtection="1">
      <protection locked="0"/>
    </xf>
    <xf numFmtId="0" fontId="41" fillId="0" borderId="29"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wrapText="1"/>
      <protection locked="0"/>
    </xf>
    <xf numFmtId="0" fontId="41" fillId="0" borderId="25" xfId="0" applyFont="1" applyBorder="1" applyAlignment="1" applyProtection="1">
      <alignment horizontal="center" vertical="center" wrapText="1"/>
      <protection locked="0"/>
    </xf>
    <xf numFmtId="0" fontId="41" fillId="0" borderId="27"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4" fontId="41" fillId="0" borderId="17" xfId="0" applyNumberFormat="1" applyFont="1" applyBorder="1" applyAlignment="1" applyProtection="1">
      <alignment horizontal="right" vertical="center"/>
      <protection locked="0"/>
    </xf>
    <xf numFmtId="4" fontId="41" fillId="0" borderId="14" xfId="0" applyNumberFormat="1" applyFont="1" applyBorder="1" applyAlignment="1" applyProtection="1">
      <alignment horizontal="right" vertical="center"/>
      <protection locked="0"/>
    </xf>
    <xf numFmtId="4" fontId="41" fillId="0" borderId="6" xfId="0" applyNumberFormat="1" applyFont="1" applyBorder="1" applyAlignment="1" applyProtection="1">
      <alignment horizontal="right" vertical="center"/>
      <protection locked="0"/>
    </xf>
    <xf numFmtId="0" fontId="41" fillId="0" borderId="14" xfId="0" applyFont="1" applyBorder="1" applyAlignment="1" applyProtection="1">
      <alignment horizontal="left" vertical="center"/>
      <protection locked="0"/>
    </xf>
    <xf numFmtId="0" fontId="41" fillId="0" borderId="14" xfId="0" applyFont="1" applyBorder="1" applyAlignment="1" applyProtection="1">
      <alignment horizontal="left" vertical="center" wrapText="1"/>
      <protection locked="0"/>
    </xf>
    <xf numFmtId="0" fontId="5" fillId="0" borderId="0" xfId="0" applyFont="1" applyAlignment="1" applyProtection="1">
      <alignment wrapText="1"/>
      <protection locked="0"/>
    </xf>
    <xf numFmtId="0" fontId="41" fillId="0" borderId="10" xfId="0" applyFont="1" applyBorder="1" applyAlignment="1" applyProtection="1">
      <alignment horizontal="center" vertical="center"/>
      <protection locked="0"/>
    </xf>
    <xf numFmtId="0" fontId="41" fillId="0" borderId="23" xfId="0" applyFont="1" applyBorder="1" applyAlignment="1" applyProtection="1">
      <alignment vertical="center"/>
      <protection locked="0"/>
    </xf>
    <xf numFmtId="0" fontId="42" fillId="0" borderId="0" xfId="0" applyFont="1" applyProtection="1">
      <protection locked="0"/>
    </xf>
    <xf numFmtId="4" fontId="41" fillId="0" borderId="17" xfId="0" applyNumberFormat="1" applyFont="1" applyBorder="1" applyAlignment="1" applyProtection="1">
      <alignment horizontal="right" vertical="center"/>
    </xf>
    <xf numFmtId="4" fontId="41" fillId="0" borderId="14" xfId="0" applyNumberFormat="1" applyFont="1" applyBorder="1" applyAlignment="1" applyProtection="1">
      <alignment horizontal="right" vertical="center"/>
    </xf>
    <xf numFmtId="4" fontId="41" fillId="0" borderId="6" xfId="0" applyNumberFormat="1" applyFont="1" applyBorder="1" applyAlignment="1" applyProtection="1">
      <alignment horizontal="right" vertical="center"/>
    </xf>
    <xf numFmtId="4" fontId="41" fillId="0" borderId="24" xfId="0" applyNumberFormat="1" applyFont="1" applyBorder="1" applyAlignment="1" applyProtection="1">
      <alignment horizontal="right" vertical="center"/>
    </xf>
    <xf numFmtId="4" fontId="41" fillId="0" borderId="48" xfId="0" applyNumberFormat="1" applyFont="1" applyBorder="1" applyAlignment="1" applyProtection="1">
      <alignment horizontal="right" vertical="center"/>
    </xf>
    <xf numFmtId="0" fontId="22" fillId="0" borderId="0" xfId="0" applyFont="1" applyAlignment="1" applyProtection="1">
      <protection locked="0"/>
    </xf>
    <xf numFmtId="0" fontId="41" fillId="0" borderId="17"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4" fontId="41" fillId="0" borderId="12" xfId="0" applyNumberFormat="1" applyFont="1" applyBorder="1" applyAlignment="1" applyProtection="1">
      <alignment horizontal="right" vertical="center"/>
    </xf>
    <xf numFmtId="0" fontId="0" fillId="0" borderId="0" xfId="0" applyProtection="1">
      <protection locked="0"/>
    </xf>
    <xf numFmtId="0" fontId="12" fillId="0" borderId="8" xfId="0" applyFont="1" applyFill="1" applyBorder="1" applyAlignment="1" applyProtection="1">
      <alignment vertical="center" wrapText="1"/>
      <protection locked="0"/>
    </xf>
    <xf numFmtId="49" fontId="27" fillId="4" borderId="16" xfId="0" applyNumberFormat="1" applyFont="1" applyFill="1" applyBorder="1" applyAlignment="1" applyProtection="1">
      <alignment horizontal="center" vertical="center" wrapText="1"/>
      <protection locked="0"/>
    </xf>
    <xf numFmtId="4" fontId="5" fillId="0" borderId="17" xfId="0" applyNumberFormat="1" applyFont="1" applyBorder="1" applyAlignment="1" applyProtection="1">
      <alignment horizontal="right" vertical="center" wrapText="1"/>
      <protection locked="0"/>
    </xf>
    <xf numFmtId="0" fontId="39" fillId="0" borderId="5" xfId="0" applyFont="1" applyBorder="1" applyAlignment="1" applyProtection="1">
      <alignment vertical="center" wrapText="1"/>
      <protection locked="0"/>
    </xf>
    <xf numFmtId="4" fontId="39" fillId="0" borderId="17" xfId="0" applyNumberFormat="1" applyFont="1" applyBorder="1" applyAlignment="1" applyProtection="1">
      <alignment horizontal="right" vertical="center" wrapText="1"/>
      <protection locked="0"/>
    </xf>
    <xf numFmtId="0" fontId="64" fillId="0" borderId="0" xfId="0" applyFont="1" applyProtection="1">
      <protection locked="0"/>
    </xf>
    <xf numFmtId="0" fontId="12" fillId="0" borderId="51" xfId="0" applyFont="1" applyBorder="1" applyAlignment="1" applyProtection="1">
      <alignment vertical="top" wrapText="1"/>
      <protection locked="0"/>
    </xf>
    <xf numFmtId="0" fontId="52" fillId="0" borderId="0" xfId="0" applyFont="1" applyProtection="1">
      <protection locked="0"/>
    </xf>
    <xf numFmtId="0" fontId="0" fillId="0" borderId="0" xfId="0" applyFont="1" applyProtection="1">
      <protection locked="0"/>
    </xf>
    <xf numFmtId="0" fontId="0" fillId="0" borderId="0" xfId="0" applyAlignment="1" applyProtection="1">
      <alignment wrapText="1"/>
      <protection locked="0"/>
    </xf>
    <xf numFmtId="0" fontId="5" fillId="0" borderId="51" xfId="0" applyFont="1" applyBorder="1" applyAlignment="1" applyProtection="1">
      <alignment horizontal="justify" vertical="center" wrapText="1"/>
      <protection locked="0"/>
    </xf>
    <xf numFmtId="0" fontId="24" fillId="0" borderId="51" xfId="0" applyFont="1" applyBorder="1" applyAlignment="1" applyProtection="1">
      <alignment horizontal="left" vertical="center" wrapText="1" indent="4"/>
      <protection locked="0"/>
    </xf>
    <xf numFmtId="0" fontId="3" fillId="0" borderId="47" xfId="0" applyFont="1" applyBorder="1" applyAlignment="1" applyProtection="1">
      <alignment horizontal="justify" vertical="center" wrapText="1"/>
      <protection locked="0"/>
    </xf>
    <xf numFmtId="0" fontId="7" fillId="0" borderId="0" xfId="0" applyFont="1" applyFill="1" applyBorder="1" applyAlignment="1">
      <alignment horizontal="right"/>
    </xf>
    <xf numFmtId="0" fontId="40" fillId="0" borderId="0" xfId="0" applyFont="1" applyFill="1" applyBorder="1" applyAlignment="1">
      <alignment horizontal="center"/>
    </xf>
    <xf numFmtId="0" fontId="5" fillId="0" borderId="0" xfId="0" applyFont="1" applyFill="1" applyAlignment="1"/>
    <xf numFmtId="0" fontId="5" fillId="0" borderId="0" xfId="0" applyFont="1" applyFill="1" applyAlignment="1">
      <alignment horizontal="center" vertical="center"/>
    </xf>
    <xf numFmtId="0" fontId="41" fillId="0" borderId="0" xfId="0" applyFont="1" applyFill="1" applyBorder="1" applyAlignment="1">
      <alignment horizontal="center" vertical="center"/>
    </xf>
    <xf numFmtId="0" fontId="41" fillId="0" borderId="5" xfId="0" applyFont="1" applyFill="1" applyBorder="1" applyAlignment="1">
      <alignment horizontal="left" vertical="center"/>
    </xf>
    <xf numFmtId="0" fontId="41"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41" fillId="0" borderId="5" xfId="0" applyFont="1" applyFill="1" applyBorder="1" applyAlignment="1">
      <alignment horizontal="center" vertical="center"/>
    </xf>
    <xf numFmtId="0" fontId="5" fillId="0" borderId="5" xfId="0" applyFont="1" applyFill="1" applyBorder="1" applyAlignment="1"/>
    <xf numFmtId="0" fontId="5" fillId="0" borderId="6" xfId="0" applyFont="1" applyFill="1" applyBorder="1"/>
    <xf numFmtId="0" fontId="5" fillId="0" borderId="7" xfId="0" applyFont="1" applyFill="1" applyBorder="1" applyAlignment="1"/>
    <xf numFmtId="0" fontId="5" fillId="0" borderId="8" xfId="0" applyFont="1" applyFill="1" applyBorder="1"/>
    <xf numFmtId="0" fontId="5" fillId="0" borderId="9" xfId="0" applyFont="1" applyFill="1" applyBorder="1"/>
    <xf numFmtId="0" fontId="44" fillId="0" borderId="0" xfId="0" applyFont="1" applyFill="1" applyAlignment="1"/>
    <xf numFmtId="0" fontId="42" fillId="0" borderId="0" xfId="0" applyFont="1" applyFill="1" applyBorder="1" applyAlignment="1">
      <alignment vertical="center" wrapText="1"/>
    </xf>
    <xf numFmtId="0" fontId="41" fillId="0" borderId="0" xfId="0" applyFont="1" applyFill="1" applyBorder="1" applyAlignment="1">
      <alignment horizontal="left" vertical="center"/>
    </xf>
    <xf numFmtId="0" fontId="41" fillId="0" borderId="3" xfId="0" applyFont="1" applyFill="1" applyBorder="1" applyAlignment="1">
      <alignment horizontal="center" vertical="center"/>
    </xf>
    <xf numFmtId="0" fontId="7" fillId="4" borderId="0" xfId="0" applyFont="1" applyFill="1" applyBorder="1" applyAlignment="1" applyProtection="1">
      <alignment horizontal="right"/>
      <protection locked="0"/>
    </xf>
    <xf numFmtId="0" fontId="41" fillId="0" borderId="5" xfId="0" applyFont="1" applyBorder="1" applyAlignment="1" applyProtection="1">
      <alignment horizontal="left" vertical="center"/>
      <protection locked="0"/>
    </xf>
    <xf numFmtId="4" fontId="41" fillId="0" borderId="50" xfId="0" applyNumberFormat="1" applyFont="1" applyBorder="1" applyAlignment="1" applyProtection="1">
      <alignment horizontal="right" vertical="center"/>
      <protection locked="0"/>
    </xf>
    <xf numFmtId="0" fontId="42" fillId="0" borderId="14" xfId="0" applyFont="1" applyBorder="1" applyAlignment="1" applyProtection="1">
      <alignment horizontal="left" vertical="center"/>
      <protection locked="0"/>
    </xf>
    <xf numFmtId="0" fontId="41" fillId="2" borderId="15"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63" fillId="0" borderId="0" xfId="0" applyFont="1" applyAlignment="1" applyProtection="1">
      <protection locked="0"/>
    </xf>
    <xf numFmtId="0" fontId="63" fillId="0" borderId="0" xfId="0" applyFont="1" applyProtection="1">
      <protection locked="0"/>
    </xf>
    <xf numFmtId="4" fontId="41" fillId="0" borderId="50" xfId="0" applyNumberFormat="1" applyFont="1" applyBorder="1" applyAlignment="1" applyProtection="1">
      <alignment horizontal="right" vertical="center"/>
    </xf>
    <xf numFmtId="0" fontId="22" fillId="0" borderId="0" xfId="0" applyFont="1" applyProtection="1">
      <protection locked="0"/>
    </xf>
    <xf numFmtId="0" fontId="11" fillId="0" borderId="0" xfId="0" applyFont="1" applyProtection="1">
      <protection locked="0"/>
    </xf>
    <xf numFmtId="0" fontId="40" fillId="0" borderId="0" xfId="0" applyFont="1" applyBorder="1" applyAlignment="1" applyProtection="1">
      <alignment horizontal="center"/>
      <protection locked="0"/>
    </xf>
    <xf numFmtId="0" fontId="41" fillId="0" borderId="29" xfId="0" applyFont="1" applyBorder="1" applyAlignment="1" applyProtection="1">
      <alignment horizontal="center" vertical="center"/>
      <protection locked="0"/>
    </xf>
    <xf numFmtId="0" fontId="41" fillId="0" borderId="14" xfId="0" applyFont="1" applyFill="1" applyBorder="1" applyAlignment="1" applyProtection="1">
      <alignment horizontal="center" vertical="center"/>
      <protection locked="0"/>
    </xf>
    <xf numFmtId="0" fontId="41" fillId="0" borderId="14" xfId="0" applyFont="1" applyFill="1" applyBorder="1" applyAlignment="1" applyProtection="1">
      <alignment horizontal="left" vertical="center"/>
      <protection locked="0"/>
    </xf>
    <xf numFmtId="0" fontId="46" fillId="0" borderId="0" xfId="12" applyFont="1" applyAlignment="1" applyProtection="1">
      <alignment horizontal="center" vertical="center"/>
      <protection locked="0"/>
    </xf>
    <xf numFmtId="0" fontId="65" fillId="0" borderId="0" xfId="0" applyFont="1" applyProtection="1">
      <protection locked="0"/>
    </xf>
    <xf numFmtId="4" fontId="41" fillId="0" borderId="6" xfId="6" applyNumberFormat="1" applyFont="1" applyBorder="1" applyAlignment="1" applyProtection="1">
      <alignment horizontal="right" vertical="center" wrapText="1"/>
    </xf>
    <xf numFmtId="4" fontId="41" fillId="0" borderId="17" xfId="0" applyNumberFormat="1" applyFont="1" applyBorder="1" applyAlignment="1" applyProtection="1">
      <alignment horizontal="right" vertical="center" wrapText="1"/>
    </xf>
    <xf numFmtId="4" fontId="41" fillId="0" borderId="14" xfId="6" applyNumberFormat="1" applyFont="1" applyBorder="1" applyAlignment="1" applyProtection="1">
      <alignment horizontal="right" vertical="center" wrapText="1"/>
    </xf>
    <xf numFmtId="0" fontId="12" fillId="0" borderId="0" xfId="0" applyFont="1" applyFill="1" applyBorder="1" applyAlignment="1" applyProtection="1">
      <alignment vertical="center"/>
      <protection locked="0"/>
    </xf>
    <xf numFmtId="4" fontId="7" fillId="0" borderId="8" xfId="0" applyNumberFormat="1" applyFont="1" applyFill="1" applyBorder="1" applyAlignment="1" applyProtection="1">
      <alignment horizontal="left" vertical="top"/>
      <protection locked="0"/>
    </xf>
    <xf numFmtId="0" fontId="7" fillId="0" borderId="47" xfId="0" applyFont="1" applyFill="1" applyBorder="1" applyAlignment="1" applyProtection="1">
      <alignment vertical="center"/>
      <protection locked="0"/>
    </xf>
    <xf numFmtId="0" fontId="5" fillId="0" borderId="0" xfId="0" applyFont="1" applyFill="1" applyAlignment="1" applyProtection="1">
      <alignment vertical="center" wrapText="1"/>
      <protection locked="0"/>
    </xf>
    <xf numFmtId="0" fontId="7" fillId="0" borderId="2"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23" fillId="0" borderId="49" xfId="0" applyFont="1" applyFill="1" applyBorder="1" applyAlignment="1" applyProtection="1">
      <alignment vertical="center"/>
      <protection locked="0"/>
    </xf>
    <xf numFmtId="0" fontId="17" fillId="0" borderId="15" xfId="0" applyFont="1" applyFill="1" applyBorder="1" applyAlignment="1" applyProtection="1">
      <alignment horizontal="justify" vertical="center"/>
      <protection locked="0"/>
    </xf>
    <xf numFmtId="0" fontId="2" fillId="0" borderId="51" xfId="0" applyFont="1" applyFill="1" applyBorder="1" applyAlignment="1" applyProtection="1">
      <alignment horizontal="left" vertical="center" indent="3"/>
      <protection locked="0"/>
    </xf>
    <xf numFmtId="0" fontId="7" fillId="0" borderId="17" xfId="0" applyFont="1" applyFill="1" applyBorder="1" applyAlignment="1" applyProtection="1">
      <alignment horizontal="center" vertical="center" wrapText="1"/>
      <protection locked="0"/>
    </xf>
    <xf numFmtId="0" fontId="23" fillId="0" borderId="52" xfId="0" applyFont="1" applyFill="1" applyBorder="1" applyAlignment="1" applyProtection="1">
      <alignment vertical="center"/>
      <protection locked="0"/>
    </xf>
    <xf numFmtId="0" fontId="7" fillId="0" borderId="16"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justify" vertical="center"/>
      <protection locked="0"/>
    </xf>
    <xf numFmtId="0" fontId="23" fillId="0" borderId="8" xfId="0" applyFont="1" applyFill="1" applyBorder="1" applyAlignment="1" applyProtection="1">
      <alignment horizontal="left" vertical="center"/>
      <protection locked="0"/>
    </xf>
    <xf numFmtId="0" fontId="23" fillId="0" borderId="51" xfId="0" applyFont="1" applyFill="1" applyBorder="1" applyAlignment="1" applyProtection="1">
      <alignment vertical="center"/>
      <protection locked="0"/>
    </xf>
    <xf numFmtId="0" fontId="2" fillId="0" borderId="52" xfId="0" applyFont="1" applyFill="1" applyBorder="1" applyAlignment="1" applyProtection="1">
      <alignment horizontal="justify" vertical="center"/>
      <protection locked="0"/>
    </xf>
    <xf numFmtId="0" fontId="17" fillId="0" borderId="16" xfId="0" applyFont="1" applyFill="1" applyBorder="1" applyAlignment="1" applyProtection="1">
      <alignment horizontal="justify" vertical="center"/>
      <protection locked="0"/>
    </xf>
    <xf numFmtId="4" fontId="5" fillId="0" borderId="0" xfId="0" applyNumberFormat="1" applyFont="1" applyFill="1" applyAlignment="1" applyProtection="1">
      <alignment horizontal="right" vertical="center"/>
      <protection locked="0"/>
    </xf>
    <xf numFmtId="0" fontId="5" fillId="0" borderId="0" xfId="0" applyFont="1" applyFill="1" applyAlignment="1" applyProtection="1">
      <alignment vertical="center" wrapText="1"/>
    </xf>
    <xf numFmtId="4" fontId="7" fillId="0" borderId="2" xfId="0" applyNumberFormat="1" applyFont="1" applyFill="1" applyBorder="1" applyAlignment="1" applyProtection="1">
      <alignment horizontal="right" vertical="center" wrapText="1"/>
    </xf>
    <xf numFmtId="4" fontId="7" fillId="0" borderId="8" xfId="0" applyNumberFormat="1" applyFont="1" applyFill="1" applyBorder="1" applyAlignment="1" applyProtection="1">
      <alignment horizontal="right" vertical="center" wrapText="1"/>
    </xf>
    <xf numFmtId="4" fontId="7" fillId="2" borderId="25" xfId="0" applyNumberFormat="1" applyFont="1" applyFill="1" applyBorder="1" applyAlignment="1" applyProtection="1">
      <alignment horizontal="right" vertical="center" wrapText="1"/>
    </xf>
    <xf numFmtId="0" fontId="5" fillId="0" borderId="0" xfId="0" applyFont="1" applyFill="1" applyAlignment="1" applyProtection="1">
      <alignment vertical="center"/>
    </xf>
    <xf numFmtId="4" fontId="17" fillId="0" borderId="50" xfId="0" applyNumberFormat="1" applyFont="1" applyFill="1" applyBorder="1" applyAlignment="1" applyProtection="1">
      <alignment horizontal="right" vertical="center"/>
    </xf>
    <xf numFmtId="4" fontId="17" fillId="0" borderId="18" xfId="0" applyNumberFormat="1" applyFont="1" applyFill="1" applyBorder="1" applyAlignment="1" applyProtection="1">
      <alignment horizontal="right" vertical="center"/>
    </xf>
    <xf numFmtId="4" fontId="17" fillId="0" borderId="2" xfId="0" applyNumberFormat="1" applyFont="1" applyFill="1" applyBorder="1" applyAlignment="1" applyProtection="1">
      <alignment horizontal="right" vertical="center"/>
    </xf>
    <xf numFmtId="4" fontId="17" fillId="0" borderId="8" xfId="0" applyNumberFormat="1" applyFont="1" applyFill="1" applyBorder="1" applyAlignment="1" applyProtection="1">
      <alignment horizontal="right" vertical="center"/>
    </xf>
    <xf numFmtId="0" fontId="22" fillId="0" borderId="0" xfId="0" applyFont="1" applyBorder="1" applyAlignment="1" applyProtection="1">
      <alignment horizontal="left" vertical="center"/>
    </xf>
    <xf numFmtId="0" fontId="61" fillId="0" borderId="0" xfId="0" applyFont="1" applyBorder="1" applyAlignment="1" applyProtection="1">
      <alignment horizontal="center" vertical="center"/>
    </xf>
    <xf numFmtId="0" fontId="7" fillId="0" borderId="0" xfId="0" applyFont="1" applyFill="1" applyBorder="1" applyAlignment="1" applyProtection="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4" fontId="17" fillId="3" borderId="50" xfId="0" applyNumberFormat="1" applyFont="1" applyFill="1" applyBorder="1" applyAlignment="1" applyProtection="1">
      <alignment horizontal="right" vertical="center"/>
    </xf>
    <xf numFmtId="4" fontId="17" fillId="3" borderId="18" xfId="0" applyNumberFormat="1" applyFont="1" applyFill="1" applyBorder="1" applyAlignment="1" applyProtection="1">
      <alignment horizontal="right" vertical="center"/>
    </xf>
    <xf numFmtId="0" fontId="67" fillId="0" borderId="0" xfId="0" applyFont="1" applyFill="1" applyBorder="1" applyAlignment="1" applyProtection="1">
      <alignment horizontal="center"/>
      <protection locked="0"/>
    </xf>
    <xf numFmtId="0" fontId="66" fillId="0" borderId="0" xfId="0" applyFont="1" applyBorder="1" applyAlignment="1" applyProtection="1">
      <alignment horizontal="left"/>
      <protection locked="0"/>
    </xf>
    <xf numFmtId="0" fontId="61" fillId="0" borderId="0" xfId="0" applyFont="1" applyBorder="1" applyAlignment="1" applyProtection="1">
      <alignment horizontal="left"/>
      <protection locked="0"/>
    </xf>
    <xf numFmtId="0" fontId="66" fillId="0" borderId="0" xfId="0" applyFont="1" applyFill="1" applyAlignment="1" applyProtection="1">
      <alignment horizontal="center" vertical="center"/>
      <protection locked="0"/>
    </xf>
    <xf numFmtId="0" fontId="68" fillId="0" borderId="0" xfId="0" applyFont="1" applyFill="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4" fontId="0" fillId="0" borderId="8" xfId="0" applyNumberFormat="1" applyFill="1" applyBorder="1" applyAlignment="1" applyProtection="1">
      <alignment horizontal="center"/>
      <protection locked="0"/>
    </xf>
    <xf numFmtId="0" fontId="68" fillId="0" borderId="0" xfId="0" applyFont="1" applyAlignment="1" applyProtection="1">
      <alignment horizontal="center" wrapText="1"/>
    </xf>
    <xf numFmtId="4" fontId="12" fillId="0" borderId="8" xfId="0" applyNumberFormat="1" applyFont="1" applyFill="1" applyBorder="1" applyAlignment="1" applyProtection="1">
      <alignment vertical="top"/>
      <protection locked="0"/>
    </xf>
    <xf numFmtId="4" fontId="33" fillId="0" borderId="43" xfId="0" applyNumberFormat="1" applyFont="1" applyBorder="1" applyAlignment="1" applyProtection="1">
      <alignment horizontal="center" vertical="center" wrapText="1"/>
      <protection locked="0"/>
    </xf>
    <xf numFmtId="4" fontId="5" fillId="0" borderId="6" xfId="0" applyNumberFormat="1" applyFont="1" applyBorder="1" applyAlignment="1" applyProtection="1">
      <alignment horizontal="left" vertical="top"/>
      <protection locked="0"/>
    </xf>
    <xf numFmtId="4" fontId="17" fillId="0" borderId="9" xfId="0" applyNumberFormat="1" applyFont="1" applyBorder="1" applyAlignment="1" applyProtection="1">
      <alignment horizontal="left" vertical="top"/>
      <protection locked="0"/>
    </xf>
    <xf numFmtId="4" fontId="66" fillId="0" borderId="0" xfId="0" applyNumberFormat="1" applyFont="1" applyBorder="1" applyAlignment="1" applyProtection="1">
      <alignment horizontal="left"/>
      <protection locked="0"/>
    </xf>
    <xf numFmtId="4" fontId="7" fillId="0" borderId="0" xfId="0" applyNumberFormat="1" applyFont="1" applyFill="1" applyProtection="1">
      <protection locked="0"/>
    </xf>
    <xf numFmtId="4" fontId="5" fillId="0" borderId="0" xfId="0" applyNumberFormat="1" applyFont="1" applyBorder="1" applyAlignment="1" applyProtection="1">
      <alignment horizontal="left"/>
      <protection locked="0"/>
    </xf>
    <xf numFmtId="0" fontId="67" fillId="0" borderId="0" xfId="0" applyFont="1" applyFill="1" applyBorder="1" applyAlignment="1" applyProtection="1">
      <alignment horizontal="left"/>
    </xf>
    <xf numFmtId="0" fontId="68" fillId="0" borderId="0" xfId="0" applyFont="1" applyAlignment="1" applyProtection="1">
      <alignment horizontal="center"/>
      <protection locked="0"/>
    </xf>
    <xf numFmtId="0" fontId="11" fillId="0" borderId="0" xfId="0" applyFont="1" applyBorder="1" applyAlignment="1" applyProtection="1">
      <alignment horizontal="center" vertical="center" wrapText="1"/>
      <protection locked="0"/>
    </xf>
    <xf numFmtId="0" fontId="12" fillId="0" borderId="10" xfId="0" applyFont="1" applyBorder="1" applyAlignment="1" applyProtection="1">
      <alignment vertical="center" wrapText="1"/>
      <protection locked="0"/>
    </xf>
    <xf numFmtId="0" fontId="12" fillId="0" borderId="12" xfId="0" applyFont="1" applyBorder="1" applyAlignment="1" applyProtection="1">
      <alignment vertical="center" wrapText="1"/>
      <protection locked="0"/>
    </xf>
    <xf numFmtId="4" fontId="12" fillId="0" borderId="10" xfId="0" applyNumberFormat="1" applyFont="1" applyBorder="1" applyAlignment="1" applyProtection="1">
      <alignment vertical="center"/>
      <protection locked="0"/>
    </xf>
    <xf numFmtId="4" fontId="12" fillId="0" borderId="12" xfId="0" applyNumberFormat="1" applyFont="1" applyBorder="1" applyAlignment="1" applyProtection="1">
      <alignment vertical="center"/>
      <protection locked="0"/>
    </xf>
    <xf numFmtId="0" fontId="57" fillId="0" borderId="0" xfId="0" applyFont="1" applyFill="1" applyBorder="1" applyAlignment="1" applyProtection="1">
      <alignment horizontal="left"/>
    </xf>
    <xf numFmtId="0" fontId="24" fillId="0" borderId="0" xfId="0" applyFont="1" applyFill="1" applyProtection="1">
      <protection locked="0"/>
    </xf>
    <xf numFmtId="0" fontId="13" fillId="0" borderId="0" xfId="0" applyFont="1" applyProtection="1">
      <protection locked="0"/>
    </xf>
    <xf numFmtId="0" fontId="57" fillId="0" borderId="0" xfId="0" applyFont="1" applyFill="1" applyBorder="1" applyAlignment="1" applyProtection="1">
      <alignment horizontal="left"/>
      <protection locked="0"/>
    </xf>
    <xf numFmtId="0" fontId="1" fillId="0" borderId="0" xfId="0" applyFont="1" applyFill="1" applyProtection="1">
      <protection locked="0"/>
    </xf>
    <xf numFmtId="3" fontId="12" fillId="0" borderId="17" xfId="0" applyNumberFormat="1" applyFont="1" applyBorder="1" applyAlignment="1" applyProtection="1">
      <alignment horizontal="right" vertical="center" wrapText="1"/>
    </xf>
    <xf numFmtId="3" fontId="24" fillId="0" borderId="17" xfId="0" applyNumberFormat="1" applyFont="1" applyBorder="1" applyAlignment="1" applyProtection="1">
      <alignment horizontal="right" vertical="center" wrapText="1"/>
      <protection locked="0"/>
    </xf>
    <xf numFmtId="3" fontId="24" fillId="0" borderId="17" xfId="0" applyNumberFormat="1" applyFont="1" applyBorder="1" applyAlignment="1" applyProtection="1">
      <alignment horizontal="right" vertical="center" wrapText="1"/>
    </xf>
    <xf numFmtId="3" fontId="12" fillId="0" borderId="17" xfId="0" applyNumberFormat="1" applyFont="1" applyBorder="1" applyAlignment="1" applyProtection="1">
      <alignment horizontal="right" vertical="center" wrapText="1"/>
      <protection locked="0"/>
    </xf>
    <xf numFmtId="3" fontId="3" fillId="0" borderId="24" xfId="0" applyNumberFormat="1" applyFont="1" applyBorder="1" applyAlignment="1" applyProtection="1">
      <alignment horizontal="right" vertical="center" wrapText="1"/>
    </xf>
    <xf numFmtId="0" fontId="3" fillId="0" borderId="51" xfId="0" applyFont="1" applyFill="1" applyBorder="1" applyAlignment="1" applyProtection="1">
      <alignment vertical="center" wrapText="1"/>
      <protection locked="0"/>
    </xf>
    <xf numFmtId="3" fontId="3" fillId="0" borderId="17" xfId="0" applyNumberFormat="1" applyFont="1" applyFill="1" applyBorder="1" applyAlignment="1" applyProtection="1">
      <alignment horizontal="right" vertical="center" wrapText="1"/>
    </xf>
    <xf numFmtId="3" fontId="3" fillId="0" borderId="50" xfId="0" applyNumberFormat="1" applyFont="1" applyFill="1" applyBorder="1" applyAlignment="1" applyProtection="1">
      <alignment horizontal="right" vertical="center" wrapText="1"/>
    </xf>
    <xf numFmtId="3" fontId="1" fillId="0" borderId="17" xfId="0" applyNumberFormat="1" applyFont="1" applyFill="1" applyBorder="1" applyAlignment="1" applyProtection="1">
      <alignment horizontal="right" vertical="center" wrapText="1"/>
      <protection locked="0"/>
    </xf>
    <xf numFmtId="3" fontId="1" fillId="0" borderId="17" xfId="0" applyNumberFormat="1" applyFont="1" applyFill="1" applyBorder="1" applyAlignment="1" applyProtection="1">
      <alignment horizontal="right" vertical="center" wrapText="1"/>
    </xf>
    <xf numFmtId="3" fontId="1" fillId="0" borderId="50" xfId="0" applyNumberFormat="1" applyFont="1" applyFill="1" applyBorder="1" applyAlignment="1" applyProtection="1">
      <alignment horizontal="right" vertical="center" wrapText="1"/>
    </xf>
    <xf numFmtId="0" fontId="1" fillId="0" borderId="51" xfId="0" applyFont="1" applyFill="1" applyBorder="1" applyAlignment="1" applyProtection="1">
      <alignment horizontal="left" vertical="top" wrapText="1" indent="2"/>
      <protection locked="0"/>
    </xf>
    <xf numFmtId="3" fontId="1" fillId="0" borderId="24" xfId="0" applyNumberFormat="1" applyFont="1" applyFill="1" applyBorder="1" applyAlignment="1" applyProtection="1">
      <alignment horizontal="right" vertical="center" wrapText="1"/>
    </xf>
    <xf numFmtId="3" fontId="1" fillId="0" borderId="48" xfId="0" applyNumberFormat="1" applyFont="1" applyFill="1" applyBorder="1" applyAlignment="1" applyProtection="1">
      <alignment horizontal="right" vertical="center" wrapText="1"/>
    </xf>
    <xf numFmtId="3" fontId="3" fillId="0" borderId="24" xfId="0" applyNumberFormat="1" applyFont="1" applyFill="1" applyBorder="1" applyAlignment="1" applyProtection="1">
      <alignment horizontal="right" vertical="center" wrapText="1"/>
    </xf>
    <xf numFmtId="3" fontId="3" fillId="0" borderId="48" xfId="0" applyNumberFormat="1" applyFont="1" applyFill="1" applyBorder="1" applyAlignment="1" applyProtection="1">
      <alignment horizontal="right" vertical="center" wrapText="1"/>
    </xf>
    <xf numFmtId="3" fontId="1" fillId="0" borderId="16" xfId="0" applyNumberFormat="1" applyFont="1" applyFill="1" applyBorder="1" applyAlignment="1" applyProtection="1">
      <alignment horizontal="right" vertical="center" wrapText="1"/>
    </xf>
    <xf numFmtId="3" fontId="1" fillId="0" borderId="18" xfId="0" applyNumberFormat="1" applyFont="1" applyFill="1" applyBorder="1" applyAlignment="1" applyProtection="1">
      <alignment horizontal="right" vertical="center" wrapText="1"/>
    </xf>
    <xf numFmtId="3" fontId="3" fillId="0" borderId="16" xfId="0" applyNumberFormat="1" applyFont="1" applyFill="1" applyBorder="1" applyAlignment="1" applyProtection="1">
      <alignment horizontal="right" vertical="center" wrapText="1"/>
    </xf>
    <xf numFmtId="3" fontId="3" fillId="0" borderId="18" xfId="0" applyNumberFormat="1" applyFont="1" applyFill="1" applyBorder="1" applyAlignment="1" applyProtection="1">
      <alignment horizontal="right" vertical="center" wrapText="1"/>
    </xf>
    <xf numFmtId="3" fontId="24" fillId="0" borderId="17" xfId="0" applyNumberFormat="1" applyFont="1" applyFill="1" applyBorder="1" applyAlignment="1" applyProtection="1">
      <alignment horizontal="right" vertical="center" wrapText="1"/>
      <protection locked="0"/>
    </xf>
    <xf numFmtId="3" fontId="24" fillId="0" borderId="17" xfId="0" applyNumberFormat="1" applyFont="1" applyFill="1" applyBorder="1" applyAlignment="1" applyProtection="1">
      <alignment horizontal="right" vertical="center" wrapText="1"/>
    </xf>
    <xf numFmtId="3" fontId="24" fillId="0" borderId="50" xfId="0" applyNumberFormat="1" applyFont="1" applyFill="1" applyBorder="1" applyAlignment="1" applyProtection="1">
      <alignment horizontal="right" vertical="center" wrapText="1"/>
    </xf>
    <xf numFmtId="0" fontId="3" fillId="0" borderId="15"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49" fontId="3" fillId="0" borderId="16" xfId="0" applyNumberFormat="1" applyFont="1" applyFill="1" applyBorder="1" applyAlignment="1" applyProtection="1">
      <alignment horizontal="center" vertical="center" wrapText="1"/>
    </xf>
    <xf numFmtId="49" fontId="3" fillId="0" borderId="18" xfId="0" applyNumberFormat="1" applyFont="1" applyFill="1" applyBorder="1" applyAlignment="1" applyProtection="1">
      <alignment horizontal="center" vertical="center" wrapText="1"/>
    </xf>
    <xf numFmtId="0" fontId="1" fillId="0" borderId="49" xfId="0" applyFont="1" applyBorder="1" applyAlignment="1" applyProtection="1">
      <alignment vertical="center" wrapText="1"/>
    </xf>
    <xf numFmtId="0" fontId="1" fillId="0" borderId="51" xfId="0" applyFont="1" applyBorder="1" applyAlignment="1" applyProtection="1">
      <alignment horizontal="left" vertical="center" wrapText="1" indent="3"/>
    </xf>
    <xf numFmtId="0" fontId="1" fillId="0" borderId="51" xfId="0" applyFont="1" applyBorder="1" applyAlignment="1" applyProtection="1">
      <alignment vertical="center" wrapText="1"/>
    </xf>
    <xf numFmtId="0" fontId="1" fillId="0" borderId="52" xfId="0" applyFont="1" applyBorder="1" applyAlignment="1" applyProtection="1">
      <alignment horizontal="left" vertical="center" wrapText="1" indent="3"/>
    </xf>
    <xf numFmtId="0" fontId="3" fillId="0" borderId="47" xfId="0" applyFont="1" applyBorder="1" applyAlignment="1" applyProtection="1">
      <alignment vertical="center" wrapText="1"/>
    </xf>
    <xf numFmtId="3" fontId="1" fillId="0" borderId="17" xfId="0" applyNumberFormat="1" applyFont="1" applyBorder="1" applyAlignment="1" applyProtection="1">
      <alignment horizontal="right" vertical="center" wrapText="1"/>
    </xf>
    <xf numFmtId="3" fontId="1" fillId="0" borderId="50" xfId="0" applyNumberFormat="1" applyFont="1" applyBorder="1" applyAlignment="1" applyProtection="1">
      <alignment horizontal="right" vertical="center" wrapText="1"/>
    </xf>
    <xf numFmtId="3" fontId="1" fillId="0" borderId="17" xfId="0" applyNumberFormat="1" applyFont="1" applyBorder="1" applyAlignment="1" applyProtection="1">
      <alignment horizontal="right" vertical="center" wrapText="1"/>
      <protection locked="0"/>
    </xf>
    <xf numFmtId="3" fontId="1" fillId="0" borderId="16" xfId="0" applyNumberFormat="1" applyFont="1" applyBorder="1" applyAlignment="1" applyProtection="1">
      <alignment horizontal="right" vertical="center" wrapText="1"/>
      <protection locked="0"/>
    </xf>
    <xf numFmtId="3" fontId="1" fillId="0" borderId="16" xfId="0" applyNumberFormat="1" applyFont="1" applyBorder="1" applyAlignment="1" applyProtection="1">
      <alignment horizontal="right" vertical="center" wrapText="1"/>
    </xf>
    <xf numFmtId="3" fontId="1" fillId="0" borderId="18" xfId="0" applyNumberFormat="1" applyFont="1" applyBorder="1" applyAlignment="1" applyProtection="1">
      <alignment horizontal="right" vertical="center" wrapText="1"/>
    </xf>
    <xf numFmtId="3" fontId="3" fillId="0" borderId="48" xfId="0" applyNumberFormat="1" applyFont="1" applyBorder="1" applyAlignment="1" applyProtection="1">
      <alignment horizontal="right" vertical="center" wrapText="1"/>
    </xf>
    <xf numFmtId="3" fontId="1" fillId="0" borderId="17" xfId="0" applyNumberFormat="1" applyFont="1" applyBorder="1" applyAlignment="1" applyProtection="1">
      <alignment horizontal="right" vertical="center"/>
      <protection locked="0"/>
    </xf>
    <xf numFmtId="3" fontId="3" fillId="0" borderId="16" xfId="0" applyNumberFormat="1" applyFont="1" applyBorder="1" applyAlignment="1" applyProtection="1">
      <alignment horizontal="right" vertical="center" wrapText="1"/>
    </xf>
    <xf numFmtId="3" fontId="3" fillId="0" borderId="18" xfId="0" applyNumberFormat="1" applyFont="1" applyBorder="1" applyAlignment="1" applyProtection="1">
      <alignment horizontal="right" vertical="center" wrapText="1"/>
    </xf>
    <xf numFmtId="3" fontId="16" fillId="0" borderId="6" xfId="0" applyNumberFormat="1" applyFont="1" applyBorder="1" applyAlignment="1" applyProtection="1">
      <alignment horizontal="right" vertical="center"/>
    </xf>
    <xf numFmtId="3" fontId="1" fillId="0" borderId="6" xfId="0" applyNumberFormat="1" applyFont="1" applyBorder="1" applyAlignment="1" applyProtection="1">
      <alignment horizontal="right" vertical="center"/>
      <protection locked="0"/>
    </xf>
    <xf numFmtId="3" fontId="1" fillId="0" borderId="6" xfId="0" applyNumberFormat="1" applyFont="1" applyBorder="1" applyAlignment="1" applyProtection="1">
      <alignment horizontal="right" vertical="center"/>
    </xf>
    <xf numFmtId="3" fontId="1" fillId="0" borderId="4" xfId="0" applyNumberFormat="1" applyFont="1" applyBorder="1" applyAlignment="1" applyProtection="1">
      <alignment horizontal="right" vertical="center"/>
    </xf>
    <xf numFmtId="3" fontId="18" fillId="0" borderId="6" xfId="0" applyNumberFormat="1" applyFont="1" applyBorder="1" applyAlignment="1" applyProtection="1">
      <alignment horizontal="right" vertical="center"/>
    </xf>
    <xf numFmtId="3" fontId="18" fillId="0" borderId="4" xfId="0" applyNumberFormat="1" applyFont="1" applyBorder="1" applyAlignment="1" applyProtection="1">
      <alignment horizontal="right" vertical="center"/>
    </xf>
    <xf numFmtId="3" fontId="18" fillId="0" borderId="6" xfId="0" applyNumberFormat="1" applyFont="1" applyBorder="1" applyAlignment="1" applyProtection="1">
      <alignment horizontal="right" vertical="center" wrapText="1"/>
    </xf>
    <xf numFmtId="3" fontId="1" fillId="0" borderId="6" xfId="0" applyNumberFormat="1" applyFont="1" applyBorder="1" applyAlignment="1" applyProtection="1">
      <alignment horizontal="right" vertical="center" wrapText="1"/>
      <protection locked="0"/>
    </xf>
    <xf numFmtId="3" fontId="1" fillId="0" borderId="9" xfId="0" applyNumberFormat="1" applyFont="1" applyBorder="1" applyAlignment="1" applyProtection="1">
      <alignment horizontal="right" vertical="center"/>
      <protection locked="0"/>
    </xf>
    <xf numFmtId="3" fontId="1" fillId="0" borderId="9" xfId="0" applyNumberFormat="1" applyFont="1" applyBorder="1" applyAlignment="1" applyProtection="1">
      <alignment horizontal="right" vertical="center"/>
    </xf>
    <xf numFmtId="3" fontId="1" fillId="0" borderId="13" xfId="0" applyNumberFormat="1" applyFont="1" applyBorder="1" applyAlignment="1" applyProtection="1">
      <alignment horizontal="right" vertical="center"/>
      <protection locked="0"/>
    </xf>
    <xf numFmtId="3" fontId="3" fillId="0" borderId="9" xfId="0" applyNumberFormat="1" applyFont="1" applyBorder="1" applyAlignment="1" applyProtection="1">
      <alignment horizontal="right" vertical="center" wrapText="1"/>
    </xf>
    <xf numFmtId="0" fontId="69" fillId="0" borderId="0" xfId="0" applyFont="1" applyAlignment="1" applyProtection="1">
      <alignment horizontal="center" wrapText="1"/>
    </xf>
    <xf numFmtId="43" fontId="1" fillId="0" borderId="0" xfId="0" applyNumberFormat="1" applyFont="1" applyFill="1" applyBorder="1" applyProtection="1">
      <protection locked="0"/>
    </xf>
    <xf numFmtId="0" fontId="1" fillId="0" borderId="0" xfId="0" applyFont="1" applyFill="1" applyBorder="1" applyProtection="1">
      <protection locked="0"/>
    </xf>
    <xf numFmtId="0" fontId="1" fillId="0" borderId="0" xfId="0" applyFont="1" applyProtection="1">
      <protection locked="0"/>
    </xf>
    <xf numFmtId="4" fontId="17" fillId="0" borderId="0" xfId="0" applyNumberFormat="1" applyFont="1" applyBorder="1" applyAlignment="1" applyProtection="1">
      <alignment horizontal="left" vertical="top"/>
      <protection locked="0"/>
    </xf>
    <xf numFmtId="0" fontId="24" fillId="3" borderId="0" xfId="0" applyFont="1" applyFill="1" applyBorder="1" applyAlignment="1" applyProtection="1">
      <alignment horizontal="justify" vertical="top"/>
      <protection locked="0"/>
    </xf>
    <xf numFmtId="0" fontId="16"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wrapText="1"/>
      <protection locked="0"/>
    </xf>
    <xf numFmtId="3" fontId="3" fillId="0" borderId="0" xfId="0" applyNumberFormat="1" applyFont="1" applyFill="1" applyBorder="1" applyAlignment="1" applyProtection="1">
      <alignment horizontal="right" vertical="center" wrapText="1"/>
    </xf>
    <xf numFmtId="0" fontId="3" fillId="0" borderId="0" xfId="0" applyFont="1" applyFill="1" applyBorder="1" applyAlignment="1" applyProtection="1">
      <alignment horizontal="justify" vertical="center" wrapText="1"/>
      <protection locked="0"/>
    </xf>
    <xf numFmtId="0" fontId="3" fillId="0" borderId="51" xfId="0" applyFont="1" applyFill="1" applyBorder="1" applyAlignment="1" applyProtection="1">
      <alignment horizontal="justify" vertical="center" wrapText="1"/>
      <protection locked="0"/>
    </xf>
    <xf numFmtId="0" fontId="1" fillId="0" borderId="0" xfId="0" applyFont="1" applyFill="1" applyBorder="1" applyAlignment="1" applyProtection="1">
      <alignment horizontal="left" vertical="center" wrapText="1" indent="2"/>
      <protection locked="0"/>
    </xf>
    <xf numFmtId="3" fontId="1" fillId="0" borderId="0" xfId="0" applyNumberFormat="1"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right" vertical="center" wrapText="1"/>
    </xf>
    <xf numFmtId="0" fontId="2" fillId="0" borderId="0" xfId="0" applyFont="1" applyFill="1" applyBorder="1" applyAlignment="1" applyProtection="1">
      <alignment horizontal="justify" vertical="center"/>
      <protection locked="0"/>
    </xf>
    <xf numFmtId="0" fontId="17" fillId="0" borderId="0" xfId="0" applyFont="1" applyFill="1" applyBorder="1" applyAlignment="1" applyProtection="1">
      <alignment horizontal="justify" vertical="center"/>
      <protection locked="0"/>
    </xf>
    <xf numFmtId="4" fontId="17" fillId="0" borderId="0" xfId="0" applyNumberFormat="1" applyFont="1" applyFill="1" applyBorder="1" applyAlignment="1" applyProtection="1">
      <alignment horizontal="right" vertical="center"/>
    </xf>
    <xf numFmtId="0" fontId="23" fillId="0" borderId="47" xfId="0" applyFont="1" applyFill="1" applyBorder="1" applyAlignment="1" applyProtection="1">
      <alignment vertical="center"/>
      <protection locked="0"/>
    </xf>
    <xf numFmtId="0" fontId="17" fillId="0" borderId="24" xfId="0" applyFont="1" applyFill="1" applyBorder="1" applyAlignment="1" applyProtection="1">
      <alignment horizontal="justify" vertical="center"/>
      <protection locked="0"/>
    </xf>
    <xf numFmtId="0" fontId="41" fillId="0" borderId="0" xfId="0" applyFont="1" applyBorder="1" applyAlignment="1" applyProtection="1">
      <alignment horizontal="center" vertical="center"/>
      <protection locked="0"/>
    </xf>
    <xf numFmtId="0" fontId="41" fillId="0" borderId="0" xfId="0" applyFont="1" applyBorder="1" applyAlignment="1" applyProtection="1">
      <alignment vertical="center"/>
      <protection locked="0"/>
    </xf>
    <xf numFmtId="4" fontId="41" fillId="0" borderId="0" xfId="0" applyNumberFormat="1" applyFont="1" applyBorder="1" applyAlignment="1" applyProtection="1">
      <alignment horizontal="right" vertical="center"/>
    </xf>
    <xf numFmtId="0" fontId="5" fillId="0" borderId="0" xfId="0" applyFont="1" applyBorder="1" applyAlignment="1" applyProtection="1">
      <alignment wrapText="1"/>
      <protection locked="0"/>
    </xf>
    <xf numFmtId="0" fontId="5" fillId="0" borderId="0" xfId="0" applyFont="1" applyBorder="1" applyProtection="1">
      <protection locked="0"/>
    </xf>
    <xf numFmtId="0" fontId="3" fillId="0" borderId="0" xfId="0" applyFont="1" applyBorder="1" applyAlignment="1" applyProtection="1">
      <alignment horizontal="justify" vertical="center" wrapText="1"/>
      <protection locked="0"/>
    </xf>
    <xf numFmtId="4" fontId="2" fillId="0" borderId="0" xfId="0" applyNumberFormat="1" applyFont="1" applyFill="1" applyBorder="1" applyAlignment="1" applyProtection="1">
      <alignment horizontal="right" vertical="center"/>
      <protection locked="0"/>
    </xf>
    <xf numFmtId="0" fontId="3" fillId="0" borderId="0" xfId="0" applyFont="1" applyFill="1" applyAlignment="1" applyProtection="1">
      <alignment vertical="center"/>
    </xf>
    <xf numFmtId="3" fontId="3" fillId="0" borderId="0" xfId="0" applyNumberFormat="1" applyFont="1" applyBorder="1" applyAlignment="1" applyProtection="1">
      <alignment horizontal="right" vertical="center" wrapText="1"/>
      <protection locked="0"/>
    </xf>
    <xf numFmtId="0" fontId="0" fillId="0" borderId="8" xfId="0" applyBorder="1" applyAlignment="1" applyProtection="1">
      <alignment horizontal="center"/>
      <protection locked="0"/>
    </xf>
    <xf numFmtId="3" fontId="24" fillId="0" borderId="50" xfId="0" applyNumberFormat="1" applyFont="1" applyFill="1" applyBorder="1" applyAlignment="1" applyProtection="1">
      <alignment horizontal="right" vertical="center" wrapText="1"/>
      <protection locked="0"/>
    </xf>
    <xf numFmtId="0" fontId="1" fillId="0" borderId="52" xfId="0" applyFont="1" applyFill="1" applyBorder="1" applyAlignment="1" applyProtection="1">
      <alignment horizontal="justify" vertical="center" wrapText="1"/>
    </xf>
    <xf numFmtId="0" fontId="1" fillId="0" borderId="51" xfId="0" applyFont="1" applyFill="1" applyBorder="1" applyAlignment="1" applyProtection="1">
      <alignment horizontal="justify" vertical="center" wrapText="1"/>
    </xf>
    <xf numFmtId="0" fontId="52" fillId="2" borderId="10" xfId="0" applyFont="1" applyFill="1" applyBorder="1" applyAlignment="1">
      <alignment horizontal="left"/>
    </xf>
    <xf numFmtId="0" fontId="52" fillId="2" borderId="11" xfId="0" applyFont="1" applyFill="1" applyBorder="1"/>
    <xf numFmtId="0" fontId="70" fillId="2" borderId="23" xfId="0" applyFont="1" applyFill="1" applyBorder="1"/>
    <xf numFmtId="0" fontId="70" fillId="2" borderId="53" xfId="0" applyFont="1" applyFill="1" applyBorder="1"/>
    <xf numFmtId="0" fontId="70" fillId="2" borderId="11" xfId="0" applyFont="1" applyFill="1" applyBorder="1"/>
    <xf numFmtId="0" fontId="52" fillId="2" borderId="23" xfId="0" applyFont="1" applyFill="1" applyBorder="1"/>
    <xf numFmtId="0" fontId="52" fillId="0" borderId="12" xfId="0" applyFont="1" applyBorder="1" applyAlignment="1"/>
    <xf numFmtId="0" fontId="52" fillId="0" borderId="11" xfId="0" applyFont="1" applyBorder="1" applyAlignment="1"/>
    <xf numFmtId="0" fontId="70" fillId="0" borderId="0" xfId="0" applyFo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70" fillId="0" borderId="21" xfId="0" applyFont="1" applyBorder="1" applyAlignment="1">
      <alignment horizontal="left" vertical="top"/>
    </xf>
    <xf numFmtId="0" fontId="72" fillId="0" borderId="21" xfId="0" applyFont="1" applyBorder="1" applyAlignment="1">
      <alignment horizontal="left" vertical="top" wrapText="1"/>
    </xf>
    <xf numFmtId="0" fontId="70" fillId="0" borderId="21" xfId="0" applyFont="1" applyBorder="1" applyAlignment="1">
      <alignment horizontal="left" vertical="top" wrapText="1"/>
    </xf>
    <xf numFmtId="0" fontId="70" fillId="0" borderId="26" xfId="0" applyFont="1" applyBorder="1" applyAlignment="1">
      <alignment horizontal="left" vertical="top"/>
    </xf>
    <xf numFmtId="9" fontId="70" fillId="0" borderId="21" xfId="6" applyFont="1" applyBorder="1" applyAlignment="1">
      <alignment horizontal="left" vertical="top"/>
    </xf>
    <xf numFmtId="0" fontId="70" fillId="0" borderId="17" xfId="0" applyFont="1" applyBorder="1" applyAlignment="1">
      <alignment horizontal="left" vertical="top"/>
    </xf>
    <xf numFmtId="0" fontId="70" fillId="0" borderId="17" xfId="0" applyFont="1" applyBorder="1" applyAlignment="1">
      <alignment horizontal="left" vertical="top" wrapText="1"/>
    </xf>
    <xf numFmtId="0" fontId="70" fillId="0" borderId="54" xfId="0" applyFont="1" applyBorder="1" applyAlignment="1">
      <alignment horizontal="left" vertical="top"/>
    </xf>
    <xf numFmtId="9" fontId="70" fillId="0" borderId="17" xfId="6" applyFont="1" applyBorder="1" applyAlignment="1">
      <alignment horizontal="left" vertical="top"/>
    </xf>
    <xf numFmtId="165" fontId="70" fillId="0" borderId="17" xfId="0" applyNumberFormat="1" applyFont="1" applyBorder="1" applyAlignment="1">
      <alignment horizontal="left" vertical="top"/>
    </xf>
    <xf numFmtId="0" fontId="71" fillId="0" borderId="17" xfId="0" applyFont="1" applyBorder="1" applyAlignment="1">
      <alignment horizontal="left" vertical="top" wrapText="1"/>
    </xf>
    <xf numFmtId="0" fontId="70" fillId="0" borderId="17" xfId="0" applyFont="1" applyFill="1" applyBorder="1" applyAlignment="1">
      <alignment horizontal="left" vertical="top"/>
    </xf>
    <xf numFmtId="0" fontId="70" fillId="0" borderId="17" xfId="0" applyFont="1" applyFill="1" applyBorder="1" applyAlignment="1">
      <alignment horizontal="left" vertical="top" wrapText="1"/>
    </xf>
    <xf numFmtId="0" fontId="70" fillId="0" borderId="22" xfId="0" applyFont="1" applyBorder="1" applyAlignment="1">
      <alignment horizontal="left" vertical="top"/>
    </xf>
    <xf numFmtId="0" fontId="70" fillId="0" borderId="22" xfId="0" applyFont="1" applyBorder="1" applyAlignment="1">
      <alignment horizontal="left" vertical="top" wrapText="1"/>
    </xf>
    <xf numFmtId="0" fontId="70" fillId="0" borderId="55" xfId="0" applyFont="1" applyBorder="1" applyAlignment="1">
      <alignment horizontal="left" vertical="top"/>
    </xf>
    <xf numFmtId="9" fontId="70" fillId="0" borderId="22" xfId="6" applyFont="1" applyBorder="1" applyAlignment="1">
      <alignment horizontal="left" vertical="top"/>
    </xf>
    <xf numFmtId="0" fontId="0" fillId="0" borderId="0" xfId="0" applyAlignment="1">
      <alignment wrapText="1"/>
    </xf>
    <xf numFmtId="3" fontId="24" fillId="0" borderId="16" xfId="0" applyNumberFormat="1" applyFont="1" applyFill="1" applyBorder="1" applyAlignment="1" applyProtection="1">
      <alignment horizontal="right" vertical="center" wrapText="1"/>
      <protection locked="0"/>
    </xf>
    <xf numFmtId="3" fontId="24" fillId="0" borderId="16" xfId="0" applyNumberFormat="1" applyFont="1" applyFill="1" applyBorder="1" applyAlignment="1" applyProtection="1">
      <alignment horizontal="right" vertical="center" wrapText="1"/>
    </xf>
    <xf numFmtId="3" fontId="24" fillId="0" borderId="18" xfId="0" applyNumberFormat="1" applyFont="1" applyFill="1" applyBorder="1" applyAlignment="1" applyProtection="1">
      <alignment horizontal="right" vertical="center" wrapText="1"/>
    </xf>
    <xf numFmtId="3" fontId="12" fillId="0" borderId="16" xfId="0" applyNumberFormat="1" applyFont="1" applyFill="1" applyBorder="1" applyAlignment="1" applyProtection="1">
      <alignment horizontal="right" vertical="center" wrapText="1"/>
    </xf>
    <xf numFmtId="3" fontId="39" fillId="0" borderId="16" xfId="0" applyNumberFormat="1" applyFont="1" applyFill="1" applyBorder="1" applyAlignment="1" applyProtection="1">
      <alignment horizontal="right" vertical="center" wrapText="1"/>
    </xf>
    <xf numFmtId="0" fontId="7" fillId="0" borderId="0" xfId="0" applyFont="1" applyAlignment="1">
      <alignment horizontal="center"/>
    </xf>
    <xf numFmtId="0" fontId="7" fillId="0" borderId="8" xfId="0" applyFont="1" applyFill="1" applyBorder="1" applyAlignment="1" applyProtection="1">
      <alignment horizontal="center" vertical="top"/>
      <protection locked="0"/>
    </xf>
    <xf numFmtId="0" fontId="11" fillId="0" borderId="0" xfId="0" applyFont="1" applyFill="1" applyBorder="1" applyAlignment="1" applyProtection="1">
      <alignment horizontal="center" vertical="top"/>
      <protection locked="0"/>
    </xf>
    <xf numFmtId="0" fontId="11" fillId="0" borderId="0" xfId="0" applyFont="1" applyFill="1" applyBorder="1" applyAlignment="1" applyProtection="1">
      <alignment horizontal="center"/>
      <protection locked="0"/>
    </xf>
    <xf numFmtId="0" fontId="12" fillId="0" borderId="8" xfId="0" applyFont="1" applyFill="1" applyBorder="1" applyAlignment="1" applyProtection="1">
      <alignment horizontal="center" vertical="center"/>
      <protection locked="0"/>
    </xf>
    <xf numFmtId="0" fontId="7" fillId="0" borderId="5" xfId="0" applyFont="1" applyBorder="1" applyAlignment="1" applyProtection="1">
      <alignment horizontal="justify" vertical="top" wrapText="1"/>
      <protection locked="0"/>
    </xf>
    <xf numFmtId="0" fontId="7" fillId="0" borderId="0" xfId="0" applyFont="1" applyBorder="1" applyAlignment="1" applyProtection="1">
      <alignment horizontal="justify" vertical="top" wrapText="1"/>
      <protection locked="0"/>
    </xf>
    <xf numFmtId="0" fontId="11" fillId="0" borderId="0" xfId="0" applyFont="1" applyFill="1" applyBorder="1" applyAlignment="1">
      <alignment horizontal="center"/>
    </xf>
    <xf numFmtId="0" fontId="1" fillId="0" borderId="5" xfId="0" applyFont="1" applyBorder="1" applyAlignment="1" applyProtection="1">
      <alignment horizontal="left" vertical="center" wrapText="1" indent="1"/>
      <protection locked="0"/>
    </xf>
    <xf numFmtId="0" fontId="3" fillId="0" borderId="52" xfId="0" applyFont="1" applyFill="1" applyBorder="1" applyAlignment="1" applyProtection="1">
      <alignment horizontal="center" vertical="center" wrapText="1"/>
      <protection locked="0"/>
    </xf>
    <xf numFmtId="0" fontId="40" fillId="0" borderId="0" xfId="0" applyFont="1" applyAlignment="1" applyProtection="1">
      <alignment horizontal="center"/>
      <protection locked="0"/>
    </xf>
    <xf numFmtId="0" fontId="41" fillId="0" borderId="7" xfId="0" applyFont="1" applyBorder="1" applyAlignment="1" applyProtection="1">
      <alignment horizontal="center" vertical="center"/>
      <protection locked="0"/>
    </xf>
    <xf numFmtId="0" fontId="41" fillId="0" borderId="31"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25" xfId="0" applyFont="1" applyBorder="1" applyAlignment="1" applyProtection="1">
      <alignment horizontal="center" vertical="center"/>
      <protection locked="0"/>
    </xf>
    <xf numFmtId="0" fontId="71" fillId="2" borderId="19" xfId="0" applyFont="1" applyFill="1" applyBorder="1" applyAlignment="1">
      <alignment horizontal="center" vertical="center"/>
    </xf>
    <xf numFmtId="0" fontId="71" fillId="2" borderId="19" xfId="0" applyFont="1" applyFill="1" applyBorder="1" applyAlignment="1">
      <alignment horizontal="center" vertical="center" wrapText="1"/>
    </xf>
    <xf numFmtId="0" fontId="40" fillId="0" borderId="0" xfId="0" applyFont="1" applyFill="1" applyAlignment="1">
      <alignment horizontal="center"/>
    </xf>
    <xf numFmtId="0" fontId="41" fillId="0" borderId="2" xfId="0" applyFont="1" applyFill="1" applyBorder="1" applyAlignment="1">
      <alignment horizontal="center" vertical="center"/>
    </xf>
    <xf numFmtId="3" fontId="12" fillId="0" borderId="18" xfId="0" applyNumberFormat="1" applyFont="1" applyFill="1" applyBorder="1" applyAlignment="1" applyProtection="1">
      <alignment horizontal="right" vertical="center" wrapText="1"/>
    </xf>
    <xf numFmtId="0" fontId="7" fillId="0" borderId="0" xfId="0" applyFont="1" applyFill="1" applyBorder="1" applyAlignment="1" applyProtection="1">
      <alignment horizontal="center" vertical="top"/>
      <protection locked="0"/>
    </xf>
    <xf numFmtId="0" fontId="7" fillId="0" borderId="8"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top"/>
      <protection locked="0"/>
    </xf>
    <xf numFmtId="0" fontId="40" fillId="0" borderId="0" xfId="0" applyFont="1" applyAlignment="1" applyProtection="1">
      <alignment horizontal="center"/>
      <protection locked="0"/>
    </xf>
    <xf numFmtId="43" fontId="73" fillId="0" borderId="0" xfId="13" applyFont="1" applyBorder="1" applyAlignment="1" applyProtection="1">
      <alignment vertical="top" wrapText="1"/>
      <protection locked="0"/>
    </xf>
    <xf numFmtId="43" fontId="73" fillId="0" borderId="0" xfId="13" applyFont="1" applyBorder="1" applyAlignment="1" applyProtection="1">
      <alignment vertical="justify" wrapText="1"/>
      <protection locked="0"/>
    </xf>
    <xf numFmtId="44" fontId="73" fillId="0" borderId="6" xfId="8" applyFont="1" applyBorder="1" applyAlignment="1" applyProtection="1">
      <alignment horizontal="left" vertical="top"/>
      <protection locked="0"/>
    </xf>
    <xf numFmtId="44" fontId="74" fillId="0" borderId="6" xfId="8" applyFont="1" applyBorder="1" applyAlignment="1" applyProtection="1">
      <alignment horizontal="left" vertical="top"/>
      <protection locked="0"/>
    </xf>
    <xf numFmtId="4" fontId="32" fillId="3" borderId="22" xfId="0" applyNumberFormat="1" applyFont="1" applyFill="1" applyBorder="1" applyAlignment="1" applyProtection="1">
      <alignment horizontal="right" vertical="center" wrapText="1"/>
      <protection locked="0"/>
    </xf>
    <xf numFmtId="0" fontId="32" fillId="3" borderId="22" xfId="0" applyFont="1" applyFill="1" applyBorder="1" applyAlignment="1" applyProtection="1">
      <alignment horizontal="justify" vertical="center" wrapText="1"/>
      <protection locked="0"/>
    </xf>
    <xf numFmtId="43" fontId="58" fillId="0" borderId="0" xfId="13" applyFont="1" applyFill="1" applyBorder="1" applyAlignment="1" applyProtection="1">
      <alignment wrapText="1"/>
      <protection locked="0"/>
    </xf>
    <xf numFmtId="0" fontId="75" fillId="2" borderId="21" xfId="0" applyFont="1" applyFill="1" applyBorder="1" applyAlignment="1">
      <alignment horizontal="left" vertical="center" wrapText="1" indent="2"/>
    </xf>
    <xf numFmtId="0" fontId="76" fillId="2" borderId="21" xfId="0" applyFont="1" applyFill="1" applyBorder="1" applyAlignment="1">
      <alignment vertical="center"/>
    </xf>
    <xf numFmtId="4" fontId="76" fillId="2" borderId="21" xfId="8" applyNumberFormat="1" applyFont="1" applyFill="1" applyBorder="1" applyAlignment="1">
      <alignment horizontal="right" vertical="center"/>
    </xf>
    <xf numFmtId="4" fontId="76" fillId="2" borderId="21" xfId="13" applyNumberFormat="1" applyFont="1" applyFill="1" applyBorder="1" applyAlignment="1">
      <alignment horizontal="right" vertical="center"/>
    </xf>
    <xf numFmtId="4" fontId="27" fillId="2" borderId="17" xfId="0" applyNumberFormat="1" applyFont="1" applyFill="1" applyBorder="1" applyAlignment="1">
      <alignment horizontal="justify" vertical="center" wrapText="1"/>
    </xf>
    <xf numFmtId="166" fontId="13" fillId="2" borderId="50" xfId="0" applyNumberFormat="1" applyFont="1" applyFill="1" applyBorder="1" applyAlignment="1">
      <alignment horizontal="justify" vertical="center" wrapText="1"/>
    </xf>
    <xf numFmtId="0" fontId="75" fillId="2" borderId="17" xfId="0" applyFont="1" applyFill="1" applyBorder="1" applyAlignment="1">
      <alignment horizontal="left" vertical="center" wrapText="1" indent="2"/>
    </xf>
    <xf numFmtId="0" fontId="76" fillId="2" borderId="17" xfId="0" applyFont="1" applyFill="1" applyBorder="1" applyAlignment="1">
      <alignment vertical="center"/>
    </xf>
    <xf numFmtId="4" fontId="76" fillId="2" borderId="17" xfId="8" applyNumberFormat="1" applyFont="1" applyFill="1" applyBorder="1" applyAlignment="1">
      <alignment horizontal="right" vertical="center"/>
    </xf>
    <xf numFmtId="4" fontId="76" fillId="2" borderId="17" xfId="13" applyNumberFormat="1" applyFont="1" applyFill="1" applyBorder="1" applyAlignment="1">
      <alignment horizontal="right" vertical="center"/>
    </xf>
    <xf numFmtId="2" fontId="25" fillId="2" borderId="50" xfId="0" applyNumberFormat="1" applyFont="1" applyFill="1" applyBorder="1" applyAlignment="1">
      <alignment horizontal="justify" vertical="center" wrapText="1"/>
    </xf>
    <xf numFmtId="0" fontId="77" fillId="0" borderId="17" xfId="0" applyFont="1" applyBorder="1" applyAlignment="1">
      <alignment horizontal="left" vertical="center" wrapText="1" indent="2"/>
    </xf>
    <xf numFmtId="0" fontId="78" fillId="0" borderId="17" xfId="0" applyFont="1" applyBorder="1" applyAlignment="1">
      <alignment vertical="center"/>
    </xf>
    <xf numFmtId="4" fontId="78" fillId="0" borderId="17" xfId="0" applyNumberFormat="1" applyFont="1" applyBorder="1" applyAlignment="1">
      <alignment horizontal="right" vertical="center"/>
    </xf>
    <xf numFmtId="4" fontId="73" fillId="0" borderId="17" xfId="8" applyNumberFormat="1" applyFont="1" applyBorder="1" applyAlignment="1">
      <alignment horizontal="right" vertical="center" wrapText="1"/>
    </xf>
    <xf numFmtId="4" fontId="78" fillId="0" borderId="17" xfId="8" applyNumberFormat="1" applyFont="1" applyBorder="1" applyAlignment="1">
      <alignment horizontal="right" vertical="center"/>
    </xf>
    <xf numFmtId="4" fontId="79" fillId="0" borderId="17" xfId="13" applyNumberFormat="1" applyFont="1" applyBorder="1" applyAlignment="1">
      <alignment horizontal="right" vertical="center"/>
    </xf>
    <xf numFmtId="4" fontId="13" fillId="0" borderId="17" xfId="0" applyNumberFormat="1" applyFont="1" applyBorder="1" applyAlignment="1">
      <alignment horizontal="justify" vertical="center" wrapText="1"/>
    </xf>
    <xf numFmtId="166" fontId="13" fillId="0" borderId="50" xfId="0" applyNumberFormat="1" applyFont="1" applyFill="1" applyBorder="1" applyAlignment="1">
      <alignment horizontal="justify" vertical="center" wrapText="1"/>
    </xf>
    <xf numFmtId="4" fontId="80" fillId="2" borderId="17" xfId="8" applyNumberFormat="1" applyFont="1" applyFill="1" applyBorder="1" applyAlignment="1">
      <alignment horizontal="right" vertical="center" wrapText="1"/>
    </xf>
    <xf numFmtId="0" fontId="77" fillId="0" borderId="17" xfId="0" applyFont="1" applyFill="1" applyBorder="1" applyAlignment="1">
      <alignment horizontal="center" vertical="center" wrapText="1"/>
    </xf>
    <xf numFmtId="0" fontId="77" fillId="0" borderId="17" xfId="0" applyFont="1" applyBorder="1" applyAlignment="1">
      <alignment vertical="center" wrapText="1"/>
    </xf>
    <xf numFmtId="4" fontId="78" fillId="0" borderId="17" xfId="13" applyNumberFormat="1" applyFont="1" applyBorder="1" applyAlignment="1">
      <alignment horizontal="right" vertical="center"/>
    </xf>
    <xf numFmtId="0" fontId="75" fillId="2" borderId="17" xfId="0" applyFont="1" applyFill="1" applyBorder="1" applyAlignment="1">
      <alignment horizontal="center" vertical="center" wrapText="1"/>
    </xf>
    <xf numFmtId="0" fontId="78" fillId="0" borderId="17" xfId="0" applyFont="1" applyBorder="1" applyAlignment="1">
      <alignment vertical="center" wrapText="1"/>
    </xf>
    <xf numFmtId="0" fontId="77" fillId="0" borderId="17" xfId="0" applyFont="1" applyFill="1" applyBorder="1" applyAlignment="1">
      <alignment horizontal="left" vertical="center" wrapText="1" indent="2"/>
    </xf>
    <xf numFmtId="0" fontId="76" fillId="2" borderId="17" xfId="0" applyFont="1" applyFill="1" applyBorder="1" applyAlignment="1">
      <alignment vertical="center" wrapText="1"/>
    </xf>
    <xf numFmtId="0" fontId="77" fillId="0" borderId="17" xfId="0" applyFont="1" applyBorder="1" applyAlignment="1">
      <alignment horizontal="right" wrapText="1"/>
    </xf>
    <xf numFmtId="0" fontId="77" fillId="0" borderId="17" xfId="0" applyFont="1" applyBorder="1" applyAlignment="1">
      <alignment wrapText="1"/>
    </xf>
    <xf numFmtId="4" fontId="77" fillId="0" borderId="17" xfId="0" applyNumberFormat="1" applyFont="1" applyBorder="1" applyAlignment="1">
      <alignment wrapText="1"/>
    </xf>
    <xf numFmtId="4" fontId="76" fillId="0" borderId="17" xfId="8" applyNumberFormat="1" applyFont="1" applyBorder="1" applyAlignment="1">
      <alignment horizontal="right" vertical="center"/>
    </xf>
    <xf numFmtId="0" fontId="78" fillId="0" borderId="17" xfId="0" applyFont="1" applyFill="1" applyBorder="1" applyAlignment="1">
      <alignment vertical="center" wrapText="1"/>
    </xf>
    <xf numFmtId="4" fontId="78" fillId="0" borderId="17" xfId="8" applyNumberFormat="1" applyFont="1" applyFill="1" applyBorder="1" applyAlignment="1">
      <alignment horizontal="right" vertical="center"/>
    </xf>
    <xf numFmtId="4" fontId="73" fillId="0" borderId="17" xfId="8" applyNumberFormat="1" applyFont="1" applyFill="1" applyBorder="1" applyAlignment="1">
      <alignment horizontal="right" vertical="center" wrapText="1"/>
    </xf>
    <xf numFmtId="4" fontId="79" fillId="0" borderId="17" xfId="13" applyNumberFormat="1" applyFont="1" applyFill="1" applyBorder="1" applyAlignment="1">
      <alignment horizontal="right" vertical="center"/>
    </xf>
    <xf numFmtId="4" fontId="13" fillId="0" borderId="17" xfId="0" applyNumberFormat="1" applyFont="1" applyFill="1" applyBorder="1" applyAlignment="1">
      <alignment horizontal="justify" vertical="center" wrapText="1"/>
    </xf>
    <xf numFmtId="4" fontId="13" fillId="2" borderId="17" xfId="0" applyNumberFormat="1" applyFont="1" applyFill="1" applyBorder="1" applyAlignment="1">
      <alignment horizontal="justify" vertical="center" wrapText="1"/>
    </xf>
    <xf numFmtId="4" fontId="76" fillId="0" borderId="17" xfId="13" applyNumberFormat="1" applyFont="1" applyBorder="1" applyAlignment="1">
      <alignment horizontal="right" vertical="center"/>
    </xf>
    <xf numFmtId="0" fontId="73" fillId="0" borderId="17" xfId="0" applyFont="1" applyBorder="1" applyAlignment="1">
      <alignment vertical="center" wrapText="1"/>
    </xf>
    <xf numFmtId="0" fontId="73" fillId="0" borderId="0" xfId="0" applyFont="1" applyBorder="1" applyAlignment="1">
      <alignment vertical="center" wrapText="1"/>
    </xf>
    <xf numFmtId="0" fontId="73" fillId="0" borderId="0" xfId="0" applyFont="1"/>
    <xf numFmtId="4" fontId="80" fillId="2" borderId="17" xfId="0" applyNumberFormat="1" applyFont="1" applyFill="1" applyBorder="1" applyAlignment="1">
      <alignment vertical="center"/>
    </xf>
    <xf numFmtId="4" fontId="73" fillId="0" borderId="17" xfId="13" applyNumberFormat="1" applyFont="1" applyBorder="1" applyAlignment="1">
      <alignment vertical="center"/>
    </xf>
    <xf numFmtId="4" fontId="73" fillId="0" borderId="17" xfId="0" applyNumberFormat="1" applyFont="1" applyBorder="1" applyAlignment="1">
      <alignment vertical="center"/>
    </xf>
    <xf numFmtId="4" fontId="81" fillId="0" borderId="17" xfId="0" applyNumberFormat="1" applyFont="1" applyBorder="1" applyAlignment="1">
      <alignment horizontal="right" vertical="center"/>
    </xf>
    <xf numFmtId="0" fontId="12" fillId="7" borderId="52" xfId="0" applyFont="1" applyFill="1" applyBorder="1" applyAlignment="1">
      <alignment horizontal="center" vertical="center" wrapText="1"/>
    </xf>
    <xf numFmtId="0" fontId="12" fillId="7" borderId="16" xfId="0" applyFont="1" applyFill="1" applyBorder="1" applyAlignment="1">
      <alignment horizontal="center" vertical="center" wrapText="1"/>
    </xf>
    <xf numFmtId="4" fontId="12" fillId="7" borderId="16" xfId="0" applyNumberFormat="1" applyFont="1" applyFill="1" applyBorder="1" applyAlignment="1">
      <alignment horizontal="center" vertical="center" wrapText="1"/>
    </xf>
    <xf numFmtId="0" fontId="12" fillId="7" borderId="18" xfId="0" applyFont="1" applyFill="1" applyBorder="1" applyAlignment="1">
      <alignment horizontal="center" vertical="center" wrapText="1"/>
    </xf>
    <xf numFmtId="0" fontId="43" fillId="0" borderId="55" xfId="0" applyFont="1" applyBorder="1" applyAlignment="1">
      <alignment horizontal="center" vertical="center"/>
    </xf>
    <xf numFmtId="0" fontId="73" fillId="0" borderId="56" xfId="0" applyFont="1" applyBorder="1" applyAlignment="1">
      <alignment horizontal="center"/>
    </xf>
    <xf numFmtId="0" fontId="77" fillId="0" borderId="57" xfId="0" applyFont="1" applyFill="1" applyBorder="1" applyAlignment="1">
      <alignment horizontal="left" vertical="center" wrapText="1"/>
    </xf>
    <xf numFmtId="4" fontId="77" fillId="0" borderId="57" xfId="0" applyNumberFormat="1" applyFont="1" applyFill="1" applyBorder="1" applyAlignment="1">
      <alignment horizontal="center" vertical="center" wrapText="1"/>
    </xf>
    <xf numFmtId="0" fontId="77" fillId="0" borderId="58" xfId="0" applyFont="1" applyFill="1" applyBorder="1" applyAlignment="1">
      <alignment horizontal="left" vertical="center" wrapText="1"/>
    </xf>
    <xf numFmtId="0" fontId="73" fillId="0" borderId="57" xfId="0" applyFont="1" applyBorder="1" applyAlignment="1">
      <alignment horizontal="center"/>
    </xf>
    <xf numFmtId="0" fontId="77" fillId="0" borderId="56" xfId="0" applyFont="1" applyFill="1" applyBorder="1" applyAlignment="1">
      <alignment horizontal="left"/>
    </xf>
    <xf numFmtId="4" fontId="77" fillId="0" borderId="57" xfId="0" applyNumberFormat="1" applyFont="1" applyFill="1" applyBorder="1" applyAlignment="1">
      <alignment horizontal="center"/>
    </xf>
    <xf numFmtId="0" fontId="77" fillId="0" borderId="57" xfId="0" applyFont="1" applyFill="1" applyBorder="1" applyAlignment="1">
      <alignment horizontal="left"/>
    </xf>
    <xf numFmtId="4" fontId="77" fillId="0" borderId="57" xfId="0" applyNumberFormat="1" applyFont="1" applyBorder="1" applyAlignment="1">
      <alignment horizontal="center"/>
    </xf>
    <xf numFmtId="0" fontId="77" fillId="0" borderId="57" xfId="0" applyFont="1" applyBorder="1" applyAlignment="1">
      <alignment horizontal="left"/>
    </xf>
    <xf numFmtId="4" fontId="77" fillId="0" borderId="57" xfId="0" applyNumberFormat="1" applyFont="1" applyBorder="1" applyAlignment="1">
      <alignment horizontal="center" vertical="center" wrapText="1"/>
    </xf>
    <xf numFmtId="0" fontId="77" fillId="0" borderId="57" xfId="0" applyFont="1" applyFill="1" applyBorder="1"/>
    <xf numFmtId="4" fontId="77" fillId="0" borderId="57" xfId="0" applyNumberFormat="1" applyFont="1" applyFill="1" applyBorder="1" applyAlignment="1">
      <alignment horizontal="center" vertical="center"/>
    </xf>
    <xf numFmtId="0" fontId="77" fillId="0" borderId="57" xfId="0" applyFont="1" applyBorder="1"/>
    <xf numFmtId="0" fontId="77" fillId="0" borderId="57" xfId="0" applyFont="1" applyFill="1" applyBorder="1" applyAlignment="1">
      <alignment horizontal="left" vertical="center"/>
    </xf>
    <xf numFmtId="0" fontId="77" fillId="0" borderId="56" xfId="0" applyFont="1" applyBorder="1" applyAlignment="1">
      <alignment horizontal="left" vertical="center" wrapText="1"/>
    </xf>
    <xf numFmtId="4" fontId="77" fillId="0" borderId="57" xfId="0" applyNumberFormat="1" applyFont="1" applyBorder="1" applyAlignment="1">
      <alignment horizontal="center" vertical="center"/>
    </xf>
    <xf numFmtId="0" fontId="77" fillId="0" borderId="57" xfId="0" applyFont="1" applyBorder="1" applyAlignment="1">
      <alignment horizontal="left" vertical="center"/>
    </xf>
    <xf numFmtId="4" fontId="73" fillId="0" borderId="58" xfId="0" applyNumberFormat="1" applyFont="1" applyBorder="1" applyAlignment="1">
      <alignment horizontal="center" wrapText="1"/>
    </xf>
    <xf numFmtId="0" fontId="77" fillId="0" borderId="57" xfId="0" applyFont="1" applyFill="1" applyBorder="1" applyAlignment="1">
      <alignment wrapText="1"/>
    </xf>
    <xf numFmtId="0" fontId="73" fillId="0" borderId="57" xfId="0" applyFont="1" applyBorder="1" applyAlignment="1">
      <alignment horizontal="center" vertical="center"/>
    </xf>
    <xf numFmtId="0" fontId="77" fillId="0" borderId="57" xfId="0" applyFont="1" applyFill="1" applyBorder="1" applyAlignment="1">
      <alignment vertical="center" wrapText="1"/>
    </xf>
    <xf numFmtId="0" fontId="77" fillId="0" borderId="4" xfId="0" applyFont="1" applyFill="1" applyBorder="1" applyAlignment="1">
      <alignment vertical="center" wrapText="1"/>
    </xf>
    <xf numFmtId="4" fontId="73" fillId="0" borderId="57" xfId="0" applyNumberFormat="1" applyFont="1" applyFill="1" applyBorder="1" applyAlignment="1">
      <alignment horizontal="center" wrapText="1"/>
    </xf>
    <xf numFmtId="4" fontId="77" fillId="0" borderId="4" xfId="0" applyNumberFormat="1" applyFont="1" applyFill="1" applyBorder="1" applyAlignment="1">
      <alignment horizontal="center" vertical="center" wrapText="1"/>
    </xf>
    <xf numFmtId="0" fontId="77" fillId="0" borderId="57" xfId="1" applyFont="1" applyBorder="1"/>
    <xf numFmtId="4" fontId="77" fillId="0" borderId="57" xfId="1" applyNumberFormat="1" applyFont="1" applyFill="1" applyBorder="1" applyAlignment="1">
      <alignment horizontal="center"/>
    </xf>
    <xf numFmtId="0" fontId="73" fillId="0" borderId="57" xfId="0" applyFont="1" applyFill="1" applyBorder="1" applyAlignment="1">
      <alignment horizontal="center" vertical="center"/>
    </xf>
    <xf numFmtId="0" fontId="73" fillId="0" borderId="57" xfId="0" applyFont="1" applyFill="1" applyBorder="1" applyAlignment="1">
      <alignment horizontal="left" wrapText="1"/>
    </xf>
    <xf numFmtId="0" fontId="73" fillId="4" borderId="57" xfId="0" applyFont="1" applyFill="1" applyBorder="1" applyAlignment="1">
      <alignment wrapText="1"/>
    </xf>
    <xf numFmtId="4" fontId="73" fillId="4" borderId="57" xfId="0" applyNumberFormat="1" applyFont="1" applyFill="1" applyBorder="1" applyAlignment="1">
      <alignment horizontal="center" wrapText="1"/>
    </xf>
    <xf numFmtId="4" fontId="73" fillId="0" borderId="57" xfId="0" applyNumberFormat="1" applyFont="1" applyBorder="1" applyAlignment="1">
      <alignment horizontal="center" wrapText="1"/>
    </xf>
    <xf numFmtId="0" fontId="73" fillId="0" borderId="57" xfId="0" applyFont="1" applyFill="1" applyBorder="1" applyAlignment="1">
      <alignment wrapText="1"/>
    </xf>
    <xf numFmtId="0" fontId="73" fillId="4" borderId="57" xfId="0" applyFont="1" applyFill="1" applyBorder="1" applyAlignment="1">
      <alignment horizontal="left" wrapText="1"/>
    </xf>
    <xf numFmtId="4" fontId="77" fillId="4" borderId="57" xfId="0" applyNumberFormat="1" applyFont="1" applyFill="1" applyBorder="1" applyAlignment="1">
      <alignment horizontal="center" wrapText="1"/>
    </xf>
    <xf numFmtId="0" fontId="73" fillId="0" borderId="57" xfId="0" applyFont="1" applyBorder="1" applyAlignment="1">
      <alignment wrapText="1"/>
    </xf>
    <xf numFmtId="0" fontId="73" fillId="0" borderId="58" xfId="0" applyFont="1" applyBorder="1" applyAlignment="1">
      <alignment wrapText="1"/>
    </xf>
    <xf numFmtId="0" fontId="73" fillId="0" borderId="58" xfId="0" applyFont="1" applyBorder="1" applyAlignment="1">
      <alignment horizontal="center" vertical="center"/>
    </xf>
    <xf numFmtId="0" fontId="41" fillId="0" borderId="26" xfId="0" applyFont="1" applyBorder="1" applyAlignment="1">
      <alignment horizontal="center" vertical="center"/>
    </xf>
    <xf numFmtId="0" fontId="73" fillId="0" borderId="59" xfId="0" applyFont="1" applyBorder="1" applyAlignment="1">
      <alignment horizontal="center" vertical="center"/>
    </xf>
    <xf numFmtId="0" fontId="73" fillId="0" borderId="59" xfId="0" applyFont="1" applyBorder="1" applyAlignment="1">
      <alignment wrapText="1"/>
    </xf>
    <xf numFmtId="4" fontId="73" fillId="0" borderId="59" xfId="0" applyNumberFormat="1" applyFont="1" applyBorder="1" applyAlignment="1">
      <alignment horizontal="center" wrapText="1"/>
    </xf>
    <xf numFmtId="4" fontId="73" fillId="0" borderId="59" xfId="0" applyNumberFormat="1" applyFont="1" applyBorder="1" applyAlignment="1">
      <alignment horizontal="center"/>
    </xf>
    <xf numFmtId="0" fontId="73" fillId="0" borderId="4" xfId="0" applyFont="1" applyBorder="1" applyAlignment="1">
      <alignment wrapText="1"/>
    </xf>
    <xf numFmtId="4" fontId="73" fillId="0" borderId="4" xfId="0" applyNumberFormat="1" applyFont="1" applyBorder="1" applyAlignment="1">
      <alignment horizontal="center"/>
    </xf>
    <xf numFmtId="0" fontId="73" fillId="0" borderId="60" xfId="0" applyFont="1" applyBorder="1" applyAlignment="1">
      <alignment horizontal="center"/>
    </xf>
    <xf numFmtId="0" fontId="73" fillId="0" borderId="60" xfId="0" applyFont="1" applyBorder="1"/>
    <xf numFmtId="4" fontId="73" fillId="0" borderId="60" xfId="0" applyNumberFormat="1" applyFont="1" applyBorder="1" applyAlignment="1">
      <alignment horizontal="center"/>
    </xf>
    <xf numFmtId="0" fontId="73" fillId="0" borderId="57" xfId="0" applyFont="1" applyBorder="1"/>
    <xf numFmtId="4" fontId="73" fillId="0" borderId="57" xfId="0" applyNumberFormat="1" applyFont="1" applyBorder="1" applyAlignment="1">
      <alignment horizontal="center"/>
    </xf>
    <xf numFmtId="0" fontId="73" fillId="0" borderId="58" xfId="0" applyFont="1" applyBorder="1" applyAlignment="1">
      <alignment horizontal="center"/>
    </xf>
    <xf numFmtId="0" fontId="73" fillId="0" borderId="58" xfId="0" applyFont="1" applyBorder="1"/>
    <xf numFmtId="4" fontId="73" fillId="0" borderId="58" xfId="0" applyNumberFormat="1" applyFont="1" applyBorder="1" applyAlignment="1">
      <alignment horizontal="center"/>
    </xf>
    <xf numFmtId="0" fontId="77" fillId="0" borderId="57" xfId="0" applyFont="1" applyBorder="1" applyAlignment="1">
      <alignment horizontal="center" vertical="center"/>
    </xf>
    <xf numFmtId="0" fontId="41" fillId="0" borderId="19" xfId="0" applyFont="1" applyBorder="1" applyAlignment="1">
      <alignment horizontal="center" vertical="center"/>
    </xf>
    <xf numFmtId="0" fontId="77" fillId="0" borderId="19" xfId="0" applyFont="1" applyBorder="1" applyAlignment="1">
      <alignment horizontal="center" vertical="center"/>
    </xf>
    <xf numFmtId="0" fontId="73" fillId="0" borderId="19" xfId="0" applyFont="1" applyBorder="1" applyAlignment="1">
      <alignment wrapText="1"/>
    </xf>
    <xf numFmtId="4" fontId="73" fillId="0" borderId="19" xfId="0" applyNumberFormat="1" applyFont="1" applyBorder="1" applyAlignment="1">
      <alignment horizontal="center" wrapText="1"/>
    </xf>
    <xf numFmtId="4" fontId="73" fillId="0" borderId="19" xfId="0" applyNumberFormat="1" applyFont="1" applyBorder="1" applyAlignment="1">
      <alignment horizontal="center"/>
    </xf>
    <xf numFmtId="0" fontId="77" fillId="0" borderId="58" xfId="0" applyFont="1" applyBorder="1" applyAlignment="1">
      <alignment horizontal="center" vertical="center"/>
    </xf>
    <xf numFmtId="43" fontId="52" fillId="7" borderId="19" xfId="13" applyFont="1" applyFill="1" applyBorder="1"/>
    <xf numFmtId="0" fontId="52" fillId="7" borderId="19" xfId="0" applyFont="1" applyFill="1" applyBorder="1" applyAlignment="1">
      <alignment horizontal="center" wrapText="1"/>
    </xf>
    <xf numFmtId="0" fontId="82" fillId="0" borderId="19" xfId="0" applyFont="1" applyBorder="1" applyAlignment="1">
      <alignment horizontal="left" vertical="center" wrapText="1" indent="2"/>
    </xf>
    <xf numFmtId="0" fontId="83" fillId="0" borderId="19" xfId="0" applyFont="1" applyBorder="1" applyAlignment="1">
      <alignment horizontal="left" vertical="center"/>
    </xf>
    <xf numFmtId="4" fontId="24" fillId="0" borderId="19" xfId="0" applyNumberFormat="1" applyFont="1" applyFill="1" applyBorder="1"/>
    <xf numFmtId="0" fontId="62" fillId="0" borderId="19" xfId="0" applyNumberFormat="1" applyFont="1" applyBorder="1" applyAlignment="1">
      <alignment horizontal="left" wrapText="1"/>
    </xf>
    <xf numFmtId="43" fontId="62" fillId="0" borderId="19" xfId="13" applyFont="1" applyBorder="1"/>
    <xf numFmtId="0" fontId="82" fillId="0" borderId="19" xfId="0" applyFont="1" applyFill="1" applyBorder="1" applyAlignment="1">
      <alignment horizontal="center" vertical="center" wrapText="1"/>
    </xf>
    <xf numFmtId="0" fontId="83" fillId="0" borderId="19" xfId="0" applyFont="1" applyBorder="1" applyAlignment="1">
      <alignment horizontal="left" vertical="center" wrapText="1"/>
    </xf>
    <xf numFmtId="0" fontId="82" fillId="0" borderId="19" xfId="0" applyFont="1" applyBorder="1" applyAlignment="1">
      <alignment horizontal="left" vertical="center" wrapText="1"/>
    </xf>
    <xf numFmtId="43" fontId="62" fillId="0" borderId="19" xfId="13" applyFont="1" applyBorder="1" applyAlignment="1">
      <alignment horizontal="center"/>
    </xf>
    <xf numFmtId="0" fontId="62" fillId="0" borderId="19" xfId="0" applyFont="1" applyBorder="1" applyAlignment="1">
      <alignment wrapText="1"/>
    </xf>
    <xf numFmtId="0" fontId="82" fillId="0" borderId="19" xfId="0" applyFont="1" applyBorder="1" applyAlignment="1">
      <alignment horizontal="center" vertical="center" wrapText="1"/>
    </xf>
    <xf numFmtId="0" fontId="62" fillId="0" borderId="19" xfId="0" applyFont="1" applyBorder="1" applyAlignment="1">
      <alignment horizontal="center"/>
    </xf>
    <xf numFmtId="0" fontId="62" fillId="0" borderId="19" xfId="0" applyFont="1" applyBorder="1" applyAlignment="1">
      <alignment horizontal="left"/>
    </xf>
    <xf numFmtId="0" fontId="82" fillId="0" borderId="19" xfId="0" applyFont="1" applyFill="1" applyBorder="1" applyAlignment="1">
      <alignment horizontal="left" vertical="center" wrapText="1"/>
    </xf>
    <xf numFmtId="0" fontId="83" fillId="0" borderId="19" xfId="0" applyFont="1" applyFill="1" applyBorder="1" applyAlignment="1">
      <alignment horizontal="left" vertical="center" wrapText="1"/>
    </xf>
    <xf numFmtId="0" fontId="0" fillId="0" borderId="19" xfId="0" applyBorder="1"/>
    <xf numFmtId="43" fontId="0" fillId="0" borderId="19" xfId="13" applyFont="1" applyBorder="1"/>
    <xf numFmtId="0" fontId="52" fillId="0" borderId="19" xfId="0" applyNumberFormat="1" applyFont="1" applyBorder="1"/>
    <xf numFmtId="0" fontId="52" fillId="0" borderId="19" xfId="13" applyNumberFormat="1" applyFont="1" applyBorder="1"/>
    <xf numFmtId="0" fontId="52" fillId="0" borderId="19" xfId="13" applyNumberFormat="1" applyFont="1" applyBorder="1" applyAlignment="1">
      <alignment horizontal="center"/>
    </xf>
    <xf numFmtId="43" fontId="0" fillId="0" borderId="19" xfId="13" applyFont="1" applyBorder="1" applyAlignment="1">
      <alignment horizontal="center"/>
    </xf>
    <xf numFmtId="43" fontId="52" fillId="0" borderId="19" xfId="13" applyFont="1" applyBorder="1"/>
    <xf numFmtId="0" fontId="82" fillId="0" borderId="0" xfId="0" applyFont="1" applyBorder="1" applyAlignment="1">
      <alignment horizontal="center" vertical="center" wrapText="1"/>
    </xf>
    <xf numFmtId="0" fontId="83" fillId="0" borderId="0" xfId="0" applyFont="1" applyBorder="1" applyAlignment="1">
      <alignment horizontal="left" vertical="center" wrapText="1"/>
    </xf>
    <xf numFmtId="0" fontId="82" fillId="0" borderId="0" xfId="0" applyFont="1" applyBorder="1" applyAlignment="1">
      <alignment horizontal="left" vertical="center" wrapText="1"/>
    </xf>
    <xf numFmtId="43" fontId="62" fillId="0" borderId="0" xfId="13" applyFont="1" applyBorder="1" applyAlignment="1">
      <alignment horizontal="center"/>
    </xf>
    <xf numFmtId="0" fontId="62" fillId="0" borderId="0" xfId="0" applyFont="1" applyBorder="1" applyAlignment="1">
      <alignment wrapText="1"/>
    </xf>
    <xf numFmtId="0" fontId="3" fillId="0" borderId="0" xfId="0" applyFont="1" applyBorder="1" applyAlignment="1"/>
    <xf numFmtId="0" fontId="70" fillId="8" borderId="0" xfId="0" applyFont="1" applyFill="1" applyAlignment="1">
      <alignment horizontal="left" vertical="center"/>
    </xf>
    <xf numFmtId="0" fontId="5" fillId="8" borderId="0" xfId="0" applyFont="1" applyFill="1" applyAlignment="1">
      <alignment horizontal="center" vertical="center"/>
    </xf>
    <xf numFmtId="0" fontId="52" fillId="0" borderId="0" xfId="0" applyFont="1"/>
    <xf numFmtId="0" fontId="51" fillId="0" borderId="0" xfId="0" applyFont="1" applyFill="1" applyBorder="1" applyAlignment="1">
      <alignment horizontal="left"/>
    </xf>
    <xf numFmtId="0" fontId="11" fillId="0" borderId="0" xfId="0" applyFont="1" applyAlignment="1">
      <alignment horizontal="center"/>
    </xf>
    <xf numFmtId="0" fontId="7" fillId="0" borderId="0" xfId="0" applyFont="1" applyAlignment="1">
      <alignment horizontal="center"/>
    </xf>
    <xf numFmtId="0" fontId="48" fillId="0" borderId="0" xfId="0" applyFont="1" applyFill="1" applyBorder="1" applyAlignment="1">
      <alignment horizontal="left"/>
    </xf>
    <xf numFmtId="0" fontId="7" fillId="0" borderId="8" xfId="0" applyFont="1" applyFill="1" applyBorder="1" applyAlignment="1" applyProtection="1">
      <alignment horizontal="center" vertical="top"/>
      <protection locked="0"/>
    </xf>
    <xf numFmtId="0" fontId="17" fillId="0" borderId="41"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7" fillId="0" borderId="0" xfId="0" applyFont="1" applyFill="1" applyBorder="1" applyAlignment="1" applyProtection="1">
      <alignment horizontal="center" vertical="top"/>
      <protection locked="0"/>
    </xf>
    <xf numFmtId="0" fontId="11" fillId="0" borderId="0" xfId="0" applyFont="1" applyFill="1" applyBorder="1" applyAlignment="1" applyProtection="1">
      <alignment horizontal="center" vertical="top"/>
      <protection locked="0"/>
    </xf>
    <xf numFmtId="0" fontId="11" fillId="0" borderId="0" xfId="0" applyFont="1" applyFill="1" applyBorder="1" applyAlignment="1" applyProtection="1">
      <alignment horizontal="center"/>
      <protection locked="0"/>
    </xf>
    <xf numFmtId="0" fontId="12" fillId="0" borderId="8" xfId="0" applyFont="1" applyFill="1" applyBorder="1" applyAlignment="1" applyProtection="1">
      <alignment horizontal="center" vertical="top"/>
      <protection locked="0"/>
    </xf>
    <xf numFmtId="0" fontId="27" fillId="0" borderId="5" xfId="0" applyFont="1" applyFill="1" applyBorder="1" applyAlignment="1" applyProtection="1">
      <alignment horizontal="justify" vertical="top"/>
      <protection locked="0"/>
    </xf>
    <xf numFmtId="0" fontId="27" fillId="0" borderId="0" xfId="0" applyFont="1" applyFill="1" applyBorder="1" applyAlignment="1" applyProtection="1">
      <alignment horizontal="justify" vertical="top"/>
      <protection locked="0"/>
    </xf>
    <xf numFmtId="0" fontId="3" fillId="0" borderId="45"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7" fillId="0" borderId="47"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8" fillId="0" borderId="7" xfId="0" applyFont="1" applyBorder="1" applyAlignment="1" applyProtection="1">
      <alignment horizontal="justify" vertical="top" wrapText="1"/>
      <protection locked="0"/>
    </xf>
    <xf numFmtId="0" fontId="8" fillId="0" borderId="8" xfId="0" applyFont="1" applyBorder="1" applyAlignment="1" applyProtection="1">
      <alignment horizontal="justify" vertical="top" wrapText="1"/>
      <protection locked="0"/>
    </xf>
    <xf numFmtId="0" fontId="11" fillId="0" borderId="1"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7" fillId="0" borderId="5" xfId="0" applyFont="1" applyBorder="1" applyAlignment="1" applyProtection="1">
      <alignment horizontal="justify" vertical="top" wrapText="1"/>
      <protection locked="0"/>
    </xf>
    <xf numFmtId="0" fontId="7" fillId="0" borderId="0" xfId="0" applyFont="1" applyBorder="1" applyAlignment="1" applyProtection="1">
      <alignment horizontal="justify" vertical="top" wrapText="1"/>
      <protection locked="0"/>
    </xf>
    <xf numFmtId="0" fontId="8" fillId="0" borderId="5" xfId="0" applyFont="1" applyBorder="1" applyAlignment="1" applyProtection="1">
      <alignment horizontal="justify" vertical="top" wrapText="1"/>
      <protection locked="0"/>
    </xf>
    <xf numFmtId="0" fontId="8" fillId="0" borderId="0" xfId="0" applyFont="1" applyBorder="1" applyAlignment="1" applyProtection="1">
      <alignment horizontal="justify" vertical="top" wrapText="1"/>
      <protection locked="0"/>
    </xf>
    <xf numFmtId="0" fontId="7" fillId="0" borderId="5" xfId="0" applyFont="1" applyBorder="1" applyAlignment="1" applyProtection="1">
      <alignment horizontal="left" vertical="top" wrapText="1" indent="5"/>
      <protection locked="0"/>
    </xf>
    <xf numFmtId="0" fontId="7" fillId="0" borderId="0" xfId="0" applyFont="1" applyBorder="1" applyAlignment="1" applyProtection="1">
      <alignment horizontal="left" vertical="top" wrapText="1" indent="5"/>
      <protection locked="0"/>
    </xf>
    <xf numFmtId="0" fontId="3" fillId="0" borderId="1" xfId="0" applyFont="1" applyBorder="1" applyAlignment="1">
      <alignment horizontal="center" vertical="justify"/>
    </xf>
    <xf numFmtId="0" fontId="3" fillId="0" borderId="2" xfId="0" applyFont="1" applyBorder="1" applyAlignment="1">
      <alignment horizontal="center" vertical="justify"/>
    </xf>
    <xf numFmtId="0" fontId="3" fillId="0" borderId="3" xfId="0" applyFont="1" applyBorder="1" applyAlignment="1">
      <alignment horizontal="center" vertical="justify"/>
    </xf>
    <xf numFmtId="0" fontId="3" fillId="0" borderId="5" xfId="0" applyFont="1" applyBorder="1" applyAlignment="1">
      <alignment horizontal="center" vertical="justify"/>
    </xf>
    <xf numFmtId="0" fontId="3" fillId="0" borderId="0" xfId="0" applyFont="1" applyBorder="1" applyAlignment="1">
      <alignment horizontal="center" vertical="justify"/>
    </xf>
    <xf numFmtId="0" fontId="3" fillId="0" borderId="6" xfId="0" applyFont="1" applyBorder="1" applyAlignment="1">
      <alignment horizontal="center" vertical="justify"/>
    </xf>
    <xf numFmtId="0" fontId="3" fillId="0" borderId="7" xfId="0" applyFont="1" applyBorder="1" applyAlignment="1">
      <alignment horizontal="center" vertical="justify"/>
    </xf>
    <xf numFmtId="0" fontId="3" fillId="0" borderId="8" xfId="0" applyFont="1" applyBorder="1" applyAlignment="1">
      <alignment horizontal="center" vertical="justify"/>
    </xf>
    <xf numFmtId="0" fontId="3" fillId="0" borderId="9" xfId="0" applyFont="1" applyBorder="1" applyAlignment="1">
      <alignment horizontal="center" vertical="justify"/>
    </xf>
    <xf numFmtId="0" fontId="11" fillId="0" borderId="0" xfId="0" applyFont="1" applyFill="1" applyBorder="1" applyAlignment="1">
      <alignment horizontal="center"/>
    </xf>
    <xf numFmtId="0" fontId="7" fillId="0" borderId="0" xfId="0" applyFont="1" applyFill="1" applyBorder="1" applyAlignment="1">
      <alignment horizontal="center" vertical="top"/>
    </xf>
    <xf numFmtId="0" fontId="11" fillId="0" borderId="0" xfId="0" applyFont="1" applyFill="1" applyBorder="1" applyAlignment="1">
      <alignment horizontal="center" vertical="top"/>
    </xf>
    <xf numFmtId="0" fontId="12" fillId="0" borderId="8" xfId="0" applyFont="1" applyFill="1" applyBorder="1" applyAlignment="1">
      <alignment horizontal="center" vertical="top"/>
    </xf>
    <xf numFmtId="0" fontId="3" fillId="0" borderId="0" xfId="0" applyFont="1" applyBorder="1" applyAlignment="1">
      <alignment horizontal="center" vertical="center"/>
    </xf>
    <xf numFmtId="0" fontId="27" fillId="0" borderId="10"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3" fillId="0" borderId="49"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47" xfId="0" applyFont="1" applyBorder="1" applyAlignment="1" applyProtection="1">
      <alignment horizontal="center" vertical="center"/>
    </xf>
    <xf numFmtId="0" fontId="3" fillId="0" borderId="24" xfId="0" applyFont="1" applyBorder="1" applyAlignment="1" applyProtection="1">
      <alignment horizontal="center" vertical="center"/>
    </xf>
    <xf numFmtId="0" fontId="1" fillId="0" borderId="5" xfId="0" applyFont="1" applyBorder="1" applyAlignment="1" applyProtection="1">
      <alignment horizontal="left" vertical="center" wrapText="1" indent="1"/>
      <protection locked="0"/>
    </xf>
    <xf numFmtId="0" fontId="1" fillId="0" borderId="6" xfId="0" applyFont="1" applyBorder="1" applyAlignment="1" applyProtection="1">
      <alignment horizontal="left" vertical="center" wrapText="1" indent="1"/>
      <protection locked="0"/>
    </xf>
    <xf numFmtId="0" fontId="3" fillId="0" borderId="1"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7" fillId="2" borderId="47" xfId="0"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protection locked="0"/>
    </xf>
    <xf numFmtId="0" fontId="3" fillId="0" borderId="49" xfId="0" applyFont="1" applyFill="1" applyBorder="1" applyAlignment="1" applyProtection="1">
      <alignment horizontal="center" vertical="center" wrapText="1"/>
    </xf>
    <xf numFmtId="0" fontId="3" fillId="0" borderId="52" xfId="0" applyFont="1" applyFill="1" applyBorder="1" applyAlignment="1" applyProtection="1">
      <alignment horizontal="center" vertical="center" wrapText="1"/>
    </xf>
    <xf numFmtId="0" fontId="59" fillId="0" borderId="0" xfId="0" applyFont="1" applyFill="1" applyAlignment="1" applyProtection="1">
      <alignment horizontal="left" vertical="justify" indent="3"/>
      <protection locked="0"/>
    </xf>
    <xf numFmtId="0" fontId="61" fillId="0" borderId="0" xfId="0" applyFont="1" applyFill="1" applyAlignment="1" applyProtection="1">
      <alignment horizontal="left"/>
      <protection locked="0"/>
    </xf>
    <xf numFmtId="0" fontId="3" fillId="0" borderId="49" xfId="0" applyFont="1" applyFill="1" applyBorder="1" applyAlignment="1" applyProtection="1">
      <alignment horizontal="center" vertical="center" wrapText="1"/>
      <protection locked="0"/>
    </xf>
    <xf numFmtId="0" fontId="3" fillId="0" borderId="52" xfId="0" applyFont="1" applyFill="1" applyBorder="1" applyAlignment="1" applyProtection="1">
      <alignment horizontal="center" vertical="center" wrapText="1"/>
      <protection locked="0"/>
    </xf>
    <xf numFmtId="0" fontId="7" fillId="0" borderId="49" xfId="0" applyFont="1" applyFill="1" applyBorder="1" applyAlignment="1" applyProtection="1">
      <alignment horizontal="center" vertical="center"/>
      <protection locked="0"/>
    </xf>
    <xf numFmtId="0" fontId="7" fillId="0" borderId="52"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52" xfId="0" applyFont="1" applyFill="1" applyBorder="1" applyAlignment="1" applyProtection="1">
      <alignment horizontal="center" vertical="center"/>
      <protection locked="0"/>
    </xf>
    <xf numFmtId="4" fontId="12" fillId="0" borderId="8" xfId="0" applyNumberFormat="1" applyFont="1" applyFill="1" applyBorder="1" applyAlignment="1" applyProtection="1">
      <alignment horizontal="left" vertical="center"/>
      <protection locked="0"/>
    </xf>
    <xf numFmtId="0" fontId="12" fillId="0" borderId="8" xfId="0" applyFont="1" applyFill="1" applyBorder="1" applyAlignment="1">
      <alignment horizontal="center" vertical="center"/>
    </xf>
    <xf numFmtId="0" fontId="5" fillId="0" borderId="8"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11"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0" xfId="0" applyFont="1" applyAlignment="1" applyProtection="1">
      <alignment horizontal="center"/>
      <protection locked="0"/>
    </xf>
    <xf numFmtId="0" fontId="41" fillId="2" borderId="35" xfId="0" applyFont="1" applyFill="1" applyBorder="1" applyAlignment="1" applyProtection="1">
      <alignment horizontal="center" vertical="center"/>
      <protection locked="0"/>
    </xf>
    <xf numFmtId="0" fontId="41" fillId="2" borderId="36" xfId="0" applyFont="1" applyFill="1" applyBorder="1" applyAlignment="1" applyProtection="1">
      <alignment horizontal="center" vertical="center"/>
      <protection locked="0"/>
    </xf>
    <xf numFmtId="0" fontId="41" fillId="2" borderId="37" xfId="0" applyFont="1" applyFill="1" applyBorder="1" applyAlignment="1" applyProtection="1">
      <alignment horizontal="center" vertical="center"/>
      <protection locked="0"/>
    </xf>
    <xf numFmtId="0" fontId="40" fillId="0" borderId="0" xfId="0" applyFont="1" applyAlignment="1" applyProtection="1">
      <alignment horizontal="center"/>
      <protection locked="0"/>
    </xf>
    <xf numFmtId="0" fontId="41" fillId="0" borderId="1" xfId="0" applyFont="1" applyBorder="1" applyAlignment="1" applyProtection="1">
      <alignment horizontal="center" vertical="center"/>
      <protection locked="0"/>
    </xf>
    <xf numFmtId="0" fontId="41" fillId="0" borderId="30" xfId="0" applyFont="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0" fontId="41" fillId="0" borderId="31" xfId="0" applyFont="1" applyBorder="1" applyAlignment="1" applyProtection="1">
      <alignment horizontal="center" vertical="center"/>
      <protection locked="0"/>
    </xf>
    <xf numFmtId="0" fontId="41" fillId="2" borderId="32" xfId="0" applyFont="1" applyFill="1" applyBorder="1" applyAlignment="1" applyProtection="1">
      <alignment horizontal="center" vertical="center"/>
      <protection locked="0"/>
    </xf>
    <xf numFmtId="0" fontId="41" fillId="2" borderId="33" xfId="0" applyFont="1" applyFill="1" applyBorder="1" applyAlignment="1" applyProtection="1">
      <alignment horizontal="center" vertical="center"/>
      <protection locked="0"/>
    </xf>
    <xf numFmtId="0" fontId="41" fillId="2" borderId="34" xfId="0" applyFont="1" applyFill="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25"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11" fillId="0" borderId="0"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vertical="center" wrapText="1"/>
      <protection locked="0"/>
    </xf>
    <xf numFmtId="0" fontId="72" fillId="0" borderId="22" xfId="0" applyFont="1" applyBorder="1" applyAlignment="1">
      <alignment horizontal="center" wrapText="1"/>
    </xf>
    <xf numFmtId="0" fontId="72" fillId="0" borderId="19" xfId="0" applyFont="1" applyBorder="1" applyAlignment="1">
      <alignment horizontal="center" wrapText="1"/>
    </xf>
    <xf numFmtId="0" fontId="72" fillId="0" borderId="22" xfId="0" applyFont="1" applyBorder="1" applyAlignment="1">
      <alignment horizontal="center"/>
    </xf>
    <xf numFmtId="0" fontId="72" fillId="0" borderId="19" xfId="0" applyFont="1" applyBorder="1" applyAlignment="1">
      <alignment horizontal="center"/>
    </xf>
    <xf numFmtId="0" fontId="71" fillId="2" borderId="19" xfId="0" applyFont="1" applyFill="1" applyBorder="1" applyAlignment="1">
      <alignment horizontal="center" vertical="center" textRotation="90" wrapText="1"/>
    </xf>
    <xf numFmtId="0" fontId="71" fillId="2" borderId="19" xfId="0" applyFont="1" applyFill="1" applyBorder="1" applyAlignment="1">
      <alignment horizontal="center" vertical="center"/>
    </xf>
    <xf numFmtId="0" fontId="71" fillId="2" borderId="40" xfId="0" applyFont="1" applyFill="1" applyBorder="1" applyAlignment="1">
      <alignment horizontal="center" vertical="center"/>
    </xf>
    <xf numFmtId="0" fontId="71" fillId="2" borderId="36" xfId="0" applyFont="1" applyFill="1" applyBorder="1" applyAlignment="1">
      <alignment horizontal="center" vertical="center"/>
    </xf>
    <xf numFmtId="0" fontId="71" fillId="2" borderId="39" xfId="0" applyFont="1" applyFill="1" applyBorder="1" applyAlignment="1">
      <alignment horizontal="center" vertical="center"/>
    </xf>
    <xf numFmtId="0" fontId="71" fillId="2" borderId="21" xfId="0" applyFont="1" applyFill="1" applyBorder="1" applyAlignment="1">
      <alignment horizontal="center" vertical="center" textRotation="90" wrapText="1"/>
    </xf>
    <xf numFmtId="0" fontId="0" fillId="0" borderId="53" xfId="0" applyBorder="1" applyAlignment="1">
      <alignment horizontal="left" wrapText="1"/>
    </xf>
    <xf numFmtId="0" fontId="0" fillId="0" borderId="11" xfId="0" applyBorder="1" applyAlignment="1">
      <alignment horizontal="left" wrapText="1"/>
    </xf>
    <xf numFmtId="0" fontId="0" fillId="0" borderId="23" xfId="0" applyBorder="1" applyAlignment="1">
      <alignment horizontal="left" wrapText="1"/>
    </xf>
    <xf numFmtId="0" fontId="71" fillId="2" borderId="19" xfId="0" applyFont="1" applyFill="1" applyBorder="1" applyAlignment="1">
      <alignment horizontal="center" vertical="center" textRotation="90"/>
    </xf>
    <xf numFmtId="0" fontId="71" fillId="2" borderId="19" xfId="0" applyFont="1" applyFill="1" applyBorder="1" applyAlignment="1">
      <alignment horizontal="center" vertical="center" wrapText="1"/>
    </xf>
    <xf numFmtId="0" fontId="11" fillId="0" borderId="0" xfId="0" applyFont="1" applyFill="1" applyAlignment="1">
      <alignment horizontal="center" vertical="center" wrapText="1"/>
    </xf>
    <xf numFmtId="0" fontId="40" fillId="0" borderId="0" xfId="0" applyFont="1" applyFill="1" applyAlignment="1">
      <alignment horizontal="center"/>
    </xf>
    <xf numFmtId="0" fontId="41" fillId="0" borderId="1" xfId="0" applyFont="1" applyFill="1" applyBorder="1" applyAlignment="1">
      <alignment horizontal="center" vertical="center"/>
    </xf>
    <xf numFmtId="0" fontId="41" fillId="0" borderId="2" xfId="0" applyFont="1" applyFill="1" applyBorder="1" applyAlignment="1">
      <alignment horizontal="center" vertical="center"/>
    </xf>
    <xf numFmtId="0" fontId="41" fillId="2" borderId="1" xfId="0" applyFont="1" applyFill="1" applyBorder="1" applyAlignment="1" applyProtection="1">
      <alignment horizontal="center" vertical="center"/>
      <protection locked="0"/>
    </xf>
    <xf numFmtId="0" fontId="41" fillId="2" borderId="30"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31" xfId="0" applyFont="1" applyFill="1" applyBorder="1" applyAlignment="1" applyProtection="1">
      <alignment horizontal="center" vertical="center"/>
      <protection locked="0"/>
    </xf>
    <xf numFmtId="0" fontId="41" fillId="2" borderId="15"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protection locked="0"/>
    </xf>
    <xf numFmtId="0" fontId="41" fillId="2" borderId="3" xfId="0" applyFont="1" applyFill="1" applyBorder="1" applyAlignment="1" applyProtection="1">
      <alignment horizontal="center" vertical="center"/>
      <protection locked="0"/>
    </xf>
    <xf numFmtId="0" fontId="41" fillId="2" borderId="9" xfId="0" applyFont="1" applyFill="1" applyBorder="1" applyAlignment="1" applyProtection="1">
      <alignment horizontal="center" vertical="center"/>
      <protection locked="0"/>
    </xf>
    <xf numFmtId="0" fontId="63" fillId="0" borderId="0" xfId="0" applyFont="1" applyAlignment="1" applyProtection="1">
      <alignment horizontal="justify" vertical="distributed" wrapText="1"/>
      <protection locked="0"/>
    </xf>
    <xf numFmtId="0" fontId="11" fillId="0" borderId="0" xfId="0" applyFont="1" applyAlignment="1" applyProtection="1">
      <alignment horizontal="center" vertical="center"/>
      <protection locked="0"/>
    </xf>
    <xf numFmtId="0" fontId="41" fillId="2" borderId="19" xfId="0" applyFont="1" applyFill="1" applyBorder="1" applyAlignment="1">
      <alignment horizontal="center" vertical="center"/>
    </xf>
    <xf numFmtId="0" fontId="43" fillId="0" borderId="21" xfId="0" applyFont="1" applyBorder="1" applyAlignment="1">
      <alignment horizontal="center" vertical="center"/>
    </xf>
    <xf numFmtId="0" fontId="43" fillId="0" borderId="22" xfId="0" applyFont="1" applyBorder="1" applyAlignment="1">
      <alignment horizontal="center" vertical="center"/>
    </xf>
    <xf numFmtId="0" fontId="40" fillId="0" borderId="0" xfId="0" applyFont="1" applyAlignment="1">
      <alignment horizontal="center"/>
    </xf>
    <xf numFmtId="0" fontId="41" fillId="0" borderId="33" xfId="0" applyFont="1" applyFill="1" applyBorder="1" applyAlignment="1" applyProtection="1">
      <alignment horizontal="center" vertical="center"/>
      <protection locked="0"/>
    </xf>
    <xf numFmtId="0" fontId="41" fillId="2" borderId="38" xfId="0" applyFont="1" applyFill="1" applyBorder="1" applyAlignment="1" applyProtection="1">
      <alignment horizontal="center" vertical="center"/>
      <protection locked="0"/>
    </xf>
    <xf numFmtId="0" fontId="52" fillId="0" borderId="19" xfId="0" applyFont="1" applyBorder="1" applyAlignment="1">
      <alignment horizontal="center"/>
    </xf>
    <xf numFmtId="0" fontId="52" fillId="0" borderId="61" xfId="0" applyFont="1" applyBorder="1" applyAlignment="1">
      <alignment horizontal="center"/>
    </xf>
    <xf numFmtId="0" fontId="52" fillId="0" borderId="0" xfId="0" applyFont="1" applyAlignment="1">
      <alignment horizontal="center"/>
    </xf>
    <xf numFmtId="0" fontId="52" fillId="7" borderId="19" xfId="0" applyFont="1" applyFill="1" applyBorder="1" applyAlignment="1">
      <alignment horizontal="center"/>
    </xf>
  </cellXfs>
  <cellStyles count="14">
    <cellStyle name="20% - Accent6" xfId="10"/>
    <cellStyle name="Euro" xfId="2"/>
    <cellStyle name="Euro 2" xfId="3"/>
    <cellStyle name="Euro 3" xfId="4"/>
    <cellStyle name="Hipervínculo" xfId="12" builtinId="8"/>
    <cellStyle name="Millares" xfId="13" builtinId="3"/>
    <cellStyle name="Millares 3" xfId="9"/>
    <cellStyle name="Moneda" xfId="8" builtinId="4"/>
    <cellStyle name="Normal" xfId="0" builtinId="0"/>
    <cellStyle name="Normal 2" xfId="1"/>
    <cellStyle name="Normal 3" xfId="7"/>
    <cellStyle name="Normal 4 8" xfId="11"/>
    <cellStyle name="Porcentaje" xfId="6" builtinId="5"/>
    <cellStyle name="Porcentual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142875</xdr:rowOff>
    </xdr:from>
    <xdr:ext cx="184731" cy="264560"/>
    <xdr:sp macro="" textlink="">
      <xdr:nvSpPr>
        <xdr:cNvPr id="2" name="1 CuadroTexto"/>
        <xdr:cNvSpPr txBox="1"/>
      </xdr:nvSpPr>
      <xdr:spPr>
        <a:xfrm>
          <a:off x="26289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7</xdr:col>
      <xdr:colOff>0</xdr:colOff>
      <xdr:row>3</xdr:row>
      <xdr:rowOff>142875</xdr:rowOff>
    </xdr:from>
    <xdr:ext cx="184731" cy="264560"/>
    <xdr:sp macro="" textlink="">
      <xdr:nvSpPr>
        <xdr:cNvPr id="3" name="4 CuadroTexto"/>
        <xdr:cNvSpPr txBox="1"/>
      </xdr:nvSpPr>
      <xdr:spPr>
        <a:xfrm>
          <a:off x="6029325"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7</xdr:col>
      <xdr:colOff>200025</xdr:colOff>
      <xdr:row>3</xdr:row>
      <xdr:rowOff>142875</xdr:rowOff>
    </xdr:from>
    <xdr:ext cx="184731" cy="264560"/>
    <xdr:sp macro="" textlink="">
      <xdr:nvSpPr>
        <xdr:cNvPr id="4" name="1 CuadroTexto"/>
        <xdr:cNvSpPr txBox="1"/>
      </xdr:nvSpPr>
      <xdr:spPr>
        <a:xfrm>
          <a:off x="622935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3</xdr:row>
      <xdr:rowOff>142875</xdr:rowOff>
    </xdr:from>
    <xdr:ext cx="184731" cy="264560"/>
    <xdr:sp macro="" textlink="">
      <xdr:nvSpPr>
        <xdr:cNvPr id="2" name="4 CuadroTexto"/>
        <xdr:cNvSpPr txBox="1"/>
      </xdr:nvSpPr>
      <xdr:spPr>
        <a:xfrm>
          <a:off x="5572125"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12</xdr:col>
      <xdr:colOff>317500</xdr:colOff>
      <xdr:row>30</xdr:row>
      <xdr:rowOff>47625</xdr:rowOff>
    </xdr:from>
    <xdr:ext cx="184731" cy="264560"/>
    <xdr:sp macro="" textlink="">
      <xdr:nvSpPr>
        <xdr:cNvPr id="3" name="2 CuadroTexto"/>
        <xdr:cNvSpPr txBox="1"/>
      </xdr:nvSpPr>
      <xdr:spPr>
        <a:xfrm>
          <a:off x="9001125" y="598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E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erica%20Encinas/AppData/Roaming/Microsoft/Excel/PT%20Gastos%20x%20partida%20ppt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TCA%20II%20TRIMESTRE2016/borrador/Formatos_ETCA2016_v5%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FORMATOS"/>
      <sheetName val="ETCA-I-01"/>
      <sheetName val="ETCA-I-02"/>
      <sheetName val="ETCA-I-03"/>
      <sheetName val="ETCA-I-04"/>
      <sheetName val="ETCA-I-05"/>
      <sheetName val="ETCA-I-06"/>
      <sheetName val="ETCA-I-07"/>
      <sheetName val="ETCA-I-08"/>
      <sheetName val="ETCA-I-09 Notas"/>
      <sheetName val="ETCA-II-10 "/>
      <sheetName val="ETCA-II-10-A"/>
      <sheetName val="ETCA-II-11 "/>
      <sheetName val="ETCA-II-11-A "/>
      <sheetName val="ETCA-II-11-B1"/>
      <sheetName val="ETCA-II-11-B2"/>
      <sheetName val="ETCA-11-B3"/>
      <sheetName val="ETCA-II-11-C"/>
      <sheetName val="ETCA-II-11-D"/>
      <sheetName val="ETCA-II-11-E "/>
      <sheetName val="ETCA-II-12"/>
      <sheetName val="ETCA-II-13"/>
      <sheetName val="ETCA-III-14"/>
      <sheetName val="ETCA-III-15"/>
      <sheetName val="ETCA-III-15-A"/>
      <sheetName val="ETCA-III-16"/>
      <sheetName val="ETCA-IV-17"/>
      <sheetName val="ETCA-IV-18"/>
      <sheetName val="ETCA-IV-19"/>
      <sheetName val="ETCA-IV-20"/>
      <sheetName val="ANEX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9">
          <cell r="B9">
            <v>12673898.240000002</v>
          </cell>
          <cell r="C9">
            <v>17997.759999999766</v>
          </cell>
          <cell r="E9">
            <v>8782261.5600000005</v>
          </cell>
          <cell r="F9">
            <v>8782261.5600000005</v>
          </cell>
        </row>
        <row r="17">
          <cell r="B17">
            <v>1564130.78</v>
          </cell>
          <cell r="C17">
            <v>109521.33999999998</v>
          </cell>
          <cell r="E17">
            <v>884946.33999999985</v>
          </cell>
          <cell r="F17">
            <v>884946.33999999985</v>
          </cell>
        </row>
        <row r="27">
          <cell r="B27">
            <v>3433733.45</v>
          </cell>
          <cell r="C27">
            <v>-222759.06</v>
          </cell>
          <cell r="E27">
            <v>1563217.3099999998</v>
          </cell>
          <cell r="F27">
            <v>1563217.3099999998</v>
          </cell>
        </row>
        <row r="37">
          <cell r="B37">
            <v>0</v>
          </cell>
          <cell r="C37">
            <v>0</v>
          </cell>
          <cell r="E37">
            <v>0</v>
          </cell>
          <cell r="F37">
            <v>0</v>
          </cell>
        </row>
        <row r="47">
          <cell r="B47">
            <v>0</v>
          </cell>
          <cell r="C47">
            <v>1050137.72</v>
          </cell>
          <cell r="E47">
            <v>1049034.72</v>
          </cell>
          <cell r="F47">
            <v>1049034.72</v>
          </cell>
        </row>
        <row r="57">
          <cell r="B57">
            <v>333334145</v>
          </cell>
          <cell r="C57">
            <v>282877171.90999997</v>
          </cell>
          <cell r="E57">
            <v>52974648.479999997</v>
          </cell>
          <cell r="F57">
            <v>52974648.479999997</v>
          </cell>
        </row>
      </sheetData>
      <sheetData sheetId="13" refreshError="1"/>
      <sheetData sheetId="14" refreshError="1"/>
      <sheetData sheetId="15" refreshError="1"/>
      <sheetData sheetId="16" refreshError="1"/>
      <sheetData sheetId="17" refreshError="1"/>
      <sheetData sheetId="18" refreshError="1"/>
      <sheetData sheetId="19">
        <row r="11">
          <cell r="C11">
            <v>4810655.4000000004</v>
          </cell>
          <cell r="D11">
            <v>1336486.0899999999</v>
          </cell>
          <cell r="F11">
            <v>6021728.4199999999</v>
          </cell>
          <cell r="G11">
            <v>6021728.4199999999</v>
          </cell>
        </row>
        <row r="17">
          <cell r="C17">
            <v>0</v>
          </cell>
          <cell r="D17">
            <v>290033.88</v>
          </cell>
          <cell r="F17">
            <v>288769.44</v>
          </cell>
          <cell r="G17">
            <v>288769.44</v>
          </cell>
        </row>
        <row r="19">
          <cell r="C19">
            <v>4378951.2</v>
          </cell>
          <cell r="D19">
            <v>-1633710.97</v>
          </cell>
          <cell r="F19">
            <v>646034.5</v>
          </cell>
          <cell r="G19">
            <v>646034.5</v>
          </cell>
        </row>
        <row r="26">
          <cell r="C26">
            <v>3484291.64</v>
          </cell>
          <cell r="D26">
            <v>7191</v>
          </cell>
          <cell r="F26">
            <v>1807731.44</v>
          </cell>
          <cell r="G26">
            <v>1807731.44</v>
          </cell>
        </row>
        <row r="37">
          <cell r="C37">
            <v>0</v>
          </cell>
          <cell r="D37">
            <v>17997.759999999998</v>
          </cell>
          <cell r="F37">
            <v>17997.759999999998</v>
          </cell>
          <cell r="G37">
            <v>17997.759999999998</v>
          </cell>
        </row>
        <row r="40">
          <cell r="C40">
            <v>655932.37999999989</v>
          </cell>
          <cell r="D40">
            <v>-9911.210000000021</v>
          </cell>
          <cell r="F40">
            <v>292447.58999999997</v>
          </cell>
          <cell r="G40">
            <v>292447.58999999997</v>
          </cell>
        </row>
        <row r="47">
          <cell r="C47">
            <v>42797.88</v>
          </cell>
          <cell r="D47">
            <v>10900.000000000004</v>
          </cell>
          <cell r="F47">
            <v>26643.93</v>
          </cell>
          <cell r="G47">
            <v>26643.93</v>
          </cell>
        </row>
        <row r="51">
          <cell r="C51">
            <v>5000.16</v>
          </cell>
          <cell r="D51">
            <v>-1532.43</v>
          </cell>
          <cell r="F51">
            <v>1467.57</v>
          </cell>
          <cell r="G51">
            <v>1467.57</v>
          </cell>
        </row>
        <row r="57">
          <cell r="C57">
            <v>807000.12</v>
          </cell>
          <cell r="D57">
            <v>-9870</v>
          </cell>
          <cell r="F57">
            <v>394190.58</v>
          </cell>
          <cell r="G57">
            <v>394190.58</v>
          </cell>
        </row>
        <row r="60">
          <cell r="C60">
            <v>5000.04</v>
          </cell>
          <cell r="D60">
            <v>-1027.8000000000002</v>
          </cell>
          <cell r="F60">
            <v>3506.6</v>
          </cell>
          <cell r="G60">
            <v>3506.6</v>
          </cell>
        </row>
        <row r="63">
          <cell r="C63">
            <v>0</v>
          </cell>
          <cell r="D63">
            <v>14453.6</v>
          </cell>
          <cell r="F63">
            <v>14453.6</v>
          </cell>
          <cell r="G63">
            <v>14453.6</v>
          </cell>
        </row>
        <row r="65">
          <cell r="C65">
            <v>48400.2</v>
          </cell>
          <cell r="D65">
            <v>106509.18</v>
          </cell>
          <cell r="F65">
            <v>152236.47</v>
          </cell>
          <cell r="G65">
            <v>152236.47</v>
          </cell>
        </row>
        <row r="72">
          <cell r="C72">
            <v>521349.12</v>
          </cell>
          <cell r="D72">
            <v>-6332.4200000000128</v>
          </cell>
          <cell r="F72">
            <v>218340.4</v>
          </cell>
          <cell r="G72">
            <v>218340.4</v>
          </cell>
        </row>
        <row r="80">
          <cell r="C80">
            <v>144999.24</v>
          </cell>
          <cell r="D80">
            <v>3352.2</v>
          </cell>
          <cell r="F80">
            <v>76494.75</v>
          </cell>
          <cell r="G80">
            <v>76494.75</v>
          </cell>
        </row>
        <row r="85">
          <cell r="C85">
            <v>775199.76</v>
          </cell>
          <cell r="D85">
            <v>-53237.48</v>
          </cell>
          <cell r="F85">
            <v>351876.56999999995</v>
          </cell>
          <cell r="G85">
            <v>351876.56999999995</v>
          </cell>
        </row>
        <row r="94">
          <cell r="C94">
            <v>292999.92</v>
          </cell>
          <cell r="D94">
            <v>-55994.2</v>
          </cell>
          <cell r="F94">
            <v>101883.38</v>
          </cell>
          <cell r="G94">
            <v>101883.38</v>
          </cell>
        </row>
        <row r="99">
          <cell r="C99">
            <v>573386.28</v>
          </cell>
          <cell r="D99">
            <v>-143240.56999999998</v>
          </cell>
          <cell r="F99">
            <v>312022.76</v>
          </cell>
          <cell r="G99">
            <v>312022.76</v>
          </cell>
        </row>
        <row r="107">
          <cell r="C107">
            <v>221000.04</v>
          </cell>
          <cell r="D107">
            <v>92779.41</v>
          </cell>
          <cell r="F107">
            <v>313779.45</v>
          </cell>
          <cell r="G107">
            <v>313779.45</v>
          </cell>
        </row>
        <row r="109">
          <cell r="C109">
            <v>800799.05</v>
          </cell>
          <cell r="D109">
            <v>-64905</v>
          </cell>
          <cell r="F109">
            <v>177041</v>
          </cell>
          <cell r="G109">
            <v>177041</v>
          </cell>
        </row>
        <row r="115">
          <cell r="C115">
            <v>104000.04</v>
          </cell>
          <cell r="D115">
            <v>0</v>
          </cell>
          <cell r="F115">
            <v>6960</v>
          </cell>
          <cell r="G115">
            <v>6960</v>
          </cell>
        </row>
        <row r="118">
          <cell r="C118">
            <v>0</v>
          </cell>
          <cell r="D118">
            <v>4819</v>
          </cell>
          <cell r="F118">
            <v>4819</v>
          </cell>
          <cell r="G118">
            <v>4819</v>
          </cell>
        </row>
        <row r="123">
          <cell r="C123">
            <v>0</v>
          </cell>
          <cell r="D123">
            <v>94436.73000000001</v>
          </cell>
          <cell r="F123">
            <v>93334.73000000001</v>
          </cell>
          <cell r="G123">
            <v>93334.73000000001</v>
          </cell>
        </row>
        <row r="127">
          <cell r="C127">
            <v>0</v>
          </cell>
          <cell r="D127">
            <v>936901</v>
          </cell>
          <cell r="F127">
            <v>936900</v>
          </cell>
          <cell r="G127">
            <v>936900</v>
          </cell>
        </row>
        <row r="129">
          <cell r="C129">
            <v>0</v>
          </cell>
          <cell r="D129">
            <v>18799.990000000002</v>
          </cell>
          <cell r="F129">
            <v>18799.990000000002</v>
          </cell>
          <cell r="G129">
            <v>18799.990000000002</v>
          </cell>
        </row>
        <row r="135">
          <cell r="C135">
            <v>0</v>
          </cell>
          <cell r="D135">
            <v>279300750.99999994</v>
          </cell>
          <cell r="F135">
            <v>0</v>
          </cell>
          <cell r="G135">
            <v>0</v>
          </cell>
        </row>
        <row r="145">
          <cell r="C145">
            <v>0</v>
          </cell>
          <cell r="D145">
            <v>0</v>
          </cell>
          <cell r="F145">
            <v>0</v>
          </cell>
          <cell r="G145">
            <v>0</v>
          </cell>
        </row>
        <row r="148">
          <cell r="C148">
            <v>269158952</v>
          </cell>
          <cell r="D148">
            <v>3576420.9099999964</v>
          </cell>
          <cell r="F148">
            <v>42562492.289999999</v>
          </cell>
          <cell r="G148">
            <v>42562492.289999999</v>
          </cell>
        </row>
        <row r="167">
          <cell r="C167">
            <v>64175193</v>
          </cell>
          <cell r="D167">
            <v>0</v>
          </cell>
          <cell r="F167">
            <v>10412156.189999999</v>
          </cell>
          <cell r="G167">
            <v>10412156.189999999</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view="pageBreakPreview" topLeftCell="B6" zoomScale="80" zoomScaleNormal="115" zoomScaleSheetLayoutView="80" workbookViewId="0">
      <selection activeCell="D40" sqref="D40"/>
    </sheetView>
  </sheetViews>
  <sheetFormatPr baseColWidth="10" defaultColWidth="11.42578125" defaultRowHeight="15" customHeight="1" x14ac:dyDescent="0.3"/>
  <cols>
    <col min="1" max="1" width="0.5703125" style="3" hidden="1" customWidth="1"/>
    <col min="2" max="2" width="3.28515625" style="3" customWidth="1"/>
    <col min="3" max="3" width="14.42578125" style="3" customWidth="1"/>
    <col min="4" max="4" width="71.42578125" style="3" customWidth="1"/>
    <col min="5" max="5" width="3" style="3" customWidth="1"/>
    <col min="6" max="16384" width="11.42578125" style="3"/>
  </cols>
  <sheetData>
    <row r="1" spans="1:4" ht="15" hidden="1" customHeight="1" x14ac:dyDescent="0.3">
      <c r="A1" s="878" t="s">
        <v>0</v>
      </c>
      <c r="B1" s="878"/>
      <c r="C1" s="878"/>
      <c r="D1" s="878"/>
    </row>
    <row r="2" spans="1:4" ht="15" hidden="1" customHeight="1" x14ac:dyDescent="0.3">
      <c r="A2" s="878" t="s">
        <v>1</v>
      </c>
      <c r="B2" s="878"/>
      <c r="C2" s="878"/>
      <c r="D2" s="878"/>
    </row>
    <row r="3" spans="1:4" ht="15" hidden="1" customHeight="1" x14ac:dyDescent="0.3">
      <c r="A3" s="879" t="s">
        <v>2</v>
      </c>
      <c r="B3" s="879"/>
      <c r="C3" s="879"/>
      <c r="D3" s="879"/>
    </row>
    <row r="4" spans="1:4" ht="15" hidden="1" customHeight="1" x14ac:dyDescent="0.3">
      <c r="A4" s="879" t="s">
        <v>3</v>
      </c>
      <c r="B4" s="879"/>
      <c r="C4" s="879"/>
      <c r="D4" s="879"/>
    </row>
    <row r="5" spans="1:4" ht="15" hidden="1" customHeight="1" x14ac:dyDescent="0.3">
      <c r="A5" s="879" t="s">
        <v>4</v>
      </c>
      <c r="B5" s="879"/>
      <c r="C5" s="879"/>
      <c r="D5" s="879"/>
    </row>
    <row r="6" spans="1:4" ht="27.75" customHeight="1" x14ac:dyDescent="0.4">
      <c r="A6" s="702"/>
      <c r="B6" s="702"/>
      <c r="C6" s="34" t="s">
        <v>5</v>
      </c>
      <c r="D6" s="702"/>
    </row>
    <row r="7" spans="1:4" ht="9" customHeight="1" x14ac:dyDescent="0.3">
      <c r="A7" s="702"/>
      <c r="B7" s="702"/>
      <c r="C7" s="702"/>
      <c r="D7" s="702"/>
    </row>
    <row r="8" spans="1:4" ht="15" customHeight="1" x14ac:dyDescent="0.3">
      <c r="B8" s="35"/>
      <c r="C8" s="36" t="s">
        <v>6</v>
      </c>
      <c r="D8" s="35"/>
    </row>
    <row r="9" spans="1:4" ht="9.75" customHeight="1" x14ac:dyDescent="0.3">
      <c r="D9" s="29"/>
    </row>
    <row r="10" spans="1:4" s="25" customFormat="1" ht="15" customHeight="1" x14ac:dyDescent="0.3">
      <c r="B10" s="37" t="s">
        <v>7</v>
      </c>
      <c r="C10" s="38" t="s">
        <v>8</v>
      </c>
      <c r="D10" s="37" t="s">
        <v>9</v>
      </c>
    </row>
    <row r="11" spans="1:4" s="25" customFormat="1" ht="6.75" customHeight="1" x14ac:dyDescent="0.3">
      <c r="B11" s="39"/>
      <c r="C11" s="39"/>
      <c r="D11" s="39"/>
    </row>
    <row r="12" spans="1:4" s="25" customFormat="1" ht="15" customHeight="1" x14ac:dyDescent="0.3">
      <c r="B12" s="709"/>
      <c r="C12" s="880" t="s">
        <v>10</v>
      </c>
      <c r="D12" s="880"/>
    </row>
    <row r="13" spans="1:4" ht="15" customHeight="1" x14ac:dyDescent="0.3">
      <c r="B13" s="42">
        <v>1</v>
      </c>
      <c r="C13" s="43" t="s">
        <v>11</v>
      </c>
      <c r="D13" s="44" t="s">
        <v>12</v>
      </c>
    </row>
    <row r="14" spans="1:4" ht="15" customHeight="1" x14ac:dyDescent="0.3">
      <c r="B14" s="42">
        <v>2</v>
      </c>
      <c r="C14" s="43" t="s">
        <v>13</v>
      </c>
      <c r="D14" s="44" t="s">
        <v>14</v>
      </c>
    </row>
    <row r="15" spans="1:4" ht="15" customHeight="1" x14ac:dyDescent="0.3">
      <c r="B15" s="42">
        <v>3</v>
      </c>
      <c r="C15" s="43" t="s">
        <v>15</v>
      </c>
      <c r="D15" s="44" t="s">
        <v>16</v>
      </c>
    </row>
    <row r="16" spans="1:4" ht="15" customHeight="1" x14ac:dyDescent="0.3">
      <c r="B16" s="42">
        <v>4</v>
      </c>
      <c r="C16" s="43" t="s">
        <v>17</v>
      </c>
      <c r="D16" s="44" t="s">
        <v>18</v>
      </c>
    </row>
    <row r="17" spans="2:4" ht="15" customHeight="1" x14ac:dyDescent="0.3">
      <c r="B17" s="42">
        <v>5</v>
      </c>
      <c r="C17" s="43" t="s">
        <v>19</v>
      </c>
      <c r="D17" s="44" t="s">
        <v>20</v>
      </c>
    </row>
    <row r="18" spans="2:4" ht="15" customHeight="1" x14ac:dyDescent="0.3">
      <c r="B18" s="42">
        <v>6</v>
      </c>
      <c r="C18" s="43" t="s">
        <v>21</v>
      </c>
      <c r="D18" s="44" t="s">
        <v>22</v>
      </c>
    </row>
    <row r="19" spans="2:4" ht="15" customHeight="1" x14ac:dyDescent="0.3">
      <c r="B19" s="42">
        <v>7</v>
      </c>
      <c r="C19" s="43" t="s">
        <v>23</v>
      </c>
      <c r="D19" s="44" t="s">
        <v>24</v>
      </c>
    </row>
    <row r="20" spans="2:4" ht="15" customHeight="1" x14ac:dyDescent="0.3">
      <c r="B20" s="42">
        <v>8</v>
      </c>
      <c r="C20" s="43" t="s">
        <v>25</v>
      </c>
      <c r="D20" s="44" t="s">
        <v>26</v>
      </c>
    </row>
    <row r="21" spans="2:4" ht="15" customHeight="1" x14ac:dyDescent="0.3">
      <c r="B21" s="42">
        <v>9</v>
      </c>
      <c r="C21" s="43" t="s">
        <v>27</v>
      </c>
      <c r="D21" s="44" t="s">
        <v>28</v>
      </c>
    </row>
    <row r="22" spans="2:4" ht="6.75" customHeight="1" x14ac:dyDescent="0.3">
      <c r="B22" s="39"/>
      <c r="C22" s="39"/>
      <c r="D22" s="39"/>
    </row>
    <row r="23" spans="2:4" s="25" customFormat="1" ht="15" customHeight="1" x14ac:dyDescent="0.3">
      <c r="B23" s="53"/>
      <c r="C23" s="877" t="s">
        <v>29</v>
      </c>
      <c r="D23" s="877"/>
    </row>
    <row r="24" spans="2:4" ht="15" customHeight="1" x14ac:dyDescent="0.3">
      <c r="B24" s="42">
        <v>10</v>
      </c>
      <c r="C24" s="43" t="s">
        <v>30</v>
      </c>
      <c r="D24" s="44" t="s">
        <v>31</v>
      </c>
    </row>
    <row r="25" spans="2:4" ht="15" customHeight="1" x14ac:dyDescent="0.3">
      <c r="B25" s="45">
        <v>11</v>
      </c>
      <c r="C25" s="43" t="s">
        <v>32</v>
      </c>
      <c r="D25" s="46" t="s">
        <v>33</v>
      </c>
    </row>
    <row r="26" spans="2:4" ht="25.5" x14ac:dyDescent="0.3">
      <c r="B26" s="50">
        <v>12</v>
      </c>
      <c r="C26" s="51" t="s">
        <v>34</v>
      </c>
      <c r="D26" s="61" t="s">
        <v>35</v>
      </c>
    </row>
    <row r="27" spans="2:4" ht="25.5" x14ac:dyDescent="0.3">
      <c r="B27" s="50">
        <v>13</v>
      </c>
      <c r="C27" s="51" t="s">
        <v>36</v>
      </c>
      <c r="D27" s="61" t="s">
        <v>37</v>
      </c>
    </row>
    <row r="28" spans="2:4" ht="27" x14ac:dyDescent="0.3">
      <c r="B28" s="50">
        <v>14</v>
      </c>
      <c r="C28" s="51" t="s">
        <v>38</v>
      </c>
      <c r="D28" s="62" t="s">
        <v>39</v>
      </c>
    </row>
    <row r="29" spans="2:4" ht="27" x14ac:dyDescent="0.3">
      <c r="B29" s="50">
        <v>15</v>
      </c>
      <c r="C29" s="51" t="s">
        <v>40</v>
      </c>
      <c r="D29" s="62" t="s">
        <v>41</v>
      </c>
    </row>
    <row r="30" spans="2:4" ht="27" x14ac:dyDescent="0.3">
      <c r="B30" s="63">
        <v>16</v>
      </c>
      <c r="C30" s="51" t="s">
        <v>42</v>
      </c>
      <c r="D30" s="62" t="s">
        <v>43</v>
      </c>
    </row>
    <row r="31" spans="2:4" ht="27" x14ac:dyDescent="0.3">
      <c r="B31" s="63">
        <v>17</v>
      </c>
      <c r="C31" s="51" t="s">
        <v>44</v>
      </c>
      <c r="D31" s="62" t="s">
        <v>45</v>
      </c>
    </row>
    <row r="32" spans="2:4" ht="15" customHeight="1" x14ac:dyDescent="0.3">
      <c r="B32" s="48">
        <v>18</v>
      </c>
      <c r="C32" s="47" t="s">
        <v>46</v>
      </c>
      <c r="D32" s="49" t="s">
        <v>47</v>
      </c>
    </row>
    <row r="33" spans="2:4" ht="25.5" x14ac:dyDescent="0.3">
      <c r="B33" s="63">
        <v>19</v>
      </c>
      <c r="C33" s="51" t="s">
        <v>48</v>
      </c>
      <c r="D33" s="61" t="s">
        <v>49</v>
      </c>
    </row>
    <row r="34" spans="2:4" ht="15" customHeight="1" x14ac:dyDescent="0.3">
      <c r="B34" s="42">
        <v>20</v>
      </c>
      <c r="C34" s="47" t="s">
        <v>50</v>
      </c>
      <c r="D34" s="46" t="s">
        <v>51</v>
      </c>
    </row>
    <row r="35" spans="2:4" ht="15" customHeight="1" x14ac:dyDescent="0.3">
      <c r="B35" s="42">
        <v>21</v>
      </c>
      <c r="C35" s="43" t="s">
        <v>52</v>
      </c>
      <c r="D35" s="44" t="s">
        <v>53</v>
      </c>
    </row>
    <row r="36" spans="2:4" ht="7.5" customHeight="1" x14ac:dyDescent="0.3">
      <c r="B36" s="58"/>
      <c r="C36" s="59"/>
      <c r="D36" s="59"/>
    </row>
    <row r="37" spans="2:4" s="25" customFormat="1" ht="15" customHeight="1" x14ac:dyDescent="0.3">
      <c r="B37" s="53"/>
      <c r="C37" s="877" t="s">
        <v>54</v>
      </c>
      <c r="D37" s="877"/>
    </row>
    <row r="38" spans="2:4" ht="16.5" x14ac:dyDescent="0.3">
      <c r="B38" s="50">
        <v>22</v>
      </c>
      <c r="C38" s="51" t="s">
        <v>55</v>
      </c>
      <c r="D38" s="52" t="s">
        <v>56</v>
      </c>
    </row>
    <row r="39" spans="2:4" ht="43.5" customHeight="1" x14ac:dyDescent="0.3">
      <c r="B39" s="50">
        <v>23</v>
      </c>
      <c r="C39" s="51" t="s">
        <v>57</v>
      </c>
      <c r="D39" s="52" t="s">
        <v>58</v>
      </c>
    </row>
    <row r="40" spans="2:4" ht="16.5" x14ac:dyDescent="0.3">
      <c r="B40" s="50">
        <v>24</v>
      </c>
      <c r="C40" s="51" t="s">
        <v>59</v>
      </c>
      <c r="D40" s="52" t="s">
        <v>60</v>
      </c>
    </row>
    <row r="41" spans="2:4" ht="15" customHeight="1" x14ac:dyDescent="0.3">
      <c r="B41" s="42">
        <v>25</v>
      </c>
      <c r="C41" s="43" t="s">
        <v>61</v>
      </c>
      <c r="D41" s="44" t="s">
        <v>62</v>
      </c>
    </row>
    <row r="42" spans="2:4" ht="7.5" customHeight="1" x14ac:dyDescent="0.3">
      <c r="B42" s="58"/>
      <c r="C42" s="59"/>
      <c r="D42" s="59"/>
    </row>
    <row r="43" spans="2:4" s="25" customFormat="1" ht="15" customHeight="1" x14ac:dyDescent="0.3">
      <c r="B43" s="53"/>
      <c r="C43" s="877" t="s">
        <v>63</v>
      </c>
      <c r="D43" s="877"/>
    </row>
    <row r="44" spans="2:4" s="25" customFormat="1" ht="15" customHeight="1" x14ac:dyDescent="0.3">
      <c r="B44" s="53"/>
      <c r="C44" s="54" t="s">
        <v>64</v>
      </c>
      <c r="D44" s="54"/>
    </row>
    <row r="45" spans="2:4" ht="15" customHeight="1" x14ac:dyDescent="0.3">
      <c r="B45" s="55"/>
      <c r="C45" s="56" t="s">
        <v>65</v>
      </c>
      <c r="D45" s="55"/>
    </row>
    <row r="46" spans="2:4" ht="15" customHeight="1" x14ac:dyDescent="0.3">
      <c r="B46" s="42">
        <v>26</v>
      </c>
      <c r="C46" s="43" t="s">
        <v>66</v>
      </c>
      <c r="D46" s="44" t="s">
        <v>67</v>
      </c>
    </row>
    <row r="47" spans="2:4" ht="15" customHeight="1" x14ac:dyDescent="0.3">
      <c r="B47" s="42">
        <v>27</v>
      </c>
      <c r="C47" s="47" t="s">
        <v>68</v>
      </c>
      <c r="D47" s="46" t="s">
        <v>69</v>
      </c>
    </row>
    <row r="48" spans="2:4" ht="15" customHeight="1" x14ac:dyDescent="0.3">
      <c r="B48" s="42">
        <v>28</v>
      </c>
      <c r="C48" s="43" t="s">
        <v>70</v>
      </c>
      <c r="D48" s="44" t="s">
        <v>71</v>
      </c>
    </row>
    <row r="49" spans="2:4" ht="15" customHeight="1" x14ac:dyDescent="0.3">
      <c r="B49" s="42">
        <v>29</v>
      </c>
      <c r="C49" s="43" t="s">
        <v>72</v>
      </c>
      <c r="D49" s="44" t="s">
        <v>73</v>
      </c>
    </row>
    <row r="50" spans="2:4" ht="15" customHeight="1" x14ac:dyDescent="0.3">
      <c r="B50" s="42">
        <v>30</v>
      </c>
      <c r="C50" s="43" t="s">
        <v>74</v>
      </c>
      <c r="D50" s="44" t="s">
        <v>75</v>
      </c>
    </row>
  </sheetData>
  <mergeCells count="9">
    <mergeCell ref="C23:D23"/>
    <mergeCell ref="C37:D37"/>
    <mergeCell ref="C43:D43"/>
    <mergeCell ref="A1:D1"/>
    <mergeCell ref="A2:D2"/>
    <mergeCell ref="A3:D3"/>
    <mergeCell ref="A4:D4"/>
    <mergeCell ref="A5:D5"/>
    <mergeCell ref="C12:D12"/>
  </mergeCells>
  <printOptions horizontalCentered="1"/>
  <pageMargins left="0.39370078740157483" right="0.39370078740157483" top="0.51181102362204722" bottom="0.39370078740157483" header="0.31496062992125984" footer="0.31496062992125984"/>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7"/>
  </sheetPr>
  <dimension ref="A1:J50"/>
  <sheetViews>
    <sheetView zoomScaleNormal="100" workbookViewId="0">
      <selection activeCell="C5" sqref="C5:H5"/>
    </sheetView>
  </sheetViews>
  <sheetFormatPr baseColWidth="10" defaultColWidth="11.42578125" defaultRowHeight="16.5" x14ac:dyDescent="0.3"/>
  <cols>
    <col min="1" max="1" width="3.5703125" style="3" customWidth="1"/>
    <col min="2" max="8" width="11.42578125" style="3"/>
    <col min="9" max="9" width="12.42578125" style="3" customWidth="1"/>
    <col min="10" max="16384" width="11.42578125" style="3"/>
  </cols>
  <sheetData>
    <row r="1" spans="1:10" x14ac:dyDescent="0.3">
      <c r="A1" s="918" t="s">
        <v>76</v>
      </c>
      <c r="B1" s="918"/>
      <c r="C1" s="918"/>
      <c r="D1" s="918"/>
      <c r="E1" s="918"/>
      <c r="F1" s="918"/>
      <c r="G1" s="918"/>
      <c r="H1" s="918"/>
      <c r="I1" s="918"/>
    </row>
    <row r="2" spans="1:10" x14ac:dyDescent="0.3">
      <c r="A2" s="920" t="s">
        <v>1627</v>
      </c>
      <c r="B2" s="920"/>
      <c r="C2" s="920"/>
      <c r="D2" s="920"/>
      <c r="E2" s="920"/>
      <c r="F2" s="920"/>
      <c r="G2" s="920"/>
      <c r="H2" s="920"/>
      <c r="I2" s="920"/>
    </row>
    <row r="3" spans="1:10" x14ac:dyDescent="0.3">
      <c r="A3" s="919" t="s">
        <v>593</v>
      </c>
      <c r="B3" s="919"/>
      <c r="C3" s="919"/>
      <c r="D3" s="919"/>
      <c r="E3" s="919"/>
      <c r="F3" s="919"/>
      <c r="G3" s="919"/>
      <c r="H3" s="919"/>
      <c r="I3" s="919"/>
    </row>
    <row r="4" spans="1:10" x14ac:dyDescent="0.3">
      <c r="A4" s="919" t="s">
        <v>588</v>
      </c>
      <c r="B4" s="919"/>
      <c r="C4" s="919"/>
      <c r="D4" s="919"/>
      <c r="E4" s="919"/>
      <c r="F4" s="919"/>
      <c r="G4" s="919"/>
      <c r="H4" s="919"/>
      <c r="I4" s="919"/>
    </row>
    <row r="5" spans="1:10" ht="18" customHeight="1" thickBot="1" x14ac:dyDescent="0.35">
      <c r="A5" s="5"/>
      <c r="B5" s="5"/>
      <c r="C5" s="921" t="s">
        <v>78</v>
      </c>
      <c r="D5" s="921"/>
      <c r="E5" s="921"/>
      <c r="F5" s="921"/>
      <c r="G5" s="921"/>
      <c r="H5" s="921"/>
      <c r="I5" s="4" t="s">
        <v>79</v>
      </c>
      <c r="J5" s="3" t="s">
        <v>589</v>
      </c>
    </row>
    <row r="6" spans="1:10" x14ac:dyDescent="0.3">
      <c r="A6" s="8"/>
      <c r="B6" s="9"/>
      <c r="C6" s="9"/>
      <c r="D6" s="9"/>
      <c r="E6" s="9"/>
      <c r="F6" s="9"/>
      <c r="G6" s="9"/>
      <c r="H6" s="9"/>
      <c r="I6" s="9"/>
      <c r="J6" s="10"/>
    </row>
    <row r="7" spans="1:10" x14ac:dyDescent="0.3">
      <c r="A7" s="11"/>
      <c r="B7" s="12"/>
      <c r="C7" s="12"/>
      <c r="D7" s="12"/>
      <c r="E7" s="12"/>
      <c r="F7" s="12"/>
      <c r="G7" s="12"/>
      <c r="H7" s="12"/>
      <c r="I7" s="12"/>
      <c r="J7" s="13"/>
    </row>
    <row r="8" spans="1:10" x14ac:dyDescent="0.3">
      <c r="A8" s="11"/>
      <c r="B8" s="12"/>
      <c r="C8" s="12"/>
      <c r="D8" s="12"/>
      <c r="E8" s="12"/>
      <c r="F8" s="12"/>
      <c r="G8" s="12"/>
      <c r="H8" s="12"/>
      <c r="I8" s="12"/>
      <c r="J8" s="13"/>
    </row>
    <row r="9" spans="1:10" ht="6" customHeight="1" x14ac:dyDescent="0.3">
      <c r="A9" s="11"/>
      <c r="B9" s="12"/>
      <c r="C9" s="12"/>
      <c r="D9" s="12"/>
      <c r="E9" s="12"/>
      <c r="F9" s="12"/>
      <c r="G9" s="12"/>
      <c r="H9" s="12"/>
      <c r="I9" s="12"/>
      <c r="J9" s="13"/>
    </row>
    <row r="10" spans="1:10" ht="9" customHeight="1" x14ac:dyDescent="0.3">
      <c r="A10" s="11"/>
      <c r="B10" s="12"/>
      <c r="C10" s="12"/>
      <c r="D10" s="12"/>
      <c r="E10" s="12"/>
      <c r="F10" s="12"/>
      <c r="G10" s="12"/>
      <c r="H10" s="12"/>
      <c r="I10" s="12"/>
      <c r="J10" s="13"/>
    </row>
    <row r="11" spans="1:10" x14ac:dyDescent="0.3">
      <c r="A11" s="11"/>
      <c r="B11" s="12"/>
      <c r="C11" s="922"/>
      <c r="D11" s="922"/>
      <c r="E11" s="922"/>
      <c r="F11" s="922"/>
      <c r="G11" s="922"/>
      <c r="H11" s="922"/>
      <c r="I11" s="12"/>
      <c r="J11" s="13"/>
    </row>
    <row r="12" spans="1:10" x14ac:dyDescent="0.3">
      <c r="A12" s="11"/>
      <c r="B12" s="12"/>
      <c r="C12" s="922"/>
      <c r="D12" s="922"/>
      <c r="E12" s="922"/>
      <c r="F12" s="922"/>
      <c r="G12" s="922"/>
      <c r="H12" s="922"/>
      <c r="I12" s="12"/>
      <c r="J12" s="13"/>
    </row>
    <row r="13" spans="1:10" x14ac:dyDescent="0.3">
      <c r="A13" s="11"/>
      <c r="B13" s="12"/>
      <c r="C13" s="922"/>
      <c r="D13" s="922"/>
      <c r="E13" s="922"/>
      <c r="F13" s="922"/>
      <c r="G13" s="922"/>
      <c r="H13" s="922"/>
      <c r="I13" s="12"/>
      <c r="J13" s="13"/>
    </row>
    <row r="14" spans="1:10" x14ac:dyDescent="0.3">
      <c r="A14" s="11"/>
      <c r="B14" s="12"/>
      <c r="C14" s="922"/>
      <c r="D14" s="922"/>
      <c r="E14" s="922"/>
      <c r="F14" s="922"/>
      <c r="G14" s="922"/>
      <c r="H14" s="922"/>
      <c r="I14" s="12"/>
      <c r="J14" s="13"/>
    </row>
    <row r="15" spans="1:10" x14ac:dyDescent="0.3">
      <c r="A15" s="11"/>
      <c r="B15" s="12"/>
      <c r="C15" s="922"/>
      <c r="D15" s="922"/>
      <c r="E15" s="922"/>
      <c r="F15" s="922"/>
      <c r="G15" s="922"/>
      <c r="H15" s="922"/>
      <c r="I15" s="12"/>
      <c r="J15" s="13"/>
    </row>
    <row r="16" spans="1:10" x14ac:dyDescent="0.3">
      <c r="A16" s="11"/>
      <c r="B16" s="12"/>
      <c r="C16" s="922"/>
      <c r="D16" s="922"/>
      <c r="E16" s="922"/>
      <c r="F16" s="922"/>
      <c r="G16" s="922"/>
      <c r="H16" s="922"/>
      <c r="I16" s="12"/>
      <c r="J16" s="13"/>
    </row>
    <row r="17" spans="1:10" x14ac:dyDescent="0.3">
      <c r="A17" s="11"/>
      <c r="B17" s="12"/>
      <c r="C17" s="922"/>
      <c r="D17" s="922"/>
      <c r="E17" s="922"/>
      <c r="F17" s="922"/>
      <c r="G17" s="922"/>
      <c r="H17" s="922"/>
      <c r="I17" s="12"/>
      <c r="J17" s="13"/>
    </row>
    <row r="18" spans="1:10" x14ac:dyDescent="0.3">
      <c r="A18" s="11"/>
      <c r="B18" s="12"/>
      <c r="C18" s="12"/>
      <c r="D18" s="12"/>
      <c r="E18" s="12"/>
      <c r="F18" s="12"/>
      <c r="G18" s="12"/>
      <c r="H18" s="12"/>
      <c r="I18" s="12"/>
      <c r="J18" s="13"/>
    </row>
    <row r="19" spans="1:10" x14ac:dyDescent="0.3">
      <c r="A19" s="11"/>
      <c r="B19" s="12"/>
      <c r="C19" s="19"/>
      <c r="D19" s="12"/>
      <c r="E19" s="12"/>
      <c r="F19" s="12"/>
      <c r="G19" s="12"/>
      <c r="H19" s="12"/>
      <c r="I19" s="12"/>
      <c r="J19" s="13"/>
    </row>
    <row r="20" spans="1:10" ht="9.75" customHeight="1" x14ac:dyDescent="0.3">
      <c r="A20" s="11"/>
      <c r="B20" s="12"/>
      <c r="C20" s="19"/>
      <c r="D20" s="12"/>
      <c r="E20" s="12"/>
      <c r="F20" s="12"/>
      <c r="G20" s="12"/>
      <c r="H20" s="12"/>
      <c r="I20" s="12"/>
      <c r="J20" s="13"/>
    </row>
    <row r="21" spans="1:10" x14ac:dyDescent="0.3">
      <c r="A21" s="11"/>
      <c r="B21" s="12"/>
      <c r="C21" s="873"/>
      <c r="D21" s="20"/>
      <c r="E21" s="20"/>
      <c r="F21" s="20"/>
      <c r="G21" s="20"/>
      <c r="H21" s="20"/>
      <c r="I21" s="12"/>
      <c r="J21" s="13"/>
    </row>
    <row r="22" spans="1:10" x14ac:dyDescent="0.3">
      <c r="A22" s="11"/>
      <c r="B22" s="12"/>
      <c r="C22" s="873"/>
      <c r="D22" s="20"/>
      <c r="E22" s="20"/>
      <c r="F22" s="20"/>
      <c r="G22" s="20"/>
      <c r="H22" s="20"/>
      <c r="I22" s="12"/>
      <c r="J22" s="13"/>
    </row>
    <row r="23" spans="1:10" x14ac:dyDescent="0.3">
      <c r="A23" s="11"/>
      <c r="B23" s="12"/>
      <c r="C23" s="873"/>
      <c r="D23" s="20"/>
      <c r="E23" s="20"/>
      <c r="F23" s="20"/>
      <c r="G23" s="20"/>
      <c r="H23" s="20"/>
      <c r="I23" s="12"/>
      <c r="J23" s="13"/>
    </row>
    <row r="24" spans="1:10" x14ac:dyDescent="0.3">
      <c r="A24" s="11"/>
      <c r="B24" s="12"/>
      <c r="C24" s="873"/>
      <c r="D24" s="20"/>
      <c r="E24" s="20"/>
      <c r="F24" s="20"/>
      <c r="G24" s="20"/>
      <c r="H24" s="20"/>
      <c r="I24" s="12"/>
      <c r="J24" s="13"/>
    </row>
    <row r="25" spans="1:10" x14ac:dyDescent="0.3">
      <c r="A25" s="11"/>
      <c r="B25" s="12"/>
      <c r="C25" s="12"/>
      <c r="D25" s="12"/>
      <c r="E25" s="12"/>
      <c r="F25" s="12"/>
      <c r="G25" s="12"/>
      <c r="H25" s="12"/>
      <c r="I25" s="12"/>
      <c r="J25" s="13"/>
    </row>
    <row r="26" spans="1:10" x14ac:dyDescent="0.3">
      <c r="A26" s="21"/>
      <c r="B26" s="12"/>
      <c r="C26" s="12"/>
      <c r="D26" s="12"/>
      <c r="E26" s="12"/>
      <c r="F26" s="12"/>
      <c r="G26" s="12"/>
      <c r="H26" s="12"/>
      <c r="I26" s="12"/>
      <c r="J26" s="13"/>
    </row>
    <row r="27" spans="1:10" x14ac:dyDescent="0.3">
      <c r="A27" s="21"/>
      <c r="B27" s="12"/>
      <c r="C27" s="12"/>
      <c r="D27" s="12"/>
      <c r="E27" s="12"/>
      <c r="F27" s="12"/>
      <c r="G27" s="12"/>
      <c r="H27" s="12"/>
      <c r="I27" s="12"/>
      <c r="J27" s="13"/>
    </row>
    <row r="28" spans="1:10" x14ac:dyDescent="0.3">
      <c r="A28" s="21"/>
      <c r="B28" s="12"/>
      <c r="C28" s="12"/>
      <c r="D28" s="12"/>
      <c r="E28" s="12"/>
      <c r="F28" s="12"/>
      <c r="G28" s="12"/>
      <c r="H28" s="12"/>
      <c r="I28" s="12"/>
      <c r="J28" s="13"/>
    </row>
    <row r="29" spans="1:10" x14ac:dyDescent="0.3">
      <c r="A29" s="21"/>
      <c r="B29" s="22"/>
      <c r="C29" s="12"/>
      <c r="D29" s="12"/>
      <c r="E29" s="12"/>
      <c r="F29" s="12"/>
      <c r="G29" s="12"/>
      <c r="H29" s="12"/>
      <c r="I29" s="12"/>
      <c r="J29" s="13"/>
    </row>
    <row r="30" spans="1:10" x14ac:dyDescent="0.3">
      <c r="A30" s="21"/>
      <c r="B30" s="22"/>
      <c r="C30" s="12"/>
      <c r="D30" s="12"/>
      <c r="E30" s="12"/>
      <c r="F30" s="12"/>
      <c r="G30" s="12"/>
      <c r="H30" s="12"/>
      <c r="I30" s="12"/>
      <c r="J30" s="13"/>
    </row>
    <row r="31" spans="1:10" x14ac:dyDescent="0.3">
      <c r="A31" s="21"/>
      <c r="B31" s="22"/>
      <c r="C31" s="12"/>
      <c r="D31" s="12"/>
      <c r="E31" s="12"/>
      <c r="F31" s="12"/>
      <c r="G31" s="12"/>
      <c r="H31" s="12"/>
      <c r="I31" s="12"/>
      <c r="J31" s="13"/>
    </row>
    <row r="32" spans="1:10" x14ac:dyDescent="0.3">
      <c r="A32" s="21"/>
      <c r="B32" s="22"/>
      <c r="C32" s="12"/>
      <c r="D32" s="12"/>
      <c r="E32" s="12"/>
      <c r="F32" s="12"/>
      <c r="G32" s="12"/>
      <c r="H32" s="12"/>
      <c r="I32" s="12"/>
      <c r="J32" s="13"/>
    </row>
    <row r="33" spans="1:10" x14ac:dyDescent="0.3">
      <c r="A33" s="21"/>
      <c r="B33" s="22"/>
      <c r="C33" s="12"/>
      <c r="D33" s="12"/>
      <c r="E33" s="12"/>
      <c r="F33" s="12"/>
      <c r="G33" s="12"/>
      <c r="H33" s="12"/>
      <c r="I33" s="12"/>
      <c r="J33" s="13"/>
    </row>
    <row r="34" spans="1:10" x14ac:dyDescent="0.3">
      <c r="A34" s="21"/>
      <c r="B34" s="22"/>
      <c r="C34" s="12"/>
      <c r="D34" s="12"/>
      <c r="E34" s="12"/>
      <c r="F34" s="12"/>
      <c r="G34" s="12"/>
      <c r="H34" s="12"/>
      <c r="I34" s="12"/>
      <c r="J34" s="13"/>
    </row>
    <row r="35" spans="1:10" x14ac:dyDescent="0.3">
      <c r="A35" s="21"/>
      <c r="B35" s="22"/>
      <c r="C35" s="12"/>
      <c r="D35" s="12"/>
      <c r="E35" s="12"/>
      <c r="F35" s="12"/>
      <c r="G35" s="12"/>
      <c r="H35" s="12"/>
      <c r="I35" s="12"/>
      <c r="J35" s="13"/>
    </row>
    <row r="36" spans="1:10" x14ac:dyDescent="0.3">
      <c r="A36" s="21"/>
      <c r="B36" s="22"/>
      <c r="C36" s="12"/>
      <c r="D36" s="12"/>
      <c r="E36" s="12"/>
      <c r="F36" s="12"/>
      <c r="G36" s="12"/>
      <c r="H36" s="12"/>
      <c r="I36" s="12"/>
      <c r="J36" s="13"/>
    </row>
    <row r="37" spans="1:10" x14ac:dyDescent="0.3">
      <c r="A37" s="21"/>
      <c r="B37" s="22"/>
      <c r="C37" s="12"/>
      <c r="D37" s="12"/>
      <c r="E37" s="12"/>
      <c r="F37" s="12"/>
      <c r="G37" s="12"/>
      <c r="H37" s="12"/>
      <c r="I37" s="12"/>
      <c r="J37" s="13"/>
    </row>
    <row r="38" spans="1:10" x14ac:dyDescent="0.3">
      <c r="A38" s="21"/>
      <c r="B38" s="22"/>
      <c r="C38" s="12"/>
      <c r="D38" s="12"/>
      <c r="E38" s="12"/>
      <c r="F38" s="12"/>
      <c r="G38" s="12"/>
      <c r="H38" s="12"/>
      <c r="I38" s="12"/>
      <c r="J38" s="13"/>
    </row>
    <row r="39" spans="1:10" x14ac:dyDescent="0.3">
      <c r="A39" s="21"/>
      <c r="B39" s="22"/>
      <c r="C39" s="12"/>
      <c r="D39" s="12"/>
      <c r="E39" s="12"/>
      <c r="F39" s="12"/>
      <c r="G39" s="12"/>
      <c r="H39" s="12"/>
      <c r="I39" s="12"/>
      <c r="J39" s="13"/>
    </row>
    <row r="40" spans="1:10" x14ac:dyDescent="0.3">
      <c r="A40" s="21"/>
      <c r="B40" s="22"/>
      <c r="C40" s="12"/>
      <c r="D40" s="12"/>
      <c r="E40" s="12"/>
      <c r="F40" s="12"/>
      <c r="G40" s="12"/>
      <c r="H40" s="12"/>
      <c r="I40" s="12"/>
      <c r="J40" s="13"/>
    </row>
    <row r="41" spans="1:10" x14ac:dyDescent="0.3">
      <c r="A41" s="21"/>
      <c r="B41" s="22"/>
      <c r="C41" s="12"/>
      <c r="D41" s="12"/>
      <c r="E41" s="12"/>
      <c r="F41" s="12"/>
      <c r="G41" s="12"/>
      <c r="H41" s="12"/>
      <c r="I41" s="12"/>
      <c r="J41" s="13"/>
    </row>
    <row r="42" spans="1:10" x14ac:dyDescent="0.3">
      <c r="A42" s="21"/>
      <c r="B42" s="22"/>
      <c r="C42" s="12"/>
      <c r="D42" s="12"/>
      <c r="E42" s="12"/>
      <c r="F42" s="12"/>
      <c r="G42" s="12"/>
      <c r="H42" s="12"/>
      <c r="I42" s="12"/>
      <c r="J42" s="13"/>
    </row>
    <row r="43" spans="1:10" x14ac:dyDescent="0.3">
      <c r="A43" s="11"/>
      <c r="B43" s="12"/>
      <c r="C43" s="12"/>
      <c r="D43" s="12"/>
      <c r="E43" s="12"/>
      <c r="F43" s="12"/>
      <c r="G43" s="12"/>
      <c r="H43" s="12"/>
      <c r="I43" s="12"/>
      <c r="J43" s="13"/>
    </row>
    <row r="44" spans="1:10" x14ac:dyDescent="0.3">
      <c r="A44" s="11"/>
      <c r="B44" s="12"/>
      <c r="C44" s="12"/>
      <c r="D44" s="12"/>
      <c r="E44" s="12"/>
      <c r="F44" s="12"/>
      <c r="G44" s="12"/>
      <c r="H44" s="12"/>
      <c r="I44" s="12"/>
      <c r="J44" s="13"/>
    </row>
    <row r="45" spans="1:10" x14ac:dyDescent="0.3">
      <c r="A45" s="11"/>
      <c r="B45" s="12"/>
      <c r="C45" s="12"/>
      <c r="D45" s="12"/>
      <c r="E45" s="12"/>
      <c r="F45" s="12"/>
      <c r="G45" s="12"/>
      <c r="H45" s="12"/>
      <c r="I45" s="12"/>
      <c r="J45" s="13"/>
    </row>
    <row r="46" spans="1:10" x14ac:dyDescent="0.3">
      <c r="A46" s="11"/>
      <c r="B46" s="12"/>
      <c r="C46" s="12"/>
      <c r="D46" s="12"/>
      <c r="E46" s="12"/>
      <c r="F46" s="12"/>
      <c r="G46" s="12"/>
      <c r="H46" s="12"/>
      <c r="I46" s="12"/>
      <c r="J46" s="13"/>
    </row>
    <row r="47" spans="1:10" x14ac:dyDescent="0.3">
      <c r="A47" s="11"/>
      <c r="B47" s="12"/>
      <c r="C47" s="12"/>
      <c r="D47" s="12"/>
      <c r="E47" s="12"/>
      <c r="F47" s="12"/>
      <c r="G47" s="12"/>
      <c r="H47" s="12"/>
      <c r="I47" s="12"/>
      <c r="J47" s="13"/>
    </row>
    <row r="48" spans="1:10" x14ac:dyDescent="0.3">
      <c r="A48" s="11"/>
      <c r="B48" s="12"/>
      <c r="C48" s="12"/>
      <c r="D48" s="12"/>
      <c r="E48" s="12"/>
      <c r="F48" s="12"/>
      <c r="G48" s="12"/>
      <c r="H48" s="12"/>
      <c r="I48" s="12"/>
      <c r="J48" s="13"/>
    </row>
    <row r="49" spans="1:10" x14ac:dyDescent="0.3">
      <c r="A49" s="11"/>
      <c r="B49" s="12"/>
      <c r="C49" s="12"/>
      <c r="D49" s="12"/>
      <c r="E49" s="12"/>
      <c r="F49" s="12"/>
      <c r="G49" s="12"/>
      <c r="H49" s="12"/>
      <c r="I49" s="19"/>
      <c r="J49" s="13"/>
    </row>
    <row r="50" spans="1:10" ht="17.25" thickBot="1" x14ac:dyDescent="0.35">
      <c r="A50" s="16"/>
      <c r="B50" s="1"/>
      <c r="C50" s="1"/>
      <c r="D50" s="1"/>
      <c r="E50" s="1"/>
      <c r="F50" s="1"/>
      <c r="G50" s="1"/>
      <c r="H50" s="1"/>
      <c r="I50" s="1"/>
      <c r="J50" s="2"/>
    </row>
  </sheetData>
  <mergeCells count="6">
    <mergeCell ref="C11:H17"/>
    <mergeCell ref="A1:I1"/>
    <mergeCell ref="A3:I3"/>
    <mergeCell ref="A2:I2"/>
    <mergeCell ref="A4:I4"/>
    <mergeCell ref="C5:H5"/>
  </mergeCells>
  <pageMargins left="0.43307086614173229" right="0.35433070866141736" top="0.47" bottom="0.64" header="0.31496062992125984" footer="0.31496062992125984"/>
  <pageSetup scale="90"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H64"/>
  <sheetViews>
    <sheetView view="pageBreakPreview" zoomScaleNormal="100" zoomScaleSheetLayoutView="100" workbookViewId="0">
      <selection activeCell="A3" sqref="A3:H3"/>
    </sheetView>
  </sheetViews>
  <sheetFormatPr baseColWidth="10" defaultColWidth="11.42578125" defaultRowHeight="16.5" x14ac:dyDescent="0.25"/>
  <cols>
    <col min="1" max="1" width="1.140625" style="321" customWidth="1"/>
    <col min="2" max="2" width="31.7109375" style="321" customWidth="1"/>
    <col min="3" max="4" width="14.28515625" style="156" customWidth="1"/>
    <col min="5" max="5" width="13.140625" style="156" customWidth="1"/>
    <col min="6" max="6" width="14" style="156" customWidth="1"/>
    <col min="7" max="7" width="15" style="156" customWidth="1"/>
    <col min="8" max="8" width="14.28515625" style="156" customWidth="1"/>
    <col min="9" max="16384" width="11.42578125" style="156"/>
  </cols>
  <sheetData>
    <row r="1" spans="1:8" x14ac:dyDescent="0.25">
      <c r="A1" s="894" t="s">
        <v>76</v>
      </c>
      <c r="B1" s="894"/>
      <c r="C1" s="894"/>
      <c r="D1" s="894"/>
      <c r="E1" s="894"/>
      <c r="F1" s="894"/>
      <c r="G1" s="894"/>
      <c r="H1" s="894"/>
    </row>
    <row r="2" spans="1:8" s="220" customFormat="1" ht="15.75" x14ac:dyDescent="0.25">
      <c r="A2" s="894" t="s">
        <v>1628</v>
      </c>
      <c r="B2" s="894"/>
      <c r="C2" s="894"/>
      <c r="D2" s="894"/>
      <c r="E2" s="894"/>
      <c r="F2" s="894"/>
      <c r="G2" s="894"/>
      <c r="H2" s="894"/>
    </row>
    <row r="3" spans="1:8" s="220" customFormat="1" x14ac:dyDescent="0.25">
      <c r="A3" s="895" t="s">
        <v>587</v>
      </c>
      <c r="B3" s="895"/>
      <c r="C3" s="895"/>
      <c r="D3" s="895"/>
      <c r="E3" s="895"/>
      <c r="F3" s="895"/>
      <c r="G3" s="895"/>
      <c r="H3" s="895"/>
    </row>
    <row r="4" spans="1:8" s="220" customFormat="1" x14ac:dyDescent="0.25">
      <c r="A4" s="895" t="s">
        <v>590</v>
      </c>
      <c r="B4" s="895"/>
      <c r="C4" s="895"/>
      <c r="D4" s="895"/>
      <c r="E4" s="895"/>
      <c r="F4" s="895"/>
      <c r="G4" s="895"/>
      <c r="H4" s="895"/>
    </row>
    <row r="5" spans="1:8" s="222" customFormat="1" ht="17.25" thickBot="1" x14ac:dyDescent="0.3">
      <c r="A5" s="221"/>
      <c r="B5" s="221"/>
      <c r="C5" s="896" t="s">
        <v>78</v>
      </c>
      <c r="D5" s="896"/>
      <c r="E5" s="896"/>
      <c r="F5" s="896"/>
      <c r="G5" s="896"/>
      <c r="H5" s="68" t="s">
        <v>589</v>
      </c>
    </row>
    <row r="6" spans="1:8" s="278" customFormat="1" ht="38.25" x14ac:dyDescent="0.25">
      <c r="A6" s="925" t="s">
        <v>270</v>
      </c>
      <c r="B6" s="926"/>
      <c r="C6" s="275" t="s">
        <v>271</v>
      </c>
      <c r="D6" s="275" t="s">
        <v>272</v>
      </c>
      <c r="E6" s="275" t="s">
        <v>273</v>
      </c>
      <c r="F6" s="276" t="s">
        <v>274</v>
      </c>
      <c r="G6" s="276" t="s">
        <v>275</v>
      </c>
      <c r="H6" s="277" t="s">
        <v>276</v>
      </c>
    </row>
    <row r="7" spans="1:8" s="278" customFormat="1" ht="17.25" thickBot="1" x14ac:dyDescent="0.3">
      <c r="A7" s="927"/>
      <c r="B7" s="928"/>
      <c r="C7" s="279" t="s">
        <v>277</v>
      </c>
      <c r="D7" s="279" t="s">
        <v>278</v>
      </c>
      <c r="E7" s="279" t="s">
        <v>279</v>
      </c>
      <c r="F7" s="280" t="s">
        <v>280</v>
      </c>
      <c r="G7" s="280" t="s">
        <v>281</v>
      </c>
      <c r="H7" s="281" t="s">
        <v>282</v>
      </c>
    </row>
    <row r="8" spans="1:8" s="278" customFormat="1" ht="8.25" customHeight="1" x14ac:dyDescent="0.25">
      <c r="A8" s="282"/>
      <c r="B8" s="283"/>
      <c r="C8" s="284"/>
      <c r="D8" s="284"/>
      <c r="E8" s="322"/>
      <c r="F8" s="284"/>
      <c r="G8" s="284"/>
      <c r="H8" s="323"/>
    </row>
    <row r="9" spans="1:8" ht="17.100000000000001" customHeight="1" x14ac:dyDescent="0.25">
      <c r="A9" s="285"/>
      <c r="B9" s="286" t="s">
        <v>142</v>
      </c>
      <c r="C9" s="615"/>
      <c r="D9" s="615"/>
      <c r="E9" s="613">
        <f>C9+D9</f>
        <v>0</v>
      </c>
      <c r="F9" s="615"/>
      <c r="G9" s="615"/>
      <c r="H9" s="614">
        <f>G9-C9</f>
        <v>0</v>
      </c>
    </row>
    <row r="10" spans="1:8" ht="17.100000000000001" customHeight="1" x14ac:dyDescent="0.25">
      <c r="A10" s="285"/>
      <c r="B10" s="286" t="s">
        <v>144</v>
      </c>
      <c r="C10" s="615"/>
      <c r="D10" s="615"/>
      <c r="E10" s="613">
        <f t="shared" ref="E10:E24" si="0">C10+D10</f>
        <v>0</v>
      </c>
      <c r="F10" s="615"/>
      <c r="G10" s="615"/>
      <c r="H10" s="614">
        <f t="shared" ref="H10:H24" si="1">G10-C10</f>
        <v>0</v>
      </c>
    </row>
    <row r="11" spans="1:8" ht="17.100000000000001" customHeight="1" x14ac:dyDescent="0.25">
      <c r="A11" s="285"/>
      <c r="B11" s="286" t="s">
        <v>283</v>
      </c>
      <c r="C11" s="615"/>
      <c r="D11" s="615"/>
      <c r="E11" s="613">
        <f t="shared" si="0"/>
        <v>0</v>
      </c>
      <c r="F11" s="615"/>
      <c r="G11" s="615"/>
      <c r="H11" s="614">
        <f t="shared" si="1"/>
        <v>0</v>
      </c>
    </row>
    <row r="12" spans="1:8" ht="17.100000000000001" customHeight="1" x14ac:dyDescent="0.25">
      <c r="A12" s="285"/>
      <c r="B12" s="286" t="s">
        <v>146</v>
      </c>
      <c r="C12" s="615"/>
      <c r="D12" s="615"/>
      <c r="E12" s="613">
        <f t="shared" si="0"/>
        <v>0</v>
      </c>
      <c r="F12" s="615"/>
      <c r="G12" s="615"/>
      <c r="H12" s="614">
        <f t="shared" si="1"/>
        <v>0</v>
      </c>
    </row>
    <row r="13" spans="1:8" ht="17.100000000000001" customHeight="1" x14ac:dyDescent="0.25">
      <c r="A13" s="285"/>
      <c r="B13" s="286" t="s">
        <v>284</v>
      </c>
      <c r="C13" s="613">
        <f>C14+C15</f>
        <v>0</v>
      </c>
      <c r="D13" s="613">
        <f>D14+D15</f>
        <v>0</v>
      </c>
      <c r="E13" s="613">
        <f t="shared" si="0"/>
        <v>0</v>
      </c>
      <c r="F13" s="613">
        <f>F14+F15</f>
        <v>0</v>
      </c>
      <c r="G13" s="613">
        <f>G14+G15</f>
        <v>0</v>
      </c>
      <c r="H13" s="614">
        <f t="shared" si="1"/>
        <v>0</v>
      </c>
    </row>
    <row r="14" spans="1:8" ht="17.100000000000001" customHeight="1" x14ac:dyDescent="0.25">
      <c r="A14" s="285"/>
      <c r="B14" s="286" t="s">
        <v>285</v>
      </c>
      <c r="C14" s="615"/>
      <c r="D14" s="615"/>
      <c r="E14" s="613">
        <f t="shared" si="0"/>
        <v>0</v>
      </c>
      <c r="F14" s="615"/>
      <c r="G14" s="615"/>
      <c r="H14" s="614">
        <f t="shared" si="1"/>
        <v>0</v>
      </c>
    </row>
    <row r="15" spans="1:8" ht="17.100000000000001" customHeight="1" x14ac:dyDescent="0.25">
      <c r="A15" s="285"/>
      <c r="B15" s="286" t="s">
        <v>286</v>
      </c>
      <c r="C15" s="615"/>
      <c r="D15" s="615"/>
      <c r="E15" s="613">
        <f t="shared" si="0"/>
        <v>0</v>
      </c>
      <c r="F15" s="615"/>
      <c r="G15" s="620"/>
      <c r="H15" s="614">
        <f t="shared" si="1"/>
        <v>0</v>
      </c>
    </row>
    <row r="16" spans="1:8" ht="17.100000000000001" customHeight="1" x14ac:dyDescent="0.25">
      <c r="A16" s="285"/>
      <c r="B16" s="286" t="s">
        <v>287</v>
      </c>
      <c r="C16" s="613">
        <f>C17+C18</f>
        <v>0</v>
      </c>
      <c r="D16" s="613">
        <f>D17+D18</f>
        <v>0</v>
      </c>
      <c r="E16" s="613">
        <f t="shared" si="0"/>
        <v>0</v>
      </c>
      <c r="F16" s="613">
        <f>F17+F18</f>
        <v>0</v>
      </c>
      <c r="G16" s="613">
        <f>G17+G18</f>
        <v>0</v>
      </c>
      <c r="H16" s="614">
        <f t="shared" si="1"/>
        <v>0</v>
      </c>
    </row>
    <row r="17" spans="1:8" ht="17.100000000000001" customHeight="1" x14ac:dyDescent="0.25">
      <c r="A17" s="285"/>
      <c r="B17" s="286" t="s">
        <v>285</v>
      </c>
      <c r="C17" s="615"/>
      <c r="D17" s="615"/>
      <c r="E17" s="613">
        <f t="shared" si="0"/>
        <v>0</v>
      </c>
      <c r="F17" s="615"/>
      <c r="G17" s="615"/>
      <c r="H17" s="614">
        <f t="shared" si="1"/>
        <v>0</v>
      </c>
    </row>
    <row r="18" spans="1:8" ht="17.100000000000001" customHeight="1" x14ac:dyDescent="0.25">
      <c r="A18" s="285"/>
      <c r="B18" s="286" t="s">
        <v>286</v>
      </c>
      <c r="C18" s="615"/>
      <c r="D18" s="615"/>
      <c r="E18" s="613">
        <f t="shared" si="0"/>
        <v>0</v>
      </c>
      <c r="F18" s="615"/>
      <c r="G18" s="615"/>
      <c r="H18" s="614">
        <f t="shared" si="1"/>
        <v>0</v>
      </c>
    </row>
    <row r="19" spans="1:8" ht="17.100000000000001" customHeight="1" x14ac:dyDescent="0.25">
      <c r="A19" s="285"/>
      <c r="B19" s="286" t="s">
        <v>288</v>
      </c>
      <c r="C19" s="615"/>
      <c r="D19" s="615"/>
      <c r="E19" s="613">
        <f t="shared" si="0"/>
        <v>0</v>
      </c>
      <c r="F19" s="615"/>
      <c r="G19" s="615"/>
      <c r="H19" s="614">
        <f t="shared" si="1"/>
        <v>0</v>
      </c>
    </row>
    <row r="20" spans="1:8" ht="17.100000000000001" customHeight="1" x14ac:dyDescent="0.25">
      <c r="A20" s="285"/>
      <c r="B20" s="286" t="s">
        <v>152</v>
      </c>
      <c r="C20" s="615"/>
      <c r="D20" s="615"/>
      <c r="E20" s="613">
        <f t="shared" si="0"/>
        <v>0</v>
      </c>
      <c r="F20" s="615"/>
      <c r="G20" s="615"/>
      <c r="H20" s="614">
        <f t="shared" si="1"/>
        <v>0</v>
      </c>
    </row>
    <row r="21" spans="1:8" ht="25.5" x14ac:dyDescent="0.25">
      <c r="A21" s="285"/>
      <c r="B21" s="286" t="s">
        <v>289</v>
      </c>
      <c r="C21" s="615">
        <v>0</v>
      </c>
      <c r="D21" s="615">
        <v>279300751</v>
      </c>
      <c r="E21" s="613">
        <f t="shared" si="0"/>
        <v>279300751</v>
      </c>
      <c r="F21" s="615">
        <v>29670000</v>
      </c>
      <c r="G21" s="615">
        <v>29670000</v>
      </c>
      <c r="H21" s="614">
        <f t="shared" si="1"/>
        <v>29670000</v>
      </c>
    </row>
    <row r="22" spans="1:8" ht="25.5" x14ac:dyDescent="0.25">
      <c r="A22" s="285"/>
      <c r="B22" s="286" t="s">
        <v>290</v>
      </c>
      <c r="C22" s="615">
        <v>351005907.47000003</v>
      </c>
      <c r="D22" s="615">
        <v>4531318.67</v>
      </c>
      <c r="E22" s="613">
        <f t="shared" si="0"/>
        <v>355537226.14000005</v>
      </c>
      <c r="F22" s="615">
        <v>202583640.22999999</v>
      </c>
      <c r="G22" s="615">
        <v>202583640.22999999</v>
      </c>
      <c r="H22" s="614">
        <f t="shared" si="1"/>
        <v>-148422267.24000004</v>
      </c>
    </row>
    <row r="23" spans="1:8" ht="17.100000000000001" customHeight="1" thickBot="1" x14ac:dyDescent="0.3">
      <c r="A23" s="287"/>
      <c r="B23" s="288" t="s">
        <v>291</v>
      </c>
      <c r="C23" s="616"/>
      <c r="D23" s="616"/>
      <c r="E23" s="617">
        <f t="shared" si="0"/>
        <v>0</v>
      </c>
      <c r="F23" s="616"/>
      <c r="G23" s="616"/>
      <c r="H23" s="618">
        <f t="shared" si="1"/>
        <v>0</v>
      </c>
    </row>
    <row r="24" spans="1:8" s="324" customFormat="1" ht="28.5" customHeight="1" thickBot="1" x14ac:dyDescent="0.3">
      <c r="A24" s="929" t="s">
        <v>202</v>
      </c>
      <c r="B24" s="930"/>
      <c r="C24" s="621">
        <f>C9+C10+C11+C12+C13+C16+C19+C20+C21+C22+C23</f>
        <v>351005907.47000003</v>
      </c>
      <c r="D24" s="621">
        <f>D9+D10+D11+D12+D13+D16+D19+D20+D21+D22+D23</f>
        <v>283832069.67000002</v>
      </c>
      <c r="E24" s="621">
        <f t="shared" si="0"/>
        <v>634837977.1400001</v>
      </c>
      <c r="F24" s="621">
        <f>F9+F10+F11+F12+F13+F16+F19+F20+F21+F22+F23</f>
        <v>232253640.22999999</v>
      </c>
      <c r="G24" s="621">
        <f>G9+G10+G11+G12+G13+G16+G19+G20+G21+G22+G23</f>
        <v>232253640.22999999</v>
      </c>
      <c r="H24" s="622">
        <f t="shared" si="1"/>
        <v>-118752267.24000004</v>
      </c>
    </row>
    <row r="25" spans="1:8" ht="22.5" customHeight="1" thickBot="1" x14ac:dyDescent="0.3">
      <c r="A25" s="289"/>
      <c r="B25" s="289"/>
      <c r="C25" s="290"/>
      <c r="D25" s="290"/>
      <c r="E25" s="290"/>
      <c r="F25" s="291"/>
      <c r="G25" s="572" t="s">
        <v>292</v>
      </c>
      <c r="H25" s="573" t="str">
        <f>IF(($G$24-$C$24)&lt;=0,"",$G$24-$C$24)</f>
        <v/>
      </c>
    </row>
    <row r="26" spans="1:8" ht="10.5" customHeight="1" thickBot="1" x14ac:dyDescent="0.3">
      <c r="A26" s="292"/>
      <c r="B26" s="292"/>
      <c r="C26" s="293"/>
      <c r="D26" s="293"/>
      <c r="E26" s="293"/>
      <c r="F26" s="294"/>
      <c r="G26" s="295"/>
      <c r="H26" s="291"/>
    </row>
    <row r="27" spans="1:8" s="278" customFormat="1" ht="38.25" x14ac:dyDescent="0.25">
      <c r="A27" s="933" t="s">
        <v>293</v>
      </c>
      <c r="B27" s="934"/>
      <c r="C27" s="296" t="s">
        <v>271</v>
      </c>
      <c r="D27" s="296" t="s">
        <v>272</v>
      </c>
      <c r="E27" s="296" t="s">
        <v>273</v>
      </c>
      <c r="F27" s="276" t="s">
        <v>274</v>
      </c>
      <c r="G27" s="276" t="s">
        <v>275</v>
      </c>
      <c r="H27" s="277" t="s">
        <v>276</v>
      </c>
    </row>
    <row r="28" spans="1:8" s="278" customFormat="1" ht="17.25" thickBot="1" x14ac:dyDescent="0.3">
      <c r="A28" s="297"/>
      <c r="B28" s="298" t="s">
        <v>294</v>
      </c>
      <c r="C28" s="299" t="s">
        <v>277</v>
      </c>
      <c r="D28" s="299" t="s">
        <v>278</v>
      </c>
      <c r="E28" s="299" t="s">
        <v>279</v>
      </c>
      <c r="F28" s="300" t="s">
        <v>280</v>
      </c>
      <c r="G28" s="300" t="s">
        <v>281</v>
      </c>
      <c r="H28" s="301" t="s">
        <v>282</v>
      </c>
    </row>
    <row r="29" spans="1:8" s="304" customFormat="1" ht="17.100000000000001" customHeight="1" x14ac:dyDescent="0.25">
      <c r="A29" s="302" t="s">
        <v>295</v>
      </c>
      <c r="B29" s="303"/>
      <c r="C29" s="623">
        <f>SUM(C30:C33,C36,C39:C40)</f>
        <v>0</v>
      </c>
      <c r="D29" s="623">
        <f>SUM(D30:D33,D36,D39:D40)</f>
        <v>0</v>
      </c>
      <c r="E29" s="623">
        <f>SUM(E30:E33,E36,E39:E40)</f>
        <v>0</v>
      </c>
      <c r="F29" s="623">
        <f t="shared" ref="F29:H29" si="2">SUM(F30:F33,F36,F39:F40)</f>
        <v>0</v>
      </c>
      <c r="G29" s="623">
        <f t="shared" si="2"/>
        <v>0</v>
      </c>
      <c r="H29" s="623">
        <f t="shared" si="2"/>
        <v>0</v>
      </c>
    </row>
    <row r="30" spans="1:8" s="304" customFormat="1" ht="17.100000000000001" customHeight="1" x14ac:dyDescent="0.25">
      <c r="A30" s="305" t="s">
        <v>296</v>
      </c>
      <c r="B30" s="306"/>
      <c r="C30" s="624"/>
      <c r="D30" s="624"/>
      <c r="E30" s="625">
        <f>C30+D30</f>
        <v>0</v>
      </c>
      <c r="F30" s="624"/>
      <c r="G30" s="624"/>
      <c r="H30" s="626">
        <f>G30-C30</f>
        <v>0</v>
      </c>
    </row>
    <row r="31" spans="1:8" s="304" customFormat="1" ht="17.100000000000001" customHeight="1" x14ac:dyDescent="0.25">
      <c r="A31" s="305" t="s">
        <v>283</v>
      </c>
      <c r="B31" s="306"/>
      <c r="C31" s="624"/>
      <c r="D31" s="624"/>
      <c r="E31" s="625">
        <f t="shared" ref="E31:E49" si="3">C31+D31</f>
        <v>0</v>
      </c>
      <c r="F31" s="624"/>
      <c r="G31" s="624"/>
      <c r="H31" s="626">
        <f t="shared" ref="H31:H49" si="4">G31-C31</f>
        <v>0</v>
      </c>
    </row>
    <row r="32" spans="1:8" s="304" customFormat="1" x14ac:dyDescent="0.25">
      <c r="A32" s="931" t="s">
        <v>146</v>
      </c>
      <c r="B32" s="932"/>
      <c r="C32" s="624"/>
      <c r="D32" s="624"/>
      <c r="E32" s="625">
        <f t="shared" si="3"/>
        <v>0</v>
      </c>
      <c r="F32" s="624"/>
      <c r="G32" s="624"/>
      <c r="H32" s="626">
        <f t="shared" si="4"/>
        <v>0</v>
      </c>
    </row>
    <row r="33" spans="1:8" s="304" customFormat="1" ht="17.100000000000001" customHeight="1" x14ac:dyDescent="0.25">
      <c r="A33" s="305" t="s">
        <v>284</v>
      </c>
      <c r="B33" s="306"/>
      <c r="C33" s="627">
        <f>C34+C35</f>
        <v>0</v>
      </c>
      <c r="D33" s="627">
        <f>D34+D35</f>
        <v>0</v>
      </c>
      <c r="E33" s="627">
        <f>SUM(E34:E35)</f>
        <v>0</v>
      </c>
      <c r="F33" s="627">
        <f>F34+F35</f>
        <v>0</v>
      </c>
      <c r="G33" s="627">
        <f>G34+G35</f>
        <v>0</v>
      </c>
      <c r="H33" s="628">
        <f>SUM(H34:H35)</f>
        <v>0</v>
      </c>
    </row>
    <row r="34" spans="1:8" s="304" customFormat="1" ht="17.100000000000001" customHeight="1" x14ac:dyDescent="0.25">
      <c r="A34" s="307" t="s">
        <v>297</v>
      </c>
      <c r="B34" s="308"/>
      <c r="C34" s="624"/>
      <c r="D34" s="624"/>
      <c r="E34" s="625">
        <f t="shared" si="3"/>
        <v>0</v>
      </c>
      <c r="F34" s="624"/>
      <c r="G34" s="624"/>
      <c r="H34" s="626">
        <f t="shared" si="4"/>
        <v>0</v>
      </c>
    </row>
    <row r="35" spans="1:8" s="304" customFormat="1" ht="17.100000000000001" customHeight="1" x14ac:dyDescent="0.25">
      <c r="A35" s="307" t="s">
        <v>298</v>
      </c>
      <c r="B35" s="308"/>
      <c r="C35" s="624"/>
      <c r="D35" s="624"/>
      <c r="E35" s="625">
        <f t="shared" si="3"/>
        <v>0</v>
      </c>
      <c r="F35" s="624"/>
      <c r="G35" s="624"/>
      <c r="H35" s="626">
        <f t="shared" si="4"/>
        <v>0</v>
      </c>
    </row>
    <row r="36" spans="1:8" ht="17.100000000000001" customHeight="1" x14ac:dyDescent="0.25">
      <c r="A36" s="931" t="s">
        <v>287</v>
      </c>
      <c r="B36" s="932"/>
      <c r="C36" s="629">
        <f>C37+C38</f>
        <v>0</v>
      </c>
      <c r="D36" s="629">
        <f>D37+D38</f>
        <v>0</v>
      </c>
      <c r="E36" s="627">
        <f>SUM(E37:E38)</f>
        <v>0</v>
      </c>
      <c r="F36" s="629">
        <f>F37+F38</f>
        <v>0</v>
      </c>
      <c r="G36" s="629">
        <f>G37+G38</f>
        <v>0</v>
      </c>
      <c r="H36" s="628">
        <f>SUM(H37:H38)</f>
        <v>0</v>
      </c>
    </row>
    <row r="37" spans="1:8" ht="17.100000000000001" customHeight="1" x14ac:dyDescent="0.25">
      <c r="A37" s="710"/>
      <c r="B37" s="309" t="s">
        <v>297</v>
      </c>
      <c r="C37" s="630"/>
      <c r="D37" s="630"/>
      <c r="E37" s="625">
        <f t="shared" si="3"/>
        <v>0</v>
      </c>
      <c r="F37" s="630"/>
      <c r="G37" s="630"/>
      <c r="H37" s="626">
        <f t="shared" si="4"/>
        <v>0</v>
      </c>
    </row>
    <row r="38" spans="1:8" ht="17.100000000000001" customHeight="1" x14ac:dyDescent="0.25">
      <c r="A38" s="710"/>
      <c r="B38" s="309" t="s">
        <v>298</v>
      </c>
      <c r="C38" s="630"/>
      <c r="D38" s="630"/>
      <c r="E38" s="625">
        <f t="shared" si="3"/>
        <v>0</v>
      </c>
      <c r="F38" s="630"/>
      <c r="G38" s="630"/>
      <c r="H38" s="626">
        <f t="shared" si="4"/>
        <v>0</v>
      </c>
    </row>
    <row r="39" spans="1:8" s="304" customFormat="1" x14ac:dyDescent="0.25">
      <c r="A39" s="305" t="s">
        <v>152</v>
      </c>
      <c r="B39" s="306"/>
      <c r="C39" s="624"/>
      <c r="D39" s="624"/>
      <c r="E39" s="625">
        <f t="shared" si="3"/>
        <v>0</v>
      </c>
      <c r="F39" s="624"/>
      <c r="G39" s="624"/>
      <c r="H39" s="626">
        <f t="shared" si="4"/>
        <v>0</v>
      </c>
    </row>
    <row r="40" spans="1:8" s="304" customFormat="1" ht="27.75" customHeight="1" x14ac:dyDescent="0.25">
      <c r="A40" s="931" t="s">
        <v>299</v>
      </c>
      <c r="B40" s="932"/>
      <c r="C40" s="624"/>
      <c r="D40" s="624"/>
      <c r="E40" s="625">
        <f t="shared" si="3"/>
        <v>0</v>
      </c>
      <c r="F40" s="624"/>
      <c r="G40" s="624"/>
      <c r="H40" s="626">
        <f t="shared" si="4"/>
        <v>0</v>
      </c>
    </row>
    <row r="41" spans="1:8" s="304" customFormat="1" ht="8.25" customHeight="1" x14ac:dyDescent="0.25">
      <c r="A41" s="310"/>
      <c r="B41" s="311"/>
      <c r="C41" s="624"/>
      <c r="D41" s="624"/>
      <c r="E41" s="625"/>
      <c r="F41" s="624"/>
      <c r="G41" s="624"/>
      <c r="H41" s="626"/>
    </row>
    <row r="42" spans="1:8" s="304" customFormat="1" ht="17.100000000000001" customHeight="1" x14ac:dyDescent="0.25">
      <c r="A42" s="310" t="s">
        <v>300</v>
      </c>
      <c r="B42" s="311"/>
      <c r="C42" s="623">
        <f t="shared" ref="C42:D42" si="5">SUM(C43:C46)</f>
        <v>351005907.47000003</v>
      </c>
      <c r="D42" s="623">
        <f t="shared" si="5"/>
        <v>283832069.67000002</v>
      </c>
      <c r="E42" s="623">
        <f>SUM(E43:E46)</f>
        <v>634837977.1400001</v>
      </c>
      <c r="F42" s="623">
        <f>SUM(F43:F46)</f>
        <v>232253640.22999999</v>
      </c>
      <c r="G42" s="623">
        <f>SUM(G43:G46)</f>
        <v>232253640.22999999</v>
      </c>
      <c r="H42" s="623">
        <f>SUM(H43:H46)</f>
        <v>-118752267.24000004</v>
      </c>
    </row>
    <row r="43" spans="1:8" s="304" customFormat="1" ht="17.100000000000001" customHeight="1" x14ac:dyDescent="0.25">
      <c r="A43" s="312"/>
      <c r="B43" s="313" t="s">
        <v>301</v>
      </c>
      <c r="C43" s="624"/>
      <c r="D43" s="624"/>
      <c r="E43" s="625">
        <f t="shared" si="3"/>
        <v>0</v>
      </c>
      <c r="F43" s="624"/>
      <c r="G43" s="624"/>
      <c r="H43" s="626">
        <f t="shared" si="4"/>
        <v>0</v>
      </c>
    </row>
    <row r="44" spans="1:8" s="304" customFormat="1" ht="17.100000000000001" customHeight="1" x14ac:dyDescent="0.25">
      <c r="A44" s="312"/>
      <c r="B44" s="313" t="s">
        <v>302</v>
      </c>
      <c r="C44" s="624"/>
      <c r="D44" s="624"/>
      <c r="E44" s="625">
        <f t="shared" si="3"/>
        <v>0</v>
      </c>
      <c r="F44" s="624"/>
      <c r="G44" s="624"/>
      <c r="H44" s="626">
        <f t="shared" si="4"/>
        <v>0</v>
      </c>
    </row>
    <row r="45" spans="1:8" s="304" customFormat="1" ht="29.25" customHeight="1" x14ac:dyDescent="0.25">
      <c r="A45" s="312"/>
      <c r="B45" s="314" t="s">
        <v>303</v>
      </c>
      <c r="C45" s="624">
        <f>+C21</f>
        <v>0</v>
      </c>
      <c r="D45" s="624">
        <f>+D21</f>
        <v>279300751</v>
      </c>
      <c r="E45" s="625">
        <f t="shared" si="3"/>
        <v>279300751</v>
      </c>
      <c r="F45" s="624">
        <f t="shared" ref="F45:G46" si="6">+F21</f>
        <v>29670000</v>
      </c>
      <c r="G45" s="624">
        <f t="shared" si="6"/>
        <v>29670000</v>
      </c>
      <c r="H45" s="626">
        <f t="shared" si="4"/>
        <v>29670000</v>
      </c>
    </row>
    <row r="46" spans="1:8" s="304" customFormat="1" ht="29.25" customHeight="1" x14ac:dyDescent="0.25">
      <c r="A46" s="312"/>
      <c r="B46" s="314" t="s">
        <v>304</v>
      </c>
      <c r="C46" s="624">
        <f>+C22</f>
        <v>351005907.47000003</v>
      </c>
      <c r="D46" s="624">
        <f>+D22</f>
        <v>4531318.67</v>
      </c>
      <c r="E46" s="625">
        <f t="shared" si="3"/>
        <v>355537226.14000005</v>
      </c>
      <c r="F46" s="624">
        <f t="shared" si="6"/>
        <v>202583640.22999999</v>
      </c>
      <c r="G46" s="624">
        <f t="shared" si="6"/>
        <v>202583640.22999999</v>
      </c>
      <c r="H46" s="626">
        <f t="shared" si="4"/>
        <v>-148422267.24000004</v>
      </c>
    </row>
    <row r="47" spans="1:8" s="304" customFormat="1" ht="6" customHeight="1" x14ac:dyDescent="0.25">
      <c r="A47" s="312"/>
      <c r="B47" s="313"/>
      <c r="C47" s="624"/>
      <c r="D47" s="624"/>
      <c r="E47" s="625"/>
      <c r="F47" s="624"/>
      <c r="G47" s="624"/>
      <c r="H47" s="626"/>
    </row>
    <row r="48" spans="1:8" s="304" customFormat="1" ht="17.100000000000001" customHeight="1" x14ac:dyDescent="0.25">
      <c r="A48" s="310" t="s">
        <v>305</v>
      </c>
      <c r="B48" s="311"/>
      <c r="C48" s="623">
        <f>C49</f>
        <v>0</v>
      </c>
      <c r="D48" s="623">
        <f t="shared" ref="D48:H48" si="7">D49</f>
        <v>0</v>
      </c>
      <c r="E48" s="623">
        <f t="shared" si="7"/>
        <v>0</v>
      </c>
      <c r="F48" s="623">
        <f t="shared" si="7"/>
        <v>0</v>
      </c>
      <c r="G48" s="623">
        <f t="shared" si="7"/>
        <v>0</v>
      </c>
      <c r="H48" s="623">
        <f t="shared" si="7"/>
        <v>0</v>
      </c>
    </row>
    <row r="49" spans="1:8" s="304" customFormat="1" ht="17.100000000000001" customHeight="1" x14ac:dyDescent="0.25">
      <c r="A49" s="310"/>
      <c r="B49" s="315" t="s">
        <v>291</v>
      </c>
      <c r="C49" s="624"/>
      <c r="D49" s="624"/>
      <c r="E49" s="625">
        <f t="shared" si="3"/>
        <v>0</v>
      </c>
      <c r="F49" s="624"/>
      <c r="G49" s="624"/>
      <c r="H49" s="626">
        <f t="shared" si="4"/>
        <v>0</v>
      </c>
    </row>
    <row r="50" spans="1:8" s="304" customFormat="1" ht="12.75" customHeight="1" thickBot="1" x14ac:dyDescent="0.3">
      <c r="A50" s="316"/>
      <c r="B50" s="317"/>
      <c r="C50" s="631"/>
      <c r="D50" s="631"/>
      <c r="E50" s="632"/>
      <c r="F50" s="631"/>
      <c r="G50" s="631"/>
      <c r="H50" s="633"/>
    </row>
    <row r="51" spans="1:8" ht="21.75" customHeight="1" thickBot="1" x14ac:dyDescent="0.3">
      <c r="A51" s="923" t="s">
        <v>202</v>
      </c>
      <c r="B51" s="924"/>
      <c r="C51" s="634">
        <f>C29+C42+C48</f>
        <v>351005907.47000003</v>
      </c>
      <c r="D51" s="634">
        <f t="shared" ref="D51:H51" si="8">D29+D42+D48</f>
        <v>283832069.67000002</v>
      </c>
      <c r="E51" s="634">
        <f t="shared" si="8"/>
        <v>634837977.1400001</v>
      </c>
      <c r="F51" s="634">
        <f t="shared" si="8"/>
        <v>232253640.22999999</v>
      </c>
      <c r="G51" s="634">
        <f t="shared" si="8"/>
        <v>232253640.22999999</v>
      </c>
      <c r="H51" s="634">
        <f t="shared" si="8"/>
        <v>-118752267.24000004</v>
      </c>
    </row>
    <row r="52" spans="1:8" ht="22.5" customHeight="1" thickBot="1" x14ac:dyDescent="0.3">
      <c r="A52" s="289"/>
      <c r="B52" s="289"/>
      <c r="C52" s="318"/>
      <c r="D52" s="318"/>
      <c r="E52" s="318"/>
      <c r="F52" s="319"/>
      <c r="G52" s="574" t="s">
        <v>292</v>
      </c>
      <c r="H52" s="575" t="str">
        <f>IF(($G$51-$C$51)&lt;=0,"",$G$51-$C$51)</f>
        <v/>
      </c>
    </row>
    <row r="53" spans="1:8" ht="8.25" customHeight="1" x14ac:dyDescent="0.25">
      <c r="A53" s="320"/>
      <c r="B53" s="156"/>
    </row>
    <row r="54" spans="1:8" x14ac:dyDescent="0.25">
      <c r="A54" s="325"/>
      <c r="B54" s="156"/>
      <c r="H54" s="571"/>
    </row>
    <row r="55" spans="1:8" x14ac:dyDescent="0.25">
      <c r="A55" s="326"/>
      <c r="B55" s="327" t="s">
        <v>306</v>
      </c>
      <c r="C55" s="328"/>
      <c r="D55" s="328"/>
      <c r="E55" s="328"/>
      <c r="F55" s="328"/>
      <c r="G55" s="328"/>
      <c r="H55" s="328"/>
    </row>
    <row r="56" spans="1:8" x14ac:dyDescent="0.25">
      <c r="A56" s="326"/>
      <c r="B56" s="327" t="s">
        <v>307</v>
      </c>
      <c r="C56" s="328"/>
      <c r="D56" s="328"/>
      <c r="E56" s="328"/>
      <c r="F56" s="328"/>
      <c r="G56" s="328"/>
      <c r="H56" s="328"/>
    </row>
    <row r="57" spans="1:8" x14ac:dyDescent="0.25">
      <c r="A57" s="326"/>
      <c r="B57" s="327"/>
      <c r="C57" s="328"/>
      <c r="D57" s="328"/>
      <c r="E57" s="328"/>
      <c r="F57" s="328"/>
      <c r="G57" s="328"/>
      <c r="H57" s="328"/>
    </row>
    <row r="58" spans="1:8" x14ac:dyDescent="0.25">
      <c r="B58" s="474" t="s">
        <v>1612</v>
      </c>
    </row>
    <row r="59" spans="1:8" x14ac:dyDescent="0.25">
      <c r="B59" s="474" t="s">
        <v>1613</v>
      </c>
    </row>
    <row r="60" spans="1:8" x14ac:dyDescent="0.3">
      <c r="B60" s="66"/>
    </row>
    <row r="61" spans="1:8" x14ac:dyDescent="0.3">
      <c r="B61" s="66"/>
    </row>
    <row r="62" spans="1:8" x14ac:dyDescent="0.3">
      <c r="B62" s="66"/>
    </row>
    <row r="63" spans="1:8" x14ac:dyDescent="0.25">
      <c r="B63" s="474" t="s">
        <v>1614</v>
      </c>
    </row>
    <row r="64" spans="1:8" x14ac:dyDescent="0.25">
      <c r="B64" s="474" t="s">
        <v>1615</v>
      </c>
    </row>
  </sheetData>
  <sheetProtection algorithmName="SHA-512" hashValue="WVgJUpAFay7VjPeF41i3mJOzEUJ/kAVcccF+OcRnLq4jHPWF35+ZJNJ4euurx4CtgCoirzj+/wO3bH6B1K6NKw==" saltValue="S28FFR/bpuzXCup06UjPCA==" spinCount="100000" sheet="1" objects="1" scenarios="1" insertHyperlinks="0"/>
  <mergeCells count="12">
    <mergeCell ref="A51:B51"/>
    <mergeCell ref="A1:H1"/>
    <mergeCell ref="A2:H2"/>
    <mergeCell ref="A3:H3"/>
    <mergeCell ref="A4:H4"/>
    <mergeCell ref="A6:B7"/>
    <mergeCell ref="A24:B24"/>
    <mergeCell ref="A32:B32"/>
    <mergeCell ref="A36:B36"/>
    <mergeCell ref="A40:B40"/>
    <mergeCell ref="A27:B27"/>
    <mergeCell ref="C5:G5"/>
  </mergeCells>
  <printOptions horizontalCentered="1"/>
  <pageMargins left="0.39370078740157483" right="0.39370078740157483" top="0.39370078740157483" bottom="0.51181102362204722" header="0.31496062992125984" footer="0.31496062992125984"/>
  <pageSetup scale="74" fitToHeight="2" orientation="landscape" r:id="rId1"/>
  <headerFooter>
    <oddFooter>&amp;RHoja &amp;P de &amp;N</oddFooter>
  </headerFooter>
  <rowBreaks count="1" manualBreakCount="1">
    <brk id="26" max="7"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7" tint="-0.249977111117893"/>
    <pageSetUpPr fitToPage="1"/>
  </sheetPr>
  <dimension ref="A1:E36"/>
  <sheetViews>
    <sheetView view="pageBreakPreview" zoomScaleNormal="100" zoomScaleSheetLayoutView="100" workbookViewId="0">
      <selection activeCell="A3" sqref="A3:D3"/>
    </sheetView>
  </sheetViews>
  <sheetFormatPr baseColWidth="10" defaultColWidth="11.42578125" defaultRowHeight="16.5" x14ac:dyDescent="0.25"/>
  <cols>
    <col min="1" max="1" width="1.42578125" style="156" customWidth="1"/>
    <col min="2" max="2" width="43.85546875" style="156" customWidth="1"/>
    <col min="3" max="4" width="25.7109375" style="156" customWidth="1"/>
    <col min="5" max="5" width="62" style="324" customWidth="1"/>
    <col min="6" max="16384" width="11.42578125" style="156"/>
  </cols>
  <sheetData>
    <row r="1" spans="1:5" x14ac:dyDescent="0.25">
      <c r="A1" s="894" t="s">
        <v>76</v>
      </c>
      <c r="B1" s="894"/>
      <c r="C1" s="894"/>
      <c r="D1" s="894"/>
    </row>
    <row r="2" spans="1:5" s="220" customFormat="1" ht="15.75" x14ac:dyDescent="0.25">
      <c r="A2" s="894" t="s">
        <v>1629</v>
      </c>
      <c r="B2" s="894"/>
      <c r="C2" s="894"/>
      <c r="D2" s="894"/>
      <c r="E2" s="547"/>
    </row>
    <row r="3" spans="1:5" s="220" customFormat="1" x14ac:dyDescent="0.25">
      <c r="A3" s="895" t="s">
        <v>587</v>
      </c>
      <c r="B3" s="895"/>
      <c r="C3" s="895"/>
      <c r="D3" s="895"/>
      <c r="E3" s="546"/>
    </row>
    <row r="4" spans="1:5" s="220" customFormat="1" x14ac:dyDescent="0.25">
      <c r="A4" s="895" t="s">
        <v>588</v>
      </c>
      <c r="B4" s="895"/>
      <c r="C4" s="895"/>
      <c r="D4" s="895"/>
      <c r="E4" s="546"/>
    </row>
    <row r="5" spans="1:5" s="222" customFormat="1" ht="17.25" thickBot="1" x14ac:dyDescent="0.3">
      <c r="A5" s="221"/>
      <c r="B5" s="896" t="s">
        <v>308</v>
      </c>
      <c r="C5" s="896"/>
      <c r="D5" s="329" t="s">
        <v>594</v>
      </c>
      <c r="E5" s="548"/>
    </row>
    <row r="6" spans="1:5" s="223" customFormat="1" ht="27" customHeight="1" thickBot="1" x14ac:dyDescent="0.3">
      <c r="A6" s="935" t="s">
        <v>309</v>
      </c>
      <c r="B6" s="936"/>
      <c r="C6" s="338"/>
      <c r="D6" s="339">
        <f>'ETCA-II-10 '!F24</f>
        <v>232253640.22999999</v>
      </c>
      <c r="E6" s="549" t="str">
        <f>IF(D6&lt;&gt;'ETCA-II-10 '!F51,"ERROR!!!!! EL MONTO NO COINCIDE CON LO REPORTADO EN EL FORMATO ETCA-II-10 EN EL TOTAL DEVENGADO DEL ANALÍTICO DE INGRESOS","")</f>
        <v/>
      </c>
    </row>
    <row r="7" spans="1:5" s="332" customFormat="1" ht="9.75" customHeight="1" x14ac:dyDescent="0.25">
      <c r="A7" s="351"/>
      <c r="B7" s="330"/>
      <c r="C7" s="331"/>
      <c r="D7" s="353"/>
      <c r="E7" s="550"/>
    </row>
    <row r="8" spans="1:5" s="332" customFormat="1" ht="17.25" customHeight="1" thickBot="1" x14ac:dyDescent="0.3">
      <c r="A8" s="352" t="s">
        <v>310</v>
      </c>
      <c r="B8" s="333"/>
      <c r="C8" s="334"/>
      <c r="D8" s="354"/>
      <c r="E8" s="549"/>
    </row>
    <row r="9" spans="1:5" ht="20.100000000000001" customHeight="1" thickBot="1" x14ac:dyDescent="0.3">
      <c r="A9" s="340" t="s">
        <v>311</v>
      </c>
      <c r="B9" s="341"/>
      <c r="C9" s="342"/>
      <c r="D9" s="343">
        <f>SUM(C10:C14)</f>
        <v>2126985.31</v>
      </c>
      <c r="E9" s="549"/>
    </row>
    <row r="10" spans="1:5" ht="20.100000000000001" customHeight="1" x14ac:dyDescent="0.2">
      <c r="A10" s="226"/>
      <c r="B10" s="360" t="s">
        <v>312</v>
      </c>
      <c r="C10" s="344"/>
      <c r="D10" s="551"/>
      <c r="E10" s="576" t="str">
        <f>IF(C10&lt;&gt;'ETCA-I-02'!C22,"ERROR!!!, NO COINCIDEN LOS MONTOS CON LO REPORTADO EN EL FORMATO ETCA-I-02 EN EL EJERCICIO 2016","")</f>
        <v/>
      </c>
    </row>
    <row r="11" spans="1:5" ht="33" customHeight="1" x14ac:dyDescent="0.2">
      <c r="A11" s="226"/>
      <c r="B11" s="361" t="s">
        <v>313</v>
      </c>
      <c r="C11" s="344"/>
      <c r="D11" s="551"/>
      <c r="E11" s="576" t="str">
        <f>IF(C11&lt;&gt;'ETCA-I-02'!C23,"ERROR!!!, NO COINCIDEN LOS MONTOS CON LO REPORTADO EN EL FORMATO ETCA-I-02 EN EL EJERCICIO 2016","")</f>
        <v/>
      </c>
    </row>
    <row r="12" spans="1:5" ht="20.100000000000001" customHeight="1" x14ac:dyDescent="0.2">
      <c r="A12" s="227"/>
      <c r="B12" s="361" t="s">
        <v>314</v>
      </c>
      <c r="C12" s="344"/>
      <c r="D12" s="551"/>
      <c r="E12" s="576" t="str">
        <f>IF(C12&lt;&gt;'ETCA-I-02'!C24,"ERROR!!!, NO COINCIDEN LOS MONTOS CON LO REPORTADO EN EL FORMATO ETCA-I-02 EN EL EJERCICIO 2016","")</f>
        <v/>
      </c>
    </row>
    <row r="13" spans="1:5" ht="20.100000000000001" customHeight="1" x14ac:dyDescent="0.2">
      <c r="A13" s="227"/>
      <c r="B13" s="361" t="s">
        <v>315</v>
      </c>
      <c r="C13" s="344"/>
      <c r="D13" s="551"/>
      <c r="E13" s="576" t="str">
        <f>IF(C13&lt;&gt;'ETCA-I-02'!C25,"ERROR!!!, NO COINCIDEN LOS MONTOS CON LO REPORTADO EN EL FORMATO ETCA-I-02 EN EL EJERCICIO 2016","")</f>
        <v/>
      </c>
    </row>
    <row r="14" spans="1:5" ht="24.75" customHeight="1" thickBot="1" x14ac:dyDescent="0.3">
      <c r="A14" s="335" t="s">
        <v>316</v>
      </c>
      <c r="B14" s="364"/>
      <c r="C14" s="345">
        <v>2126985.31</v>
      </c>
      <c r="D14" s="552"/>
      <c r="E14" s="549"/>
    </row>
    <row r="15" spans="1:5" ht="7.5" customHeight="1" x14ac:dyDescent="0.25">
      <c r="A15" s="365"/>
      <c r="B15" s="355"/>
      <c r="C15" s="356"/>
      <c r="D15" s="357"/>
      <c r="E15" s="549"/>
    </row>
    <row r="16" spans="1:5" ht="20.100000000000001" customHeight="1" thickBot="1" x14ac:dyDescent="0.3">
      <c r="A16" s="366" t="s">
        <v>317</v>
      </c>
      <c r="B16" s="358"/>
      <c r="C16" s="359"/>
      <c r="D16" s="336"/>
      <c r="E16" s="549"/>
    </row>
    <row r="17" spans="1:5" ht="20.100000000000001" customHeight="1" thickBot="1" x14ac:dyDescent="0.3">
      <c r="A17" s="340" t="s">
        <v>318</v>
      </c>
      <c r="B17" s="341"/>
      <c r="C17" s="342"/>
      <c r="D17" s="343">
        <f>SUM(C18:C22)</f>
        <v>0</v>
      </c>
      <c r="E17" s="549"/>
    </row>
    <row r="18" spans="1:5" ht="20.100000000000001" customHeight="1" x14ac:dyDescent="0.25">
      <c r="A18" s="227"/>
      <c r="B18" s="360" t="s">
        <v>319</v>
      </c>
      <c r="C18" s="346"/>
      <c r="D18" s="551"/>
      <c r="E18" s="549"/>
    </row>
    <row r="19" spans="1:5" ht="20.100000000000001" customHeight="1" x14ac:dyDescent="0.25">
      <c r="A19" s="227"/>
      <c r="B19" s="361" t="s">
        <v>320</v>
      </c>
      <c r="C19" s="346"/>
      <c r="D19" s="551"/>
      <c r="E19" s="549"/>
    </row>
    <row r="20" spans="1:5" ht="20.100000000000001" customHeight="1" x14ac:dyDescent="0.25">
      <c r="A20" s="227"/>
      <c r="B20" s="361" t="s">
        <v>321</v>
      </c>
      <c r="C20" s="346"/>
      <c r="D20" s="551"/>
      <c r="E20" s="549"/>
    </row>
    <row r="21" spans="1:5" ht="20.100000000000001" customHeight="1" x14ac:dyDescent="0.25">
      <c r="A21" s="337" t="s">
        <v>322</v>
      </c>
      <c r="B21" s="362"/>
      <c r="C21" s="346"/>
      <c r="D21" s="551"/>
      <c r="E21" s="549"/>
    </row>
    <row r="22" spans="1:5" ht="20.100000000000001" customHeight="1" thickBot="1" x14ac:dyDescent="0.3">
      <c r="A22" s="227"/>
      <c r="B22" s="363"/>
      <c r="C22" s="347"/>
      <c r="D22" s="551"/>
      <c r="E22" s="549"/>
    </row>
    <row r="23" spans="1:5" ht="26.25" customHeight="1" thickBot="1" x14ac:dyDescent="0.3">
      <c r="A23" s="348" t="s">
        <v>323</v>
      </c>
      <c r="B23" s="349"/>
      <c r="C23" s="350"/>
      <c r="D23" s="339">
        <f>D6+D9-D17</f>
        <v>234380625.53999999</v>
      </c>
      <c r="E23" s="549" t="str">
        <f>IF(D23&lt;&gt;'ETCA-I-02'!C27,"ERROR!!!!! EL MONTO NO COINCIDE CON LO REPORTADO EN EL FORMATO ETCA-I-02 EN EL TOTAL DE INGRESOS Y OTROS BENEFICIOS","")</f>
        <v/>
      </c>
    </row>
    <row r="30" spans="1:5" x14ac:dyDescent="0.25">
      <c r="B30" s="474" t="s">
        <v>1612</v>
      </c>
    </row>
    <row r="31" spans="1:5" x14ac:dyDescent="0.25">
      <c r="B31" s="474" t="s">
        <v>1613</v>
      </c>
    </row>
    <row r="32" spans="1:5" x14ac:dyDescent="0.3">
      <c r="B32" s="66"/>
    </row>
    <row r="33" spans="2:2" x14ac:dyDescent="0.3">
      <c r="B33" s="66"/>
    </row>
    <row r="34" spans="2:2" x14ac:dyDescent="0.3">
      <c r="B34" s="66"/>
    </row>
    <row r="35" spans="2:2" x14ac:dyDescent="0.25">
      <c r="B35" s="474" t="s">
        <v>1614</v>
      </c>
    </row>
    <row r="36" spans="2:2" x14ac:dyDescent="0.25">
      <c r="B36" s="474" t="s">
        <v>1615</v>
      </c>
    </row>
  </sheetData>
  <sheetProtection algorithmName="SHA-512" hashValue="7nUlAJPfY/X1fOgXmD6YF74xf1/wGAHk+FdZZdsCMX6OJcnk4nxpYX45y9K0nj9N0HXLOk+optfvuDKEkNee5g==" saltValue="m/qu9XTcr4C87GOBLdfszg==" spinCount="100000" sheet="1" objects="1" scenarios="1" insertHyperlinks="0"/>
  <mergeCells count="6">
    <mergeCell ref="A6:B6"/>
    <mergeCell ref="A1:D1"/>
    <mergeCell ref="A3:D3"/>
    <mergeCell ref="A2:D2"/>
    <mergeCell ref="A4:D4"/>
    <mergeCell ref="B5:C5"/>
  </mergeCells>
  <printOptions horizontalCentered="1"/>
  <pageMargins left="0.39370078740157483" right="0.39370078740157483" top="0.74803149606299213" bottom="0.74803149606299213" header="0.31496062992125984" footer="0.31496062992125984"/>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G93"/>
  <sheetViews>
    <sheetView view="pageBreakPreview" zoomScaleNormal="100" zoomScaleSheetLayoutView="100" workbookViewId="0">
      <selection activeCell="A3" sqref="A3:G3"/>
    </sheetView>
  </sheetViews>
  <sheetFormatPr baseColWidth="10" defaultColWidth="11.42578125" defaultRowHeight="16.5" x14ac:dyDescent="0.25"/>
  <cols>
    <col min="1" max="1" width="52.28515625" style="156" bestFit="1" customWidth="1"/>
    <col min="2" max="7" width="13.7109375" style="156" customWidth="1"/>
    <col min="8" max="16384" width="11.42578125" style="156"/>
  </cols>
  <sheetData>
    <row r="1" spans="1:7" x14ac:dyDescent="0.25">
      <c r="A1" s="894" t="s">
        <v>76</v>
      </c>
      <c r="B1" s="894"/>
      <c r="C1" s="894"/>
      <c r="D1" s="894"/>
      <c r="E1" s="894"/>
      <c r="F1" s="894"/>
      <c r="G1" s="894"/>
    </row>
    <row r="2" spans="1:7" s="220" customFormat="1" ht="15.75" x14ac:dyDescent="0.25">
      <c r="A2" s="894" t="s">
        <v>1630</v>
      </c>
      <c r="B2" s="894"/>
      <c r="C2" s="894"/>
      <c r="D2" s="894"/>
      <c r="E2" s="894"/>
      <c r="F2" s="894"/>
      <c r="G2" s="894"/>
    </row>
    <row r="3" spans="1:7" s="220" customFormat="1" ht="15.75" x14ac:dyDescent="0.25">
      <c r="A3" s="894" t="s">
        <v>324</v>
      </c>
      <c r="B3" s="894"/>
      <c r="C3" s="894"/>
      <c r="D3" s="894"/>
      <c r="E3" s="894"/>
      <c r="F3" s="894"/>
      <c r="G3" s="894"/>
    </row>
    <row r="4" spans="1:7" s="220" customFormat="1" x14ac:dyDescent="0.25">
      <c r="A4" s="895" t="s">
        <v>587</v>
      </c>
      <c r="B4" s="895"/>
      <c r="C4" s="895"/>
      <c r="D4" s="895"/>
      <c r="E4" s="895"/>
      <c r="F4" s="895"/>
      <c r="G4" s="895"/>
    </row>
    <row r="5" spans="1:7" s="220" customFormat="1" x14ac:dyDescent="0.25">
      <c r="A5" s="895" t="s">
        <v>590</v>
      </c>
      <c r="B5" s="895"/>
      <c r="C5" s="895"/>
      <c r="D5" s="895"/>
      <c r="E5" s="895"/>
      <c r="F5" s="895"/>
      <c r="G5" s="895"/>
    </row>
    <row r="6" spans="1:7" s="222" customFormat="1" ht="17.25" thickBot="1" x14ac:dyDescent="0.3">
      <c r="A6" s="221"/>
      <c r="C6" s="706" t="s">
        <v>78</v>
      </c>
      <c r="D6" s="706"/>
      <c r="E6" s="706"/>
      <c r="F6" s="329" t="s">
        <v>79</v>
      </c>
      <c r="G6" s="222" t="s">
        <v>589</v>
      </c>
    </row>
    <row r="7" spans="1:7" s="367" customFormat="1" ht="38.25" x14ac:dyDescent="0.25">
      <c r="A7" s="937" t="s">
        <v>325</v>
      </c>
      <c r="B7" s="275" t="s">
        <v>326</v>
      </c>
      <c r="C7" s="275" t="s">
        <v>327</v>
      </c>
      <c r="D7" s="604" t="s">
        <v>328</v>
      </c>
      <c r="E7" s="276" t="s">
        <v>329</v>
      </c>
      <c r="F7" s="276" t="s">
        <v>330</v>
      </c>
      <c r="G7" s="605" t="s">
        <v>331</v>
      </c>
    </row>
    <row r="8" spans="1:7" s="368" customFormat="1" ht="13.5" thickBot="1" x14ac:dyDescent="0.3">
      <c r="A8" s="938"/>
      <c r="B8" s="279" t="s">
        <v>277</v>
      </c>
      <c r="C8" s="279" t="s">
        <v>278</v>
      </c>
      <c r="D8" s="606" t="s">
        <v>332</v>
      </c>
      <c r="E8" s="280" t="s">
        <v>280</v>
      </c>
      <c r="F8" s="280" t="s">
        <v>281</v>
      </c>
      <c r="G8" s="607" t="s">
        <v>333</v>
      </c>
    </row>
    <row r="9" spans="1:7" s="369" customFormat="1" ht="16.5" customHeight="1" x14ac:dyDescent="0.25">
      <c r="A9" s="608" t="s">
        <v>163</v>
      </c>
      <c r="B9" s="613">
        <f>SUM(B10:B16)</f>
        <v>12673898.240000002</v>
      </c>
      <c r="C9" s="613">
        <f>SUM(C10:C16)</f>
        <v>17997.759999999766</v>
      </c>
      <c r="D9" s="613">
        <f>B9+C9</f>
        <v>12691896.000000002</v>
      </c>
      <c r="E9" s="613">
        <f>SUM(E10:E16)</f>
        <v>8782261.5600000005</v>
      </c>
      <c r="F9" s="613">
        <f>SUM(F10:F16)</f>
        <v>8782261.5600000005</v>
      </c>
      <c r="G9" s="614">
        <f>D9-E9</f>
        <v>3909634.4400000013</v>
      </c>
    </row>
    <row r="10" spans="1:7" s="369" customFormat="1" ht="14.25" x14ac:dyDescent="0.25">
      <c r="A10" s="609" t="s">
        <v>334</v>
      </c>
      <c r="B10" s="615">
        <f>+'[2]ETCA-II-11-E '!C11</f>
        <v>4810655.4000000004</v>
      </c>
      <c r="C10" s="615">
        <f>+'[2]ETCA-II-11-E '!D11</f>
        <v>1336486.0899999999</v>
      </c>
      <c r="D10" s="613">
        <f t="shared" ref="D10:D72" si="0">B10+C10</f>
        <v>6147141.4900000002</v>
      </c>
      <c r="E10" s="615">
        <f>+'[2]ETCA-II-11-E '!F11</f>
        <v>6021728.4199999999</v>
      </c>
      <c r="F10" s="615">
        <f>+'[2]ETCA-II-11-E '!G11</f>
        <v>6021728.4199999999</v>
      </c>
      <c r="G10" s="614">
        <f t="shared" ref="G10:G73" si="1">D10-E10</f>
        <v>125413.0700000003</v>
      </c>
    </row>
    <row r="11" spans="1:7" s="369" customFormat="1" ht="14.25" x14ac:dyDescent="0.25">
      <c r="A11" s="609" t="s">
        <v>335</v>
      </c>
      <c r="B11" s="615">
        <f>+'[2]ETCA-II-11-E '!C17</f>
        <v>0</v>
      </c>
      <c r="C11" s="615">
        <f>+'[2]ETCA-II-11-E '!D17</f>
        <v>290033.88</v>
      </c>
      <c r="D11" s="613">
        <f t="shared" si="0"/>
        <v>290033.88</v>
      </c>
      <c r="E11" s="615">
        <f>+'[2]ETCA-II-11-E '!F17</f>
        <v>288769.44</v>
      </c>
      <c r="F11" s="615">
        <f>+'[2]ETCA-II-11-E '!G17</f>
        <v>288769.44</v>
      </c>
      <c r="G11" s="614">
        <f t="shared" si="1"/>
        <v>1264.4400000000023</v>
      </c>
    </row>
    <row r="12" spans="1:7" s="369" customFormat="1" ht="14.25" x14ac:dyDescent="0.25">
      <c r="A12" s="609" t="s">
        <v>336</v>
      </c>
      <c r="B12" s="615">
        <f>+'[2]ETCA-II-11-E '!C19</f>
        <v>4378951.2</v>
      </c>
      <c r="C12" s="615">
        <f>+'[2]ETCA-II-11-E '!D19</f>
        <v>-1633710.97</v>
      </c>
      <c r="D12" s="613">
        <f t="shared" si="0"/>
        <v>2745240.2300000004</v>
      </c>
      <c r="E12" s="615">
        <f>+'[2]ETCA-II-11-E '!F19</f>
        <v>646034.5</v>
      </c>
      <c r="F12" s="615">
        <f>+'[2]ETCA-II-11-E '!G19</f>
        <v>646034.5</v>
      </c>
      <c r="G12" s="614">
        <f t="shared" si="1"/>
        <v>2099205.7300000004</v>
      </c>
    </row>
    <row r="13" spans="1:7" s="369" customFormat="1" ht="14.25" x14ac:dyDescent="0.25">
      <c r="A13" s="609" t="s">
        <v>337</v>
      </c>
      <c r="B13" s="615">
        <f>+'[2]ETCA-II-11-E '!C26</f>
        <v>3484291.64</v>
      </c>
      <c r="C13" s="615">
        <f>+'[2]ETCA-II-11-E '!D26</f>
        <v>7191</v>
      </c>
      <c r="D13" s="613">
        <f t="shared" si="0"/>
        <v>3491482.64</v>
      </c>
      <c r="E13" s="615">
        <f>+'[2]ETCA-II-11-E '!F26</f>
        <v>1807731.44</v>
      </c>
      <c r="F13" s="615">
        <f>+'[2]ETCA-II-11-E '!G26</f>
        <v>1807731.44</v>
      </c>
      <c r="G13" s="614">
        <f t="shared" si="1"/>
        <v>1683751.2000000002</v>
      </c>
    </row>
    <row r="14" spans="1:7" s="369" customFormat="1" ht="14.25" x14ac:dyDescent="0.25">
      <c r="A14" s="609" t="s">
        <v>338</v>
      </c>
      <c r="B14" s="615">
        <f>+'[2]ETCA-II-11-E '!C37</f>
        <v>0</v>
      </c>
      <c r="C14" s="615">
        <f>+'[2]ETCA-II-11-E '!D37</f>
        <v>17997.759999999998</v>
      </c>
      <c r="D14" s="613">
        <f t="shared" si="0"/>
        <v>17997.759999999998</v>
      </c>
      <c r="E14" s="615">
        <f>+'[2]ETCA-II-11-E '!F37</f>
        <v>17997.759999999998</v>
      </c>
      <c r="F14" s="615">
        <f>+'[2]ETCA-II-11-E '!G37</f>
        <v>17997.759999999998</v>
      </c>
      <c r="G14" s="614">
        <f t="shared" si="1"/>
        <v>0</v>
      </c>
    </row>
    <row r="15" spans="1:7" s="369" customFormat="1" ht="14.25" x14ac:dyDescent="0.25">
      <c r="A15" s="609" t="s">
        <v>339</v>
      </c>
      <c r="B15" s="615"/>
      <c r="C15" s="615"/>
      <c r="D15" s="613">
        <f t="shared" si="0"/>
        <v>0</v>
      </c>
      <c r="E15" s="615"/>
      <c r="F15" s="615"/>
      <c r="G15" s="614">
        <f t="shared" si="1"/>
        <v>0</v>
      </c>
    </row>
    <row r="16" spans="1:7" s="369" customFormat="1" ht="14.25" x14ac:dyDescent="0.25">
      <c r="A16" s="609" t="s">
        <v>340</v>
      </c>
      <c r="B16" s="615"/>
      <c r="C16" s="615"/>
      <c r="D16" s="613">
        <f t="shared" si="0"/>
        <v>0</v>
      </c>
      <c r="E16" s="615"/>
      <c r="F16" s="615"/>
      <c r="G16" s="614">
        <f t="shared" si="1"/>
        <v>0</v>
      </c>
    </row>
    <row r="17" spans="1:7" s="369" customFormat="1" ht="16.5" customHeight="1" x14ac:dyDescent="0.25">
      <c r="A17" s="610" t="s">
        <v>164</v>
      </c>
      <c r="B17" s="613">
        <f>SUM(B18:B26)</f>
        <v>1564130.78</v>
      </c>
      <c r="C17" s="613">
        <f>SUM(C18:C26)</f>
        <v>109521.33999999998</v>
      </c>
      <c r="D17" s="613">
        <f>B17+C17</f>
        <v>1673652.12</v>
      </c>
      <c r="E17" s="613">
        <f>SUM(E18:E26)</f>
        <v>884946.33999999985</v>
      </c>
      <c r="F17" s="613">
        <f>SUM(F18:F26)</f>
        <v>884946.33999999985</v>
      </c>
      <c r="G17" s="614">
        <f t="shared" si="1"/>
        <v>788705.78000000026</v>
      </c>
    </row>
    <row r="18" spans="1:7" s="369" customFormat="1" ht="30" customHeight="1" x14ac:dyDescent="0.25">
      <c r="A18" s="609" t="s">
        <v>341</v>
      </c>
      <c r="B18" s="615">
        <f>+'[2]ETCA-II-11-E '!C40</f>
        <v>655932.37999999989</v>
      </c>
      <c r="C18" s="615">
        <f>+'[2]ETCA-II-11-E '!D40</f>
        <v>-9911.210000000021</v>
      </c>
      <c r="D18" s="613">
        <f t="shared" si="0"/>
        <v>646021.16999999993</v>
      </c>
      <c r="E18" s="615">
        <f>+'[2]ETCA-II-11-E '!F40</f>
        <v>292447.58999999997</v>
      </c>
      <c r="F18" s="615">
        <f>+'[2]ETCA-II-11-E '!G40</f>
        <v>292447.58999999997</v>
      </c>
      <c r="G18" s="614">
        <f t="shared" si="1"/>
        <v>353573.57999999996</v>
      </c>
    </row>
    <row r="19" spans="1:7" s="369" customFormat="1" ht="14.25" x14ac:dyDescent="0.25">
      <c r="A19" s="609" t="s">
        <v>342</v>
      </c>
      <c r="B19" s="615">
        <f>+'[2]ETCA-II-11-E '!C47</f>
        <v>42797.88</v>
      </c>
      <c r="C19" s="615">
        <f>+'[2]ETCA-II-11-E '!D47</f>
        <v>10900.000000000004</v>
      </c>
      <c r="D19" s="613">
        <f t="shared" si="0"/>
        <v>53697.880000000005</v>
      </c>
      <c r="E19" s="615">
        <f>+'[2]ETCA-II-11-E '!F47</f>
        <v>26643.93</v>
      </c>
      <c r="F19" s="615">
        <f>+'[2]ETCA-II-11-E '!G47</f>
        <v>26643.93</v>
      </c>
      <c r="G19" s="614">
        <f t="shared" si="1"/>
        <v>27053.950000000004</v>
      </c>
    </row>
    <row r="20" spans="1:7" s="369" customFormat="1" ht="14.25" x14ac:dyDescent="0.25">
      <c r="A20" s="609" t="s">
        <v>343</v>
      </c>
      <c r="B20" s="615"/>
      <c r="C20" s="615"/>
      <c r="D20" s="613">
        <f t="shared" si="0"/>
        <v>0</v>
      </c>
      <c r="E20" s="615"/>
      <c r="F20" s="615"/>
      <c r="G20" s="614">
        <f t="shared" si="1"/>
        <v>0</v>
      </c>
    </row>
    <row r="21" spans="1:7" s="369" customFormat="1" ht="14.25" x14ac:dyDescent="0.25">
      <c r="A21" s="609" t="s">
        <v>344</v>
      </c>
      <c r="B21" s="615">
        <f>+'[2]ETCA-II-11-E '!C51</f>
        <v>5000.16</v>
      </c>
      <c r="C21" s="615">
        <f>+'[2]ETCA-II-11-E '!D51</f>
        <v>-1532.43</v>
      </c>
      <c r="D21" s="613">
        <f t="shared" si="0"/>
        <v>3467.7299999999996</v>
      </c>
      <c r="E21" s="615">
        <f>+'[2]ETCA-II-11-E '!F51</f>
        <v>1467.57</v>
      </c>
      <c r="F21" s="615">
        <f>+'[2]ETCA-II-11-E '!G51</f>
        <v>1467.57</v>
      </c>
      <c r="G21" s="614">
        <f t="shared" si="1"/>
        <v>2000.1599999999996</v>
      </c>
    </row>
    <row r="22" spans="1:7" s="369" customFormat="1" ht="14.25" x14ac:dyDescent="0.25">
      <c r="A22" s="609" t="s">
        <v>345</v>
      </c>
      <c r="B22" s="615"/>
      <c r="C22" s="615"/>
      <c r="D22" s="613">
        <f t="shared" si="0"/>
        <v>0</v>
      </c>
      <c r="E22" s="615"/>
      <c r="F22" s="615"/>
      <c r="G22" s="614">
        <f t="shared" si="1"/>
        <v>0</v>
      </c>
    </row>
    <row r="23" spans="1:7" s="369" customFormat="1" ht="14.25" x14ac:dyDescent="0.25">
      <c r="A23" s="609" t="s">
        <v>346</v>
      </c>
      <c r="B23" s="615">
        <f>+'[2]ETCA-II-11-E '!C57</f>
        <v>807000.12</v>
      </c>
      <c r="C23" s="615">
        <f>+'[2]ETCA-II-11-E '!D57</f>
        <v>-9870</v>
      </c>
      <c r="D23" s="613">
        <f t="shared" si="0"/>
        <v>797130.12</v>
      </c>
      <c r="E23" s="615">
        <f>+'[2]ETCA-II-11-E '!F57</f>
        <v>394190.58</v>
      </c>
      <c r="F23" s="615">
        <f>+'[2]ETCA-II-11-E '!G57</f>
        <v>394190.58</v>
      </c>
      <c r="G23" s="614">
        <f t="shared" si="1"/>
        <v>402939.54</v>
      </c>
    </row>
    <row r="24" spans="1:7" s="369" customFormat="1" ht="14.25" x14ac:dyDescent="0.25">
      <c r="A24" s="609" t="s">
        <v>347</v>
      </c>
      <c r="B24" s="615">
        <f>+'[2]ETCA-II-11-E '!C60</f>
        <v>5000.04</v>
      </c>
      <c r="C24" s="615">
        <f>+'[2]ETCA-II-11-E '!D60</f>
        <v>-1027.8000000000002</v>
      </c>
      <c r="D24" s="613">
        <f t="shared" si="0"/>
        <v>3972.24</v>
      </c>
      <c r="E24" s="615">
        <f>+'[2]ETCA-II-11-E '!F60</f>
        <v>3506.6</v>
      </c>
      <c r="F24" s="615">
        <f>+'[2]ETCA-II-11-E '!G60</f>
        <v>3506.6</v>
      </c>
      <c r="G24" s="614">
        <f t="shared" si="1"/>
        <v>465.63999999999987</v>
      </c>
    </row>
    <row r="25" spans="1:7" s="369" customFormat="1" ht="14.25" x14ac:dyDescent="0.25">
      <c r="A25" s="609" t="s">
        <v>348</v>
      </c>
      <c r="B25" s="615">
        <f>+'[2]ETCA-II-11-E '!C63</f>
        <v>0</v>
      </c>
      <c r="C25" s="615">
        <f>+'[2]ETCA-II-11-E '!D63</f>
        <v>14453.6</v>
      </c>
      <c r="D25" s="613">
        <f t="shared" si="0"/>
        <v>14453.6</v>
      </c>
      <c r="E25" s="615">
        <f>+'[2]ETCA-II-11-E '!F63</f>
        <v>14453.6</v>
      </c>
      <c r="F25" s="615">
        <f>+'[2]ETCA-II-11-E '!G63</f>
        <v>14453.6</v>
      </c>
      <c r="G25" s="614">
        <f t="shared" si="1"/>
        <v>0</v>
      </c>
    </row>
    <row r="26" spans="1:7" s="369" customFormat="1" ht="14.25" x14ac:dyDescent="0.25">
      <c r="A26" s="609" t="s">
        <v>349</v>
      </c>
      <c r="B26" s="615">
        <f>+'[2]ETCA-II-11-E '!C65</f>
        <v>48400.2</v>
      </c>
      <c r="C26" s="615">
        <f>+'[2]ETCA-II-11-E '!D65</f>
        <v>106509.18</v>
      </c>
      <c r="D26" s="613">
        <f t="shared" si="0"/>
        <v>154909.38</v>
      </c>
      <c r="E26" s="615">
        <f>+'[2]ETCA-II-11-E '!F65</f>
        <v>152236.47</v>
      </c>
      <c r="F26" s="615">
        <f>+'[2]ETCA-II-11-E '!G65</f>
        <v>152236.47</v>
      </c>
      <c r="G26" s="614">
        <f t="shared" si="1"/>
        <v>2672.9100000000035</v>
      </c>
    </row>
    <row r="27" spans="1:7" s="369" customFormat="1" ht="16.5" customHeight="1" x14ac:dyDescent="0.25">
      <c r="A27" s="610" t="s">
        <v>165</v>
      </c>
      <c r="B27" s="613">
        <f>SUM(B28:B36)</f>
        <v>3433733.45</v>
      </c>
      <c r="C27" s="613">
        <f>SUM(C28:C36)</f>
        <v>-222759.06</v>
      </c>
      <c r="D27" s="613">
        <f>B27+C27</f>
        <v>3210974.39</v>
      </c>
      <c r="E27" s="613">
        <f>SUM(E28:E36)</f>
        <v>1563217.3099999998</v>
      </c>
      <c r="F27" s="613">
        <f>SUM(F28:F36)</f>
        <v>1563217.3099999998</v>
      </c>
      <c r="G27" s="614">
        <f t="shared" si="1"/>
        <v>1647757.0800000003</v>
      </c>
    </row>
    <row r="28" spans="1:7" s="369" customFormat="1" ht="14.25" x14ac:dyDescent="0.25">
      <c r="A28" s="609" t="s">
        <v>350</v>
      </c>
      <c r="B28" s="615">
        <f>+'[2]ETCA-II-11-E '!C72</f>
        <v>521349.12</v>
      </c>
      <c r="C28" s="615">
        <f>+'[2]ETCA-II-11-E '!D72</f>
        <v>-6332.4200000000128</v>
      </c>
      <c r="D28" s="613">
        <f t="shared" si="0"/>
        <v>515016.69999999995</v>
      </c>
      <c r="E28" s="615">
        <f>+'[2]ETCA-II-11-E '!F72</f>
        <v>218340.4</v>
      </c>
      <c r="F28" s="615">
        <f>+'[2]ETCA-II-11-E '!G72</f>
        <v>218340.4</v>
      </c>
      <c r="G28" s="614">
        <f t="shared" si="1"/>
        <v>296676.29999999993</v>
      </c>
    </row>
    <row r="29" spans="1:7" s="369" customFormat="1" ht="14.25" x14ac:dyDescent="0.25">
      <c r="A29" s="609" t="s">
        <v>351</v>
      </c>
      <c r="B29" s="615">
        <f>+'[2]ETCA-II-11-E '!C80</f>
        <v>144999.24</v>
      </c>
      <c r="C29" s="615">
        <f>+'[2]ETCA-II-11-E '!D80</f>
        <v>3352.2</v>
      </c>
      <c r="D29" s="613">
        <f t="shared" si="0"/>
        <v>148351.44</v>
      </c>
      <c r="E29" s="615">
        <f>+'[2]ETCA-II-11-E '!F80</f>
        <v>76494.75</v>
      </c>
      <c r="F29" s="615">
        <f>+'[2]ETCA-II-11-E '!G80</f>
        <v>76494.75</v>
      </c>
      <c r="G29" s="614">
        <f t="shared" si="1"/>
        <v>71856.69</v>
      </c>
    </row>
    <row r="30" spans="1:7" s="369" customFormat="1" ht="14.25" x14ac:dyDescent="0.25">
      <c r="A30" s="609" t="s">
        <v>352</v>
      </c>
      <c r="B30" s="615">
        <f>+'[2]ETCA-II-11-E '!C85</f>
        <v>775199.76</v>
      </c>
      <c r="C30" s="615">
        <f>+'[2]ETCA-II-11-E '!D85</f>
        <v>-53237.48</v>
      </c>
      <c r="D30" s="613">
        <f t="shared" si="0"/>
        <v>721962.28</v>
      </c>
      <c r="E30" s="615">
        <f>+'[2]ETCA-II-11-E '!F85</f>
        <v>351876.56999999995</v>
      </c>
      <c r="F30" s="615">
        <f>+'[2]ETCA-II-11-E '!G85</f>
        <v>351876.56999999995</v>
      </c>
      <c r="G30" s="614">
        <f t="shared" si="1"/>
        <v>370085.71000000008</v>
      </c>
    </row>
    <row r="31" spans="1:7" s="369" customFormat="1" ht="14.25" x14ac:dyDescent="0.25">
      <c r="A31" s="609" t="s">
        <v>353</v>
      </c>
      <c r="B31" s="615">
        <f>+'[2]ETCA-II-11-E '!C94</f>
        <v>292999.92</v>
      </c>
      <c r="C31" s="615">
        <f>+'[2]ETCA-II-11-E '!D94</f>
        <v>-55994.2</v>
      </c>
      <c r="D31" s="613">
        <f t="shared" si="0"/>
        <v>237005.71999999997</v>
      </c>
      <c r="E31" s="615">
        <f>+'[2]ETCA-II-11-E '!F94</f>
        <v>101883.38</v>
      </c>
      <c r="F31" s="615">
        <f>+'[2]ETCA-II-11-E '!G94</f>
        <v>101883.38</v>
      </c>
      <c r="G31" s="614">
        <f t="shared" si="1"/>
        <v>135122.33999999997</v>
      </c>
    </row>
    <row r="32" spans="1:7" s="369" customFormat="1" ht="14.25" x14ac:dyDescent="0.25">
      <c r="A32" s="609" t="s">
        <v>354</v>
      </c>
      <c r="B32" s="615">
        <f>+'[2]ETCA-II-11-E '!C99</f>
        <v>573386.28</v>
      </c>
      <c r="C32" s="615">
        <f>+'[2]ETCA-II-11-E '!D99</f>
        <v>-143240.56999999998</v>
      </c>
      <c r="D32" s="613">
        <f t="shared" si="0"/>
        <v>430145.71000000008</v>
      </c>
      <c r="E32" s="615">
        <f>+'[2]ETCA-II-11-E '!F99</f>
        <v>312022.76</v>
      </c>
      <c r="F32" s="615">
        <f>+'[2]ETCA-II-11-E '!G99</f>
        <v>312022.76</v>
      </c>
      <c r="G32" s="614">
        <f t="shared" si="1"/>
        <v>118122.95000000007</v>
      </c>
    </row>
    <row r="33" spans="1:7" s="369" customFormat="1" ht="14.25" x14ac:dyDescent="0.25">
      <c r="A33" s="609" t="s">
        <v>355</v>
      </c>
      <c r="B33" s="615">
        <f>+'[2]ETCA-II-11-E '!C107</f>
        <v>221000.04</v>
      </c>
      <c r="C33" s="615">
        <f>+'[2]ETCA-II-11-E '!D107</f>
        <v>92779.41</v>
      </c>
      <c r="D33" s="613">
        <f t="shared" si="0"/>
        <v>313779.45</v>
      </c>
      <c r="E33" s="615">
        <f>+'[2]ETCA-II-11-E '!F107</f>
        <v>313779.45</v>
      </c>
      <c r="F33" s="615">
        <f>+'[2]ETCA-II-11-E '!G107</f>
        <v>313779.45</v>
      </c>
      <c r="G33" s="614">
        <f t="shared" si="1"/>
        <v>0</v>
      </c>
    </row>
    <row r="34" spans="1:7" s="369" customFormat="1" ht="14.25" x14ac:dyDescent="0.25">
      <c r="A34" s="609" t="s">
        <v>356</v>
      </c>
      <c r="B34" s="615">
        <f>+'[2]ETCA-II-11-E '!C109</f>
        <v>800799.05</v>
      </c>
      <c r="C34" s="615">
        <f>+'[2]ETCA-II-11-E '!D109</f>
        <v>-64905</v>
      </c>
      <c r="D34" s="613">
        <f t="shared" si="0"/>
        <v>735894.05</v>
      </c>
      <c r="E34" s="615">
        <f>+'[2]ETCA-II-11-E '!F109</f>
        <v>177041</v>
      </c>
      <c r="F34" s="615">
        <f>+'[2]ETCA-II-11-E '!G109</f>
        <v>177041</v>
      </c>
      <c r="G34" s="614">
        <f t="shared" si="1"/>
        <v>558853.05000000005</v>
      </c>
    </row>
    <row r="35" spans="1:7" s="369" customFormat="1" ht="15" thickBot="1" x14ac:dyDescent="0.3">
      <c r="A35" s="611" t="s">
        <v>357</v>
      </c>
      <c r="B35" s="616">
        <f>+'[2]ETCA-II-11-E '!C115</f>
        <v>104000.04</v>
      </c>
      <c r="C35" s="616">
        <f>+'[2]ETCA-II-11-E '!D115</f>
        <v>0</v>
      </c>
      <c r="D35" s="617">
        <f t="shared" si="0"/>
        <v>104000.04</v>
      </c>
      <c r="E35" s="616">
        <f>+'[2]ETCA-II-11-E '!F115</f>
        <v>6960</v>
      </c>
      <c r="F35" s="616">
        <f>+'[2]ETCA-II-11-E '!G115</f>
        <v>6960</v>
      </c>
      <c r="G35" s="618">
        <f t="shared" si="1"/>
        <v>97040.04</v>
      </c>
    </row>
    <row r="36" spans="1:7" s="369" customFormat="1" ht="14.25" x14ac:dyDescent="0.25">
      <c r="A36" s="609" t="s">
        <v>358</v>
      </c>
      <c r="B36" s="615">
        <f>+'[2]ETCA-II-11-E '!C118</f>
        <v>0</v>
      </c>
      <c r="C36" s="615">
        <f>+'[2]ETCA-II-11-E '!D118</f>
        <v>4819</v>
      </c>
      <c r="D36" s="613">
        <f t="shared" si="0"/>
        <v>4819</v>
      </c>
      <c r="E36" s="615">
        <f>+'[2]ETCA-II-11-E '!F118</f>
        <v>4819</v>
      </c>
      <c r="F36" s="615">
        <f>+'[2]ETCA-II-11-E '!G118</f>
        <v>4819</v>
      </c>
      <c r="G36" s="614">
        <f t="shared" si="1"/>
        <v>0</v>
      </c>
    </row>
    <row r="37" spans="1:7" s="369" customFormat="1" ht="21" customHeight="1" x14ac:dyDescent="0.25">
      <c r="A37" s="610" t="s">
        <v>299</v>
      </c>
      <c r="B37" s="613">
        <f>SUM(B38:B46)</f>
        <v>0</v>
      </c>
      <c r="C37" s="613">
        <f>SUM(C38:C46)</f>
        <v>0</v>
      </c>
      <c r="D37" s="613">
        <f>B37+C37</f>
        <v>0</v>
      </c>
      <c r="E37" s="613">
        <f>SUM(E38:E46)</f>
        <v>0</v>
      </c>
      <c r="F37" s="613">
        <f>SUM(F38:F46)</f>
        <v>0</v>
      </c>
      <c r="G37" s="614">
        <f t="shared" si="1"/>
        <v>0</v>
      </c>
    </row>
    <row r="38" spans="1:7" s="369" customFormat="1" ht="14.25" x14ac:dyDescent="0.25">
      <c r="A38" s="609" t="s">
        <v>166</v>
      </c>
      <c r="B38" s="615"/>
      <c r="C38" s="615"/>
      <c r="D38" s="613">
        <f t="shared" si="0"/>
        <v>0</v>
      </c>
      <c r="E38" s="615"/>
      <c r="F38" s="615"/>
      <c r="G38" s="614">
        <f t="shared" si="1"/>
        <v>0</v>
      </c>
    </row>
    <row r="39" spans="1:7" s="369" customFormat="1" ht="14.25" x14ac:dyDescent="0.25">
      <c r="A39" s="609" t="s">
        <v>167</v>
      </c>
      <c r="B39" s="615"/>
      <c r="C39" s="615"/>
      <c r="D39" s="613">
        <f t="shared" si="0"/>
        <v>0</v>
      </c>
      <c r="E39" s="615"/>
      <c r="F39" s="615"/>
      <c r="G39" s="614">
        <f t="shared" si="1"/>
        <v>0</v>
      </c>
    </row>
    <row r="40" spans="1:7" s="369" customFormat="1" ht="14.25" x14ac:dyDescent="0.25">
      <c r="A40" s="609" t="s">
        <v>168</v>
      </c>
      <c r="B40" s="615"/>
      <c r="C40" s="615"/>
      <c r="D40" s="613">
        <f t="shared" si="0"/>
        <v>0</v>
      </c>
      <c r="E40" s="615"/>
      <c r="F40" s="615"/>
      <c r="G40" s="614">
        <f t="shared" si="1"/>
        <v>0</v>
      </c>
    </row>
    <row r="41" spans="1:7" s="369" customFormat="1" ht="14.25" x14ac:dyDescent="0.25">
      <c r="A41" s="609" t="s">
        <v>169</v>
      </c>
      <c r="B41" s="615"/>
      <c r="C41" s="615"/>
      <c r="D41" s="613">
        <f t="shared" si="0"/>
        <v>0</v>
      </c>
      <c r="E41" s="615"/>
      <c r="F41" s="615"/>
      <c r="G41" s="614">
        <f t="shared" si="1"/>
        <v>0</v>
      </c>
    </row>
    <row r="42" spans="1:7" s="369" customFormat="1" ht="14.25" x14ac:dyDescent="0.25">
      <c r="A42" s="609" t="s">
        <v>170</v>
      </c>
      <c r="B42" s="615"/>
      <c r="C42" s="615"/>
      <c r="D42" s="613">
        <f t="shared" si="0"/>
        <v>0</v>
      </c>
      <c r="E42" s="615"/>
      <c r="F42" s="615"/>
      <c r="G42" s="614">
        <f t="shared" si="1"/>
        <v>0</v>
      </c>
    </row>
    <row r="43" spans="1:7" s="369" customFormat="1" ht="14.25" x14ac:dyDescent="0.25">
      <c r="A43" s="609" t="s">
        <v>359</v>
      </c>
      <c r="B43" s="615"/>
      <c r="C43" s="615"/>
      <c r="D43" s="613">
        <f t="shared" si="0"/>
        <v>0</v>
      </c>
      <c r="E43" s="615"/>
      <c r="F43" s="615"/>
      <c r="G43" s="614">
        <f t="shared" si="1"/>
        <v>0</v>
      </c>
    </row>
    <row r="44" spans="1:7" s="369" customFormat="1" ht="14.25" x14ac:dyDescent="0.25">
      <c r="A44" s="609" t="s">
        <v>172</v>
      </c>
      <c r="B44" s="615"/>
      <c r="C44" s="615"/>
      <c r="D44" s="613">
        <f t="shared" si="0"/>
        <v>0</v>
      </c>
      <c r="E44" s="615"/>
      <c r="F44" s="615"/>
      <c r="G44" s="614">
        <f t="shared" si="1"/>
        <v>0</v>
      </c>
    </row>
    <row r="45" spans="1:7" s="369" customFormat="1" ht="14.25" x14ac:dyDescent="0.25">
      <c r="A45" s="609" t="s">
        <v>173</v>
      </c>
      <c r="B45" s="615"/>
      <c r="C45" s="615"/>
      <c r="D45" s="613">
        <f t="shared" si="0"/>
        <v>0</v>
      </c>
      <c r="E45" s="615"/>
      <c r="F45" s="615"/>
      <c r="G45" s="614">
        <f t="shared" si="1"/>
        <v>0</v>
      </c>
    </row>
    <row r="46" spans="1:7" s="369" customFormat="1" ht="14.25" x14ac:dyDescent="0.25">
      <c r="A46" s="609" t="s">
        <v>174</v>
      </c>
      <c r="B46" s="615"/>
      <c r="C46" s="615"/>
      <c r="D46" s="613">
        <f t="shared" si="0"/>
        <v>0</v>
      </c>
      <c r="E46" s="615"/>
      <c r="F46" s="615"/>
      <c r="G46" s="614">
        <f t="shared" si="1"/>
        <v>0</v>
      </c>
    </row>
    <row r="47" spans="1:7" s="369" customFormat="1" ht="16.5" customHeight="1" x14ac:dyDescent="0.25">
      <c r="A47" s="610" t="s">
        <v>360</v>
      </c>
      <c r="B47" s="613">
        <f>SUM(B48:B56)</f>
        <v>0</v>
      </c>
      <c r="C47" s="613">
        <f>SUM(C48:C56)</f>
        <v>1050137.72</v>
      </c>
      <c r="D47" s="613">
        <f>B47+C47</f>
        <v>1050137.72</v>
      </c>
      <c r="E47" s="613">
        <f>SUM(E48:E56)</f>
        <v>1049034.72</v>
      </c>
      <c r="F47" s="613">
        <f>SUM(F48:F56)</f>
        <v>1049034.72</v>
      </c>
      <c r="G47" s="614">
        <f t="shared" si="1"/>
        <v>1103</v>
      </c>
    </row>
    <row r="48" spans="1:7" s="369" customFormat="1" ht="14.25" x14ac:dyDescent="0.25">
      <c r="A48" s="609" t="s">
        <v>361</v>
      </c>
      <c r="B48" s="615">
        <f>+'[2]ETCA-II-11-E '!C123</f>
        <v>0</v>
      </c>
      <c r="C48" s="615">
        <f>+'[2]ETCA-II-11-E '!D123</f>
        <v>94436.73000000001</v>
      </c>
      <c r="D48" s="613">
        <f t="shared" si="0"/>
        <v>94436.73000000001</v>
      </c>
      <c r="E48" s="615">
        <f>+'[2]ETCA-II-11-E '!F123</f>
        <v>93334.73000000001</v>
      </c>
      <c r="F48" s="615">
        <f>+'[2]ETCA-II-11-E '!G123</f>
        <v>93334.73000000001</v>
      </c>
      <c r="G48" s="614">
        <f>D48-E48</f>
        <v>1102</v>
      </c>
    </row>
    <row r="49" spans="1:7" s="369" customFormat="1" ht="14.25" x14ac:dyDescent="0.25">
      <c r="A49" s="609" t="s">
        <v>362</v>
      </c>
      <c r="B49" s="615"/>
      <c r="C49" s="615"/>
      <c r="D49" s="613">
        <f t="shared" si="0"/>
        <v>0</v>
      </c>
      <c r="E49" s="615"/>
      <c r="F49" s="615"/>
      <c r="G49" s="614">
        <f t="shared" si="1"/>
        <v>0</v>
      </c>
    </row>
    <row r="50" spans="1:7" s="369" customFormat="1" ht="14.25" x14ac:dyDescent="0.25">
      <c r="A50" s="609" t="s">
        <v>363</v>
      </c>
      <c r="B50" s="615"/>
      <c r="C50" s="615"/>
      <c r="D50" s="613">
        <f t="shared" si="0"/>
        <v>0</v>
      </c>
      <c r="E50" s="615"/>
      <c r="F50" s="615"/>
      <c r="G50" s="614">
        <f t="shared" si="1"/>
        <v>0</v>
      </c>
    </row>
    <row r="51" spans="1:7" s="369" customFormat="1" ht="14.25" x14ac:dyDescent="0.25">
      <c r="A51" s="609" t="s">
        <v>364</v>
      </c>
      <c r="B51" s="615">
        <f>+'[2]ETCA-II-11-E '!C127</f>
        <v>0</v>
      </c>
      <c r="C51" s="615">
        <f>+'[2]ETCA-II-11-E '!D127</f>
        <v>936901</v>
      </c>
      <c r="D51" s="613">
        <f t="shared" si="0"/>
        <v>936901</v>
      </c>
      <c r="E51" s="615">
        <f>+'[2]ETCA-II-11-E '!F127</f>
        <v>936900</v>
      </c>
      <c r="F51" s="615">
        <f>+'[2]ETCA-II-11-E '!G127</f>
        <v>936900</v>
      </c>
      <c r="G51" s="614">
        <f t="shared" si="1"/>
        <v>1</v>
      </c>
    </row>
    <row r="52" spans="1:7" s="369" customFormat="1" ht="14.25" x14ac:dyDescent="0.25">
      <c r="A52" s="609" t="s">
        <v>365</v>
      </c>
      <c r="B52" s="615"/>
      <c r="C52" s="615"/>
      <c r="D52" s="613">
        <f t="shared" si="0"/>
        <v>0</v>
      </c>
      <c r="E52" s="615"/>
      <c r="F52" s="615"/>
      <c r="G52" s="614">
        <f t="shared" si="1"/>
        <v>0</v>
      </c>
    </row>
    <row r="53" spans="1:7" s="369" customFormat="1" ht="14.25" x14ac:dyDescent="0.25">
      <c r="A53" s="609" t="s">
        <v>366</v>
      </c>
      <c r="B53" s="615">
        <f>+'[2]ETCA-II-11-E '!C129</f>
        <v>0</v>
      </c>
      <c r="C53" s="615">
        <f>+'[2]ETCA-II-11-E '!D129</f>
        <v>18799.990000000002</v>
      </c>
      <c r="D53" s="613">
        <f t="shared" si="0"/>
        <v>18799.990000000002</v>
      </c>
      <c r="E53" s="615">
        <f>+'[2]ETCA-II-11-E '!F129</f>
        <v>18799.990000000002</v>
      </c>
      <c r="F53" s="615">
        <f>+'[2]ETCA-II-11-E '!G129</f>
        <v>18799.990000000002</v>
      </c>
      <c r="G53" s="614">
        <f t="shared" si="1"/>
        <v>0</v>
      </c>
    </row>
    <row r="54" spans="1:7" s="369" customFormat="1" ht="14.25" x14ac:dyDescent="0.25">
      <c r="A54" s="609" t="s">
        <v>367</v>
      </c>
      <c r="B54" s="615"/>
      <c r="C54" s="615"/>
      <c r="D54" s="613">
        <f t="shared" si="0"/>
        <v>0</v>
      </c>
      <c r="E54" s="615"/>
      <c r="F54" s="615"/>
      <c r="G54" s="614">
        <f t="shared" si="1"/>
        <v>0</v>
      </c>
    </row>
    <row r="55" spans="1:7" s="369" customFormat="1" ht="14.25" x14ac:dyDescent="0.25">
      <c r="A55" s="609" t="s">
        <v>368</v>
      </c>
      <c r="B55" s="615"/>
      <c r="C55" s="615"/>
      <c r="D55" s="613">
        <f t="shared" si="0"/>
        <v>0</v>
      </c>
      <c r="E55" s="615"/>
      <c r="F55" s="615"/>
      <c r="G55" s="614">
        <f t="shared" si="1"/>
        <v>0</v>
      </c>
    </row>
    <row r="56" spans="1:7" s="369" customFormat="1" ht="14.25" x14ac:dyDescent="0.25">
      <c r="A56" s="609" t="s">
        <v>111</v>
      </c>
      <c r="B56" s="615"/>
      <c r="C56" s="615"/>
      <c r="D56" s="613">
        <f t="shared" si="0"/>
        <v>0</v>
      </c>
      <c r="E56" s="615"/>
      <c r="F56" s="615"/>
      <c r="G56" s="614">
        <f t="shared" si="1"/>
        <v>0</v>
      </c>
    </row>
    <row r="57" spans="1:7" s="369" customFormat="1" ht="16.5" customHeight="1" x14ac:dyDescent="0.25">
      <c r="A57" s="610" t="s">
        <v>191</v>
      </c>
      <c r="B57" s="613">
        <f>SUM(B58:B60)</f>
        <v>333334145</v>
      </c>
      <c r="C57" s="613">
        <f>SUM(C58:C60)</f>
        <v>282877171.90999997</v>
      </c>
      <c r="D57" s="613">
        <f>B57+C57</f>
        <v>616211316.90999997</v>
      </c>
      <c r="E57" s="613">
        <f>SUM(E58:E60)</f>
        <v>52974648.479999997</v>
      </c>
      <c r="F57" s="613">
        <f>SUM(F58:F60)</f>
        <v>52974648.479999997</v>
      </c>
      <c r="G57" s="614">
        <f t="shared" si="1"/>
        <v>563236668.42999995</v>
      </c>
    </row>
    <row r="58" spans="1:7" s="369" customFormat="1" ht="14.25" x14ac:dyDescent="0.25">
      <c r="A58" s="609" t="s">
        <v>369</v>
      </c>
      <c r="B58" s="615">
        <f>+'[2]ETCA-II-11-E '!C135+'[2]ETCA-II-11-E '!C145+'[2]ETCA-II-11-E '!C148</f>
        <v>269158952</v>
      </c>
      <c r="C58" s="615">
        <f>+'[2]ETCA-II-11-E '!D135+'[2]ETCA-II-11-E '!D145+'[2]ETCA-II-11-E '!D148</f>
        <v>282877171.90999997</v>
      </c>
      <c r="D58" s="613">
        <f t="shared" si="0"/>
        <v>552036123.90999997</v>
      </c>
      <c r="E58" s="615">
        <f>+'[2]ETCA-II-11-E '!F135+'[2]ETCA-II-11-E '!F145+'[2]ETCA-II-11-E '!F148</f>
        <v>42562492.289999999</v>
      </c>
      <c r="F58" s="615">
        <f>+'[2]ETCA-II-11-E '!G135+'[2]ETCA-II-11-E '!G145+'[2]ETCA-II-11-E '!G148</f>
        <v>42562492.289999999</v>
      </c>
      <c r="G58" s="614">
        <f t="shared" si="1"/>
        <v>509473631.61999995</v>
      </c>
    </row>
    <row r="59" spans="1:7" s="369" customFormat="1" ht="14.25" x14ac:dyDescent="0.25">
      <c r="A59" s="609" t="s">
        <v>370</v>
      </c>
      <c r="B59" s="615"/>
      <c r="C59" s="615"/>
      <c r="D59" s="613">
        <f t="shared" si="0"/>
        <v>0</v>
      </c>
      <c r="E59" s="615"/>
      <c r="F59" s="615"/>
      <c r="G59" s="614">
        <f t="shared" si="1"/>
        <v>0</v>
      </c>
    </row>
    <row r="60" spans="1:7" s="369" customFormat="1" ht="14.25" x14ac:dyDescent="0.25">
      <c r="A60" s="609" t="s">
        <v>371</v>
      </c>
      <c r="B60" s="615">
        <f>+'[2]ETCA-II-11-E '!C167</f>
        <v>64175193</v>
      </c>
      <c r="C60" s="615">
        <f>+'[2]ETCA-II-11-E '!D167</f>
        <v>0</v>
      </c>
      <c r="D60" s="613">
        <f t="shared" si="0"/>
        <v>64175193</v>
      </c>
      <c r="E60" s="615">
        <f>+'[2]ETCA-II-11-E '!F167</f>
        <v>10412156.189999999</v>
      </c>
      <c r="F60" s="615">
        <f>+'[2]ETCA-II-11-E '!G167</f>
        <v>10412156.189999999</v>
      </c>
      <c r="G60" s="614">
        <f t="shared" si="1"/>
        <v>53763036.810000002</v>
      </c>
    </row>
    <row r="61" spans="1:7" s="369" customFormat="1" ht="16.5" customHeight="1" x14ac:dyDescent="0.25">
      <c r="A61" s="610" t="s">
        <v>372</v>
      </c>
      <c r="B61" s="613">
        <f>SUM(B62:B68)</f>
        <v>0</v>
      </c>
      <c r="C61" s="613">
        <f>SUM(C62:C68)</f>
        <v>0</v>
      </c>
      <c r="D61" s="613">
        <f>B61+C61</f>
        <v>0</v>
      </c>
      <c r="E61" s="613">
        <f>SUM(E62:E68)</f>
        <v>0</v>
      </c>
      <c r="F61" s="613">
        <f>SUM(F62:F68)</f>
        <v>0</v>
      </c>
      <c r="G61" s="614">
        <f t="shared" si="1"/>
        <v>0</v>
      </c>
    </row>
    <row r="62" spans="1:7" s="369" customFormat="1" ht="14.25" x14ac:dyDescent="0.25">
      <c r="A62" s="609" t="s">
        <v>373</v>
      </c>
      <c r="B62" s="615"/>
      <c r="C62" s="615"/>
      <c r="D62" s="613">
        <f t="shared" si="0"/>
        <v>0</v>
      </c>
      <c r="E62" s="615"/>
      <c r="F62" s="615"/>
      <c r="G62" s="614">
        <f t="shared" si="1"/>
        <v>0</v>
      </c>
    </row>
    <row r="63" spans="1:7" s="369" customFormat="1" ht="15" thickBot="1" x14ac:dyDescent="0.3">
      <c r="A63" s="611" t="s">
        <v>374</v>
      </c>
      <c r="B63" s="616"/>
      <c r="C63" s="616"/>
      <c r="D63" s="617">
        <f t="shared" si="0"/>
        <v>0</v>
      </c>
      <c r="E63" s="616"/>
      <c r="F63" s="616"/>
      <c r="G63" s="618">
        <f t="shared" si="1"/>
        <v>0</v>
      </c>
    </row>
    <row r="64" spans="1:7" s="369" customFormat="1" ht="14.25" x14ac:dyDescent="0.25">
      <c r="A64" s="609" t="s">
        <v>375</v>
      </c>
      <c r="B64" s="615"/>
      <c r="C64" s="615"/>
      <c r="D64" s="613">
        <f t="shared" si="0"/>
        <v>0</v>
      </c>
      <c r="E64" s="615"/>
      <c r="F64" s="615"/>
      <c r="G64" s="614">
        <f t="shared" si="1"/>
        <v>0</v>
      </c>
    </row>
    <row r="65" spans="1:7" s="369" customFormat="1" ht="14.25" x14ac:dyDescent="0.25">
      <c r="A65" s="609" t="s">
        <v>376</v>
      </c>
      <c r="B65" s="615"/>
      <c r="C65" s="615"/>
      <c r="D65" s="613">
        <f t="shared" si="0"/>
        <v>0</v>
      </c>
      <c r="E65" s="615"/>
      <c r="F65" s="615"/>
      <c r="G65" s="614">
        <f t="shared" si="1"/>
        <v>0</v>
      </c>
    </row>
    <row r="66" spans="1:7" s="369" customFormat="1" ht="14.25" x14ac:dyDescent="0.25">
      <c r="A66" s="609" t="s">
        <v>377</v>
      </c>
      <c r="B66" s="615"/>
      <c r="C66" s="615"/>
      <c r="D66" s="613">
        <f t="shared" si="0"/>
        <v>0</v>
      </c>
      <c r="E66" s="615"/>
      <c r="F66" s="615"/>
      <c r="G66" s="614">
        <f t="shared" si="1"/>
        <v>0</v>
      </c>
    </row>
    <row r="67" spans="1:7" s="369" customFormat="1" ht="14.25" x14ac:dyDescent="0.25">
      <c r="A67" s="609" t="s">
        <v>378</v>
      </c>
      <c r="B67" s="615"/>
      <c r="C67" s="615"/>
      <c r="D67" s="613">
        <f t="shared" si="0"/>
        <v>0</v>
      </c>
      <c r="E67" s="615"/>
      <c r="F67" s="615"/>
      <c r="G67" s="614">
        <f t="shared" si="1"/>
        <v>0</v>
      </c>
    </row>
    <row r="68" spans="1:7" s="369" customFormat="1" ht="14.25" x14ac:dyDescent="0.25">
      <c r="A68" s="609" t="s">
        <v>379</v>
      </c>
      <c r="B68" s="615"/>
      <c r="C68" s="615"/>
      <c r="D68" s="613">
        <f t="shared" si="0"/>
        <v>0</v>
      </c>
      <c r="E68" s="615"/>
      <c r="F68" s="615"/>
      <c r="G68" s="614">
        <f t="shared" si="1"/>
        <v>0</v>
      </c>
    </row>
    <row r="69" spans="1:7" s="369" customFormat="1" ht="16.5" customHeight="1" x14ac:dyDescent="0.25">
      <c r="A69" s="610" t="s">
        <v>152</v>
      </c>
      <c r="B69" s="613">
        <f>SUM(B70:B72)</f>
        <v>0</v>
      </c>
      <c r="C69" s="613">
        <f>SUM(C70:C72)</f>
        <v>0</v>
      </c>
      <c r="D69" s="613">
        <f>B69+C69</f>
        <v>0</v>
      </c>
      <c r="E69" s="613">
        <f>SUM(E70:E72)</f>
        <v>0</v>
      </c>
      <c r="F69" s="613">
        <f>SUM(F70:F72)</f>
        <v>0</v>
      </c>
      <c r="G69" s="614">
        <f t="shared" si="1"/>
        <v>0</v>
      </c>
    </row>
    <row r="70" spans="1:7" s="369" customFormat="1" ht="14.25" x14ac:dyDescent="0.25">
      <c r="A70" s="609" t="s">
        <v>176</v>
      </c>
      <c r="B70" s="615"/>
      <c r="C70" s="615"/>
      <c r="D70" s="613">
        <f t="shared" si="0"/>
        <v>0</v>
      </c>
      <c r="E70" s="615"/>
      <c r="F70" s="615"/>
      <c r="G70" s="614">
        <f t="shared" si="1"/>
        <v>0</v>
      </c>
    </row>
    <row r="71" spans="1:7" s="369" customFormat="1" ht="14.25" x14ac:dyDescent="0.25">
      <c r="A71" s="609" t="s">
        <v>124</v>
      </c>
      <c r="B71" s="615"/>
      <c r="C71" s="615"/>
      <c r="D71" s="613">
        <f t="shared" si="0"/>
        <v>0</v>
      </c>
      <c r="E71" s="615"/>
      <c r="F71" s="615"/>
      <c r="G71" s="614">
        <f t="shared" si="1"/>
        <v>0</v>
      </c>
    </row>
    <row r="72" spans="1:7" s="369" customFormat="1" ht="14.25" x14ac:dyDescent="0.25">
      <c r="A72" s="609" t="s">
        <v>177</v>
      </c>
      <c r="B72" s="615"/>
      <c r="C72" s="615"/>
      <c r="D72" s="613">
        <f t="shared" si="0"/>
        <v>0</v>
      </c>
      <c r="E72" s="615"/>
      <c r="F72" s="615"/>
      <c r="G72" s="614">
        <f t="shared" si="1"/>
        <v>0</v>
      </c>
    </row>
    <row r="73" spans="1:7" s="369" customFormat="1" ht="16.5" customHeight="1" x14ac:dyDescent="0.25">
      <c r="A73" s="610" t="s">
        <v>380</v>
      </c>
      <c r="B73" s="613">
        <f>SUM(B74:B80)</f>
        <v>0</v>
      </c>
      <c r="C73" s="613">
        <f>SUM(C74:C80)</f>
        <v>0</v>
      </c>
      <c r="D73" s="613">
        <f>B73+C73</f>
        <v>0</v>
      </c>
      <c r="E73" s="613">
        <f>SUM(E74:E80)</f>
        <v>0</v>
      </c>
      <c r="F73" s="613">
        <f>SUM(F74:F80)</f>
        <v>0</v>
      </c>
      <c r="G73" s="614">
        <f t="shared" si="1"/>
        <v>0</v>
      </c>
    </row>
    <row r="74" spans="1:7" s="369" customFormat="1" ht="14.25" x14ac:dyDescent="0.25">
      <c r="A74" s="609" t="s">
        <v>381</v>
      </c>
      <c r="B74" s="615"/>
      <c r="C74" s="615"/>
      <c r="D74" s="613">
        <f t="shared" ref="D74:D80" si="2">B74+C74</f>
        <v>0</v>
      </c>
      <c r="E74" s="615"/>
      <c r="F74" s="615"/>
      <c r="G74" s="614">
        <f t="shared" ref="G74:G80" si="3">D74-E74</f>
        <v>0</v>
      </c>
    </row>
    <row r="75" spans="1:7" s="369" customFormat="1" ht="14.25" x14ac:dyDescent="0.25">
      <c r="A75" s="609" t="s">
        <v>179</v>
      </c>
      <c r="B75" s="615"/>
      <c r="C75" s="615"/>
      <c r="D75" s="613">
        <f t="shared" si="2"/>
        <v>0</v>
      </c>
      <c r="E75" s="615"/>
      <c r="F75" s="615"/>
      <c r="G75" s="614">
        <f t="shared" si="3"/>
        <v>0</v>
      </c>
    </row>
    <row r="76" spans="1:7" s="369" customFormat="1" ht="14.25" x14ac:dyDescent="0.25">
      <c r="A76" s="609" t="s">
        <v>180</v>
      </c>
      <c r="B76" s="615"/>
      <c r="C76" s="615"/>
      <c r="D76" s="613">
        <f t="shared" si="2"/>
        <v>0</v>
      </c>
      <c r="E76" s="615"/>
      <c r="F76" s="615"/>
      <c r="G76" s="614">
        <f t="shared" si="3"/>
        <v>0</v>
      </c>
    </row>
    <row r="77" spans="1:7" s="369" customFormat="1" ht="14.25" x14ac:dyDescent="0.25">
      <c r="A77" s="609" t="s">
        <v>181</v>
      </c>
      <c r="B77" s="615"/>
      <c r="C77" s="615"/>
      <c r="D77" s="613">
        <f t="shared" si="2"/>
        <v>0</v>
      </c>
      <c r="E77" s="615"/>
      <c r="F77" s="615"/>
      <c r="G77" s="614">
        <f t="shared" si="3"/>
        <v>0</v>
      </c>
    </row>
    <row r="78" spans="1:7" s="369" customFormat="1" ht="14.25" x14ac:dyDescent="0.25">
      <c r="A78" s="609" t="s">
        <v>182</v>
      </c>
      <c r="B78" s="615"/>
      <c r="C78" s="615"/>
      <c r="D78" s="613">
        <f t="shared" si="2"/>
        <v>0</v>
      </c>
      <c r="E78" s="615"/>
      <c r="F78" s="615"/>
      <c r="G78" s="614">
        <f t="shared" si="3"/>
        <v>0</v>
      </c>
    </row>
    <row r="79" spans="1:7" s="369" customFormat="1" ht="14.25" x14ac:dyDescent="0.25">
      <c r="A79" s="609" t="s">
        <v>183</v>
      </c>
      <c r="B79" s="615"/>
      <c r="C79" s="615"/>
      <c r="D79" s="613">
        <f t="shared" si="2"/>
        <v>0</v>
      </c>
      <c r="E79" s="615"/>
      <c r="F79" s="615"/>
      <c r="G79" s="614">
        <f t="shared" si="3"/>
        <v>0</v>
      </c>
    </row>
    <row r="80" spans="1:7" s="369" customFormat="1" ht="15" thickBot="1" x14ac:dyDescent="0.3">
      <c r="A80" s="611" t="s">
        <v>382</v>
      </c>
      <c r="B80" s="616"/>
      <c r="C80" s="616"/>
      <c r="D80" s="617">
        <f t="shared" si="2"/>
        <v>0</v>
      </c>
      <c r="E80" s="616"/>
      <c r="F80" s="616"/>
      <c r="G80" s="618">
        <f t="shared" si="3"/>
        <v>0</v>
      </c>
    </row>
    <row r="81" spans="1:7" s="369" customFormat="1" ht="15" thickBot="1" x14ac:dyDescent="0.3">
      <c r="A81" s="612" t="s">
        <v>383</v>
      </c>
      <c r="B81" s="585">
        <f>B73+B69+B61+B57+B47+B37+B27+B17+B9</f>
        <v>351005907.46999997</v>
      </c>
      <c r="C81" s="585">
        <f>C73+C69+C61+C57+C47+C37+C27+C17+C9</f>
        <v>283832069.66999996</v>
      </c>
      <c r="D81" s="585">
        <f>B81+C81</f>
        <v>634837977.13999987</v>
      </c>
      <c r="E81" s="585">
        <f>E73+E69+E61+E57+E47+E37+E27+E17+E9</f>
        <v>65254108.409999996</v>
      </c>
      <c r="F81" s="585">
        <f>F73+F69+F61+F57+F47+F37+F27+F17+F9</f>
        <v>65254108.409999996</v>
      </c>
      <c r="G81" s="619">
        <f>D81-E81</f>
        <v>569583868.7299999</v>
      </c>
    </row>
    <row r="87" spans="1:7" x14ac:dyDescent="0.25">
      <c r="A87" s="474" t="s">
        <v>1612</v>
      </c>
    </row>
    <row r="88" spans="1:7" x14ac:dyDescent="0.25">
      <c r="A88" s="474" t="s">
        <v>1613</v>
      </c>
    </row>
    <row r="89" spans="1:7" x14ac:dyDescent="0.3">
      <c r="A89" s="66"/>
    </row>
    <row r="90" spans="1:7" x14ac:dyDescent="0.3">
      <c r="A90" s="66"/>
    </row>
    <row r="91" spans="1:7" x14ac:dyDescent="0.3">
      <c r="A91" s="66"/>
    </row>
    <row r="92" spans="1:7" x14ac:dyDescent="0.25">
      <c r="A92" s="474" t="s">
        <v>1614</v>
      </c>
    </row>
    <row r="93" spans="1:7" x14ac:dyDescent="0.25">
      <c r="A93" s="474" t="s">
        <v>1615</v>
      </c>
    </row>
  </sheetData>
  <sheetProtection algorithmName="SHA-512" hashValue="tPopG2yOE0q7qVbRHXNZVOIliKnP3QdY4CeTFBIS+L4gAcLU2fIfnobpE0AwJGszYLgKQJsndAz2TtyBbU9c3A==" saltValue="99JLwIbd03XdfBgGYtqEPw==" spinCount="100000" sheet="1" objects="1" scenarios="1" insertHyperlinks="0"/>
  <mergeCells count="6">
    <mergeCell ref="A7:A8"/>
    <mergeCell ref="A1:G1"/>
    <mergeCell ref="A2:G2"/>
    <mergeCell ref="A3:G3"/>
    <mergeCell ref="A4:G4"/>
    <mergeCell ref="A5:G5"/>
  </mergeCells>
  <printOptions horizontalCentered="1"/>
  <pageMargins left="0.39370078740157483" right="0.39370078740157483" top="0.74803149606299213" bottom="0.74803149606299213" header="0.31496062992125984" footer="0.31496062992125984"/>
  <pageSetup scale="82" fitToHeight="3" orientation="landscape" r:id="rId1"/>
  <headerFooter>
    <oddFooter>&amp;RHoja &amp;P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H30"/>
  <sheetViews>
    <sheetView view="pageBreakPreview" zoomScaleNormal="100" zoomScaleSheetLayoutView="100" workbookViewId="0">
      <selection activeCell="A4" sqref="A4:G4"/>
    </sheetView>
  </sheetViews>
  <sheetFormatPr baseColWidth="10" defaultColWidth="11.42578125" defaultRowHeight="16.5" x14ac:dyDescent="0.25"/>
  <cols>
    <col min="1" max="1" width="36.5703125" style="370" customWidth="1"/>
    <col min="2" max="2" width="13.7109375" style="370" customWidth="1"/>
    <col min="3" max="3" width="12" style="370" customWidth="1"/>
    <col min="4" max="4" width="13" style="370" customWidth="1"/>
    <col min="5" max="5" width="13.7109375" style="370" customWidth="1"/>
    <col min="6" max="6" width="15.7109375" style="370" customWidth="1"/>
    <col min="7" max="7" width="12.140625" style="370" customWidth="1"/>
    <col min="8" max="16384" width="11.42578125" style="370"/>
  </cols>
  <sheetData>
    <row r="1" spans="1:8" x14ac:dyDescent="0.25">
      <c r="A1" s="894" t="s">
        <v>76</v>
      </c>
      <c r="B1" s="894"/>
      <c r="C1" s="894"/>
      <c r="D1" s="894"/>
      <c r="E1" s="894"/>
      <c r="F1" s="894"/>
      <c r="G1" s="894"/>
    </row>
    <row r="2" spans="1:8" s="371" customFormat="1" ht="15.75" x14ac:dyDescent="0.25">
      <c r="A2" s="894" t="s">
        <v>1631</v>
      </c>
      <c r="B2" s="894"/>
      <c r="C2" s="894"/>
      <c r="D2" s="894"/>
      <c r="E2" s="894"/>
      <c r="F2" s="894"/>
      <c r="G2" s="894"/>
    </row>
    <row r="3" spans="1:8" s="371" customFormat="1" ht="15.75" x14ac:dyDescent="0.25">
      <c r="A3" s="894" t="s">
        <v>384</v>
      </c>
      <c r="B3" s="894"/>
      <c r="C3" s="894"/>
      <c r="D3" s="894"/>
      <c r="E3" s="894"/>
      <c r="F3" s="894"/>
      <c r="G3" s="894"/>
    </row>
    <row r="4" spans="1:8" s="371" customFormat="1" x14ac:dyDescent="0.25">
      <c r="A4" s="895" t="s">
        <v>587</v>
      </c>
      <c r="B4" s="895"/>
      <c r="C4" s="895"/>
      <c r="D4" s="895"/>
      <c r="E4" s="895"/>
      <c r="F4" s="895"/>
      <c r="G4" s="895"/>
    </row>
    <row r="5" spans="1:8" s="371" customFormat="1" x14ac:dyDescent="0.25">
      <c r="A5" s="895" t="s">
        <v>590</v>
      </c>
      <c r="B5" s="895"/>
      <c r="C5" s="895"/>
      <c r="D5" s="895"/>
      <c r="E5" s="895"/>
      <c r="F5" s="895"/>
      <c r="G5" s="895"/>
    </row>
    <row r="6" spans="1:8" s="372" customFormat="1" ht="17.25" thickBot="1" x14ac:dyDescent="0.3">
      <c r="A6" s="221"/>
      <c r="B6" s="896" t="s">
        <v>78</v>
      </c>
      <c r="C6" s="896"/>
      <c r="D6" s="896"/>
      <c r="E6" s="896"/>
      <c r="F6" s="221" t="s">
        <v>594</v>
      </c>
      <c r="G6" s="703"/>
    </row>
    <row r="7" spans="1:8" s="373" customFormat="1" ht="38.25" x14ac:dyDescent="0.25">
      <c r="A7" s="925" t="s">
        <v>197</v>
      </c>
      <c r="B7" s="275" t="s">
        <v>326</v>
      </c>
      <c r="C7" s="275" t="s">
        <v>327</v>
      </c>
      <c r="D7" s="275" t="s">
        <v>328</v>
      </c>
      <c r="E7" s="276" t="s">
        <v>329</v>
      </c>
      <c r="F7" s="276" t="s">
        <v>330</v>
      </c>
      <c r="G7" s="277" t="s">
        <v>331</v>
      </c>
    </row>
    <row r="8" spans="1:8" s="374" customFormat="1" ht="15.75" customHeight="1" thickBot="1" x14ac:dyDescent="0.3">
      <c r="A8" s="927"/>
      <c r="B8" s="279" t="s">
        <v>277</v>
      </c>
      <c r="C8" s="279" t="s">
        <v>278</v>
      </c>
      <c r="D8" s="279" t="s">
        <v>332</v>
      </c>
      <c r="E8" s="279" t="s">
        <v>280</v>
      </c>
      <c r="F8" s="279" t="s">
        <v>281</v>
      </c>
      <c r="G8" s="281" t="s">
        <v>333</v>
      </c>
    </row>
    <row r="9" spans="1:8" ht="21.75" customHeight="1" x14ac:dyDescent="0.25">
      <c r="A9" s="379" t="s">
        <v>385</v>
      </c>
      <c r="B9" s="601">
        <f>+'[2]ETCA-II-11 '!B9+'[2]ETCA-II-11 '!B17+'[2]ETCA-II-11 '!B27+'[2]ETCA-II-11 '!B37+'[2]ETCA-II-11 '!B47</f>
        <v>17671762.470000003</v>
      </c>
      <c r="C9" s="601">
        <f>+'[2]ETCA-II-11 '!C9+'[2]ETCA-II-11 '!C17+'[2]ETCA-II-11 '!C27+'[2]ETCA-II-11 '!C37+'[2]ETCA-II-11 '!C47</f>
        <v>954897.75999999978</v>
      </c>
      <c r="D9" s="602">
        <f>C9+B9</f>
        <v>18626660.230000004</v>
      </c>
      <c r="E9" s="601">
        <f>+'[2]ETCA-II-11 '!E9+'[2]ETCA-II-11 '!E17+'[2]ETCA-II-11 '!E27+'[2]ETCA-II-11 '!E37+'[2]ETCA-II-11 '!E47</f>
        <v>12279459.930000002</v>
      </c>
      <c r="F9" s="601">
        <f>+'[2]ETCA-II-11 '!F9+'[2]ETCA-II-11 '!F17+'[2]ETCA-II-11 '!F27+'[2]ETCA-II-11 '!F37+'[2]ETCA-II-11 '!F47</f>
        <v>12279459.930000002</v>
      </c>
      <c r="G9" s="603">
        <f>D9-E9</f>
        <v>6347200.3000000026</v>
      </c>
    </row>
    <row r="10" spans="1:8" ht="22.5" customHeight="1" x14ac:dyDescent="0.25">
      <c r="A10" s="379" t="s">
        <v>386</v>
      </c>
      <c r="B10" s="601">
        <f>+'[2]ETCA-II-11 '!B57</f>
        <v>333334145</v>
      </c>
      <c r="C10" s="601">
        <f>+'[2]ETCA-II-11 '!C57</f>
        <v>282877171.90999997</v>
      </c>
      <c r="D10" s="602">
        <f t="shared" ref="D10:D13" si="0">C10+B10</f>
        <v>616211316.90999997</v>
      </c>
      <c r="E10" s="601">
        <f>+'[2]ETCA-II-11 '!E57</f>
        <v>52974648.479999997</v>
      </c>
      <c r="F10" s="601">
        <f>+'[2]ETCA-II-11 '!F57</f>
        <v>52974648.479999997</v>
      </c>
      <c r="G10" s="603">
        <f t="shared" ref="G10:G13" si="1">D10-E10</f>
        <v>563236668.42999995</v>
      </c>
    </row>
    <row r="11" spans="1:8" ht="22.5" customHeight="1" x14ac:dyDescent="0.25">
      <c r="A11" s="379" t="s">
        <v>387</v>
      </c>
      <c r="B11" s="601"/>
      <c r="C11" s="601"/>
      <c r="D11" s="602">
        <f t="shared" si="0"/>
        <v>0</v>
      </c>
      <c r="E11" s="601"/>
      <c r="F11" s="601"/>
      <c r="G11" s="603">
        <f t="shared" si="1"/>
        <v>0</v>
      </c>
    </row>
    <row r="12" spans="1:8" ht="23.25" customHeight="1" x14ac:dyDescent="0.25">
      <c r="A12" s="379" t="s">
        <v>170</v>
      </c>
      <c r="B12" s="601"/>
      <c r="C12" s="601"/>
      <c r="D12" s="602">
        <f t="shared" si="0"/>
        <v>0</v>
      </c>
      <c r="E12" s="601"/>
      <c r="F12" s="601"/>
      <c r="G12" s="603">
        <f t="shared" si="1"/>
        <v>0</v>
      </c>
    </row>
    <row r="13" spans="1:8" ht="22.5" customHeight="1" x14ac:dyDescent="0.25">
      <c r="A13" s="379" t="s">
        <v>176</v>
      </c>
      <c r="B13" s="601"/>
      <c r="C13" s="601"/>
      <c r="D13" s="602">
        <f t="shared" si="0"/>
        <v>0</v>
      </c>
      <c r="E13" s="601"/>
      <c r="F13" s="601"/>
      <c r="G13" s="603">
        <f t="shared" si="1"/>
        <v>0</v>
      </c>
    </row>
    <row r="14" spans="1:8" ht="10.5" customHeight="1" thickBot="1" x14ac:dyDescent="0.3">
      <c r="A14" s="380"/>
      <c r="B14" s="697"/>
      <c r="C14" s="697"/>
      <c r="D14" s="698"/>
      <c r="E14" s="697"/>
      <c r="F14" s="697"/>
      <c r="G14" s="699"/>
    </row>
    <row r="15" spans="1:8" ht="16.5" customHeight="1" thickBot="1" x14ac:dyDescent="0.3">
      <c r="A15" s="711" t="s">
        <v>383</v>
      </c>
      <c r="B15" s="700">
        <f>SUM(B9:B14)</f>
        <v>351005907.47000003</v>
      </c>
      <c r="C15" s="700">
        <f>SUM(C9:C14)</f>
        <v>283832069.66999996</v>
      </c>
      <c r="D15" s="701">
        <f>C15+B15</f>
        <v>634837977.13999999</v>
      </c>
      <c r="E15" s="700">
        <f>SUM(E9:E14)</f>
        <v>65254108.409999996</v>
      </c>
      <c r="F15" s="700">
        <f>SUM(F9:F14)</f>
        <v>65254108.409999996</v>
      </c>
      <c r="G15" s="722">
        <f>D15-E15</f>
        <v>569583868.73000002</v>
      </c>
      <c r="H15" s="661" t="str">
        <f>IF(B15&lt;&gt;'ETCA-II-11 '!B81,"ERROR!!!!! EL MONTO NO COINCIDE CON LO REPORTADO EN EL FORMATO ETCA-II-11 EN EL TOTAL APROBADO ANUAL DEL ANALÍTICO DE EGRESOS","")</f>
        <v/>
      </c>
    </row>
    <row r="16" spans="1:8" ht="12" customHeight="1" x14ac:dyDescent="0.25">
      <c r="H16" s="661" t="str">
        <f>IF(C15&lt;&gt;'ETCA-II-11 '!C81,"ERROR!!!!! EL MONTO NO COINCIDE CON LO REPORTADO EN EL FORMATO ETCA-II-11 EN EL TOTAL DE AMPLIACIONES/REDUCCIONES DEL ANALÍTICO DE EGRESOS","")</f>
        <v/>
      </c>
    </row>
    <row r="17" spans="1:8" s="376" customFormat="1" ht="15.75" x14ac:dyDescent="0.25">
      <c r="A17" s="940" t="s">
        <v>388</v>
      </c>
      <c r="B17" s="940"/>
      <c r="C17" s="940"/>
      <c r="D17" s="940"/>
      <c r="E17" s="940"/>
      <c r="F17" s="940"/>
      <c r="G17" s="375"/>
      <c r="H17" s="661" t="str">
        <f>IF(D15&lt;&gt;'ETCA-II-11 '!D81,"ERROR!!!!! EL MONTO NO COINCIDE CON LO REPORTADO EN EL FORMATO ETCA-II-11 EN EL TOTAL MODIFICADO ANUAL DEL ANALÍTICO DE EGRESOS","")</f>
        <v/>
      </c>
    </row>
    <row r="18" spans="1:8" s="376" customFormat="1" ht="13.5" x14ac:dyDescent="0.25">
      <c r="A18" s="377" t="s">
        <v>389</v>
      </c>
      <c r="B18" s="375"/>
      <c r="C18" s="375"/>
      <c r="D18" s="375"/>
      <c r="E18" s="375"/>
      <c r="F18" s="375"/>
      <c r="G18" s="375"/>
      <c r="H18" s="661" t="str">
        <f>IF(E15&lt;&gt;'ETCA-II-11 '!E81,"ERROR!!!!! EL MONTO NO COINCIDE CON LO REPORTADO EN EL FORMATO ETCA-II-11 EN EL TOTAL DEVENGADO ANUAL DEL ANALÍTICO DE EGRESOS","")</f>
        <v/>
      </c>
    </row>
    <row r="19" spans="1:8" s="376" customFormat="1" ht="28.5" customHeight="1" x14ac:dyDescent="0.25">
      <c r="A19" s="474" t="s">
        <v>1612</v>
      </c>
      <c r="B19" s="474"/>
      <c r="C19" s="474"/>
      <c r="D19" s="474"/>
      <c r="E19" s="474"/>
      <c r="F19" s="474"/>
      <c r="G19" s="474"/>
      <c r="H19" s="661" t="str">
        <f>IF(F15&lt;&gt;'ETCA-II-11 '!F81,"ERROR!!!!! EL MONTO NO COINCIDE CON LO REPORTADO EN EL FORMATO ETCA-II-11 EN EL TOTAL PAGADO ANUAL DEL ANALÍTICO DE EGRESOS","")</f>
        <v/>
      </c>
    </row>
    <row r="20" spans="1:8" s="376" customFormat="1" ht="15" x14ac:dyDescent="0.25">
      <c r="A20" s="474" t="s">
        <v>1613</v>
      </c>
      <c r="B20" s="474"/>
      <c r="C20" s="474"/>
      <c r="D20" s="474"/>
      <c r="E20" s="474"/>
      <c r="F20" s="474"/>
      <c r="G20" s="474"/>
      <c r="H20" s="661" t="str">
        <f>IF(G15&lt;&gt;'ETCA-II-11 '!G81,"ERROR!!!!! EL MONTO NO COINCIDE CON LO REPORTADO EN EL FORMATO ETCA-II-11 EN EL TOTAL DEL SUBEJERCICIO DEL ANALÍTICO DE EGRESOS","")</f>
        <v/>
      </c>
    </row>
    <row r="21" spans="1:8" s="376" customFormat="1" ht="25.5" customHeight="1" x14ac:dyDescent="0.3">
      <c r="A21" s="66"/>
      <c r="B21" s="66"/>
      <c r="C21" s="66"/>
      <c r="D21" s="66"/>
      <c r="E21" s="66"/>
      <c r="F21" s="66"/>
      <c r="G21" s="66"/>
    </row>
    <row r="22" spans="1:8" s="376" customFormat="1" x14ac:dyDescent="0.3">
      <c r="A22" s="66"/>
      <c r="B22" s="66"/>
      <c r="C22" s="66"/>
      <c r="D22" s="66"/>
      <c r="E22" s="66"/>
      <c r="F22" s="66"/>
      <c r="G22" s="66"/>
    </row>
    <row r="23" spans="1:8" s="376" customFormat="1" ht="13.5" customHeight="1" x14ac:dyDescent="0.3">
      <c r="A23" s="66"/>
      <c r="B23" s="66"/>
      <c r="C23" s="66"/>
      <c r="D23" s="66"/>
      <c r="E23" s="66"/>
      <c r="F23" s="66"/>
      <c r="G23" s="66"/>
    </row>
    <row r="24" spans="1:8" s="376" customFormat="1" ht="15" x14ac:dyDescent="0.25">
      <c r="A24" s="474" t="s">
        <v>1614</v>
      </c>
      <c r="B24" s="474"/>
      <c r="C24" s="474"/>
      <c r="D24" s="474"/>
      <c r="E24" s="474"/>
      <c r="F24" s="474"/>
      <c r="G24" s="474"/>
    </row>
    <row r="25" spans="1:8" s="376" customFormat="1" ht="13.5" customHeight="1" x14ac:dyDescent="0.25">
      <c r="A25" s="474" t="s">
        <v>1615</v>
      </c>
      <c r="B25" s="474"/>
      <c r="C25" s="474"/>
      <c r="D25" s="474"/>
      <c r="E25" s="474"/>
      <c r="F25" s="474"/>
      <c r="G25" s="474"/>
    </row>
    <row r="26" spans="1:8" s="376" customFormat="1" ht="13.5" x14ac:dyDescent="0.25">
      <c r="A26" s="378" t="s">
        <v>390</v>
      </c>
      <c r="B26" s="375"/>
      <c r="C26" s="375"/>
      <c r="D26" s="375"/>
      <c r="E26" s="375"/>
      <c r="F26" s="375"/>
      <c r="G26" s="375"/>
    </row>
    <row r="27" spans="1:8" s="376" customFormat="1" ht="13.5" x14ac:dyDescent="0.25">
      <c r="A27" s="377" t="s">
        <v>391</v>
      </c>
      <c r="B27" s="375"/>
      <c r="C27" s="375"/>
      <c r="D27" s="375"/>
      <c r="E27" s="375"/>
      <c r="F27" s="375"/>
      <c r="G27" s="375"/>
    </row>
    <row r="28" spans="1:8" s="376" customFormat="1" ht="13.5" customHeight="1" x14ac:dyDescent="0.25">
      <c r="A28" s="939" t="s">
        <v>392</v>
      </c>
      <c r="B28" s="939"/>
      <c r="C28" s="939"/>
      <c r="D28" s="939"/>
      <c r="E28" s="939"/>
      <c r="F28" s="939"/>
      <c r="G28" s="939"/>
    </row>
    <row r="29" spans="1:8" s="376" customFormat="1" ht="13.5" x14ac:dyDescent="0.25">
      <c r="A29" s="378" t="s">
        <v>390</v>
      </c>
      <c r="B29" s="375"/>
      <c r="C29" s="375"/>
      <c r="D29" s="375"/>
      <c r="E29" s="375"/>
      <c r="F29" s="375"/>
      <c r="G29" s="375"/>
    </row>
    <row r="30" spans="1:8" ht="8.25" customHeight="1" x14ac:dyDescent="0.25"/>
  </sheetData>
  <sheetProtection algorithmName="SHA-512" hashValue="QQpil5L0bpOiLOrLyOZPGNLzqTnNM7YaI+H8uuGTTdGifHmvthQFUex3010nGuPBbm154VJTHZo/A0lwWoOQFQ==" saltValue="DsyM6LHU6mZMAlsdPUsdXg==" spinCount="100000" sheet="1" objects="1" scenarios="1" insertHyperlinks="0"/>
  <mergeCells count="9">
    <mergeCell ref="A28:G28"/>
    <mergeCell ref="A17:F17"/>
    <mergeCell ref="B6:E6"/>
    <mergeCell ref="A7:A8"/>
    <mergeCell ref="A1:G1"/>
    <mergeCell ref="A2:G2"/>
    <mergeCell ref="A3:G3"/>
    <mergeCell ref="A4:G4"/>
    <mergeCell ref="A5:G5"/>
  </mergeCells>
  <pageMargins left="0.39370078740157483" right="0.39370078740157483" top="0.74803149606299213" bottom="0.74803149606299213" header="0.31496062992125984" footer="0.31496062992125984"/>
  <pageSetup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H43"/>
  <sheetViews>
    <sheetView tabSelected="1" view="pageBreakPreview" zoomScale="115" zoomScaleNormal="100" zoomScaleSheetLayoutView="115" workbookViewId="0">
      <selection activeCell="C13" sqref="C13"/>
    </sheetView>
  </sheetViews>
  <sheetFormatPr baseColWidth="10" defaultColWidth="11.42578125" defaultRowHeight="16.5" x14ac:dyDescent="0.25"/>
  <cols>
    <col min="1" max="1" width="39.85546875" style="370" customWidth="1"/>
    <col min="2" max="7" width="13.7109375" style="370" customWidth="1"/>
    <col min="8" max="16384" width="11.42578125" style="370"/>
  </cols>
  <sheetData>
    <row r="1" spans="1:7" x14ac:dyDescent="0.25">
      <c r="A1" s="894" t="s">
        <v>76</v>
      </c>
      <c r="B1" s="894"/>
      <c r="C1" s="894"/>
      <c r="D1" s="894"/>
      <c r="E1" s="894"/>
      <c r="F1" s="894"/>
      <c r="G1" s="894"/>
    </row>
    <row r="2" spans="1:7" s="372" customFormat="1" x14ac:dyDescent="0.25">
      <c r="A2" s="894" t="s">
        <v>1632</v>
      </c>
      <c r="B2" s="894"/>
      <c r="C2" s="894"/>
      <c r="D2" s="894"/>
      <c r="E2" s="894"/>
      <c r="F2" s="894"/>
      <c r="G2" s="894"/>
    </row>
    <row r="3" spans="1:7" s="372" customFormat="1" x14ac:dyDescent="0.25">
      <c r="A3" s="894" t="s">
        <v>393</v>
      </c>
      <c r="B3" s="894"/>
      <c r="C3" s="894"/>
      <c r="D3" s="894"/>
      <c r="E3" s="894"/>
      <c r="F3" s="894"/>
      <c r="G3" s="894"/>
    </row>
    <row r="4" spans="1:7" s="372" customFormat="1" x14ac:dyDescent="0.25">
      <c r="A4" s="895" t="s">
        <v>587</v>
      </c>
      <c r="B4" s="895"/>
      <c r="C4" s="895"/>
      <c r="D4" s="895"/>
      <c r="E4" s="895"/>
      <c r="F4" s="895"/>
      <c r="G4" s="895"/>
    </row>
    <row r="5" spans="1:7" s="372" customFormat="1" x14ac:dyDescent="0.25">
      <c r="A5" s="895" t="s">
        <v>590</v>
      </c>
      <c r="B5" s="895"/>
      <c r="C5" s="895"/>
      <c r="D5" s="895"/>
      <c r="E5" s="895"/>
      <c r="F5" s="895"/>
      <c r="G5" s="895"/>
    </row>
    <row r="6" spans="1:7" s="372" customFormat="1" ht="17.25" thickBot="1" x14ac:dyDescent="0.3">
      <c r="A6" s="221"/>
      <c r="B6" s="896" t="s">
        <v>78</v>
      </c>
      <c r="C6" s="896"/>
      <c r="D6" s="896"/>
      <c r="E6" s="896"/>
      <c r="F6" s="221" t="s">
        <v>394</v>
      </c>
      <c r="G6" s="724" t="s">
        <v>589</v>
      </c>
    </row>
    <row r="7" spans="1:7" s="383" customFormat="1" ht="38.25" x14ac:dyDescent="0.25">
      <c r="A7" s="941" t="s">
        <v>393</v>
      </c>
      <c r="B7" s="275" t="s">
        <v>326</v>
      </c>
      <c r="C7" s="275" t="s">
        <v>327</v>
      </c>
      <c r="D7" s="275" t="s">
        <v>328</v>
      </c>
      <c r="E7" s="276" t="s">
        <v>329</v>
      </c>
      <c r="F7" s="276" t="s">
        <v>330</v>
      </c>
      <c r="G7" s="277" t="s">
        <v>331</v>
      </c>
    </row>
    <row r="8" spans="1:7" s="386" customFormat="1" ht="17.25" thickBot="1" x14ac:dyDescent="0.3">
      <c r="A8" s="942"/>
      <c r="B8" s="384" t="s">
        <v>277</v>
      </c>
      <c r="C8" s="384" t="s">
        <v>278</v>
      </c>
      <c r="D8" s="384" t="s">
        <v>332</v>
      </c>
      <c r="E8" s="384" t="s">
        <v>280</v>
      </c>
      <c r="F8" s="384" t="s">
        <v>281</v>
      </c>
      <c r="G8" s="385" t="s">
        <v>333</v>
      </c>
    </row>
    <row r="9" spans="1:7" ht="21" customHeight="1" x14ac:dyDescent="0.25">
      <c r="A9" s="387" t="s">
        <v>744</v>
      </c>
      <c r="B9" s="601">
        <v>3086332.8</v>
      </c>
      <c r="C9" s="601">
        <f>1582765.58-573342.57</f>
        <v>1009423.0100000001</v>
      </c>
      <c r="D9" s="601">
        <f>IF($A9="","",B9+C9)</f>
        <v>4095755.81</v>
      </c>
      <c r="E9" s="601">
        <v>2763969.7</v>
      </c>
      <c r="F9" s="601">
        <f>+E9</f>
        <v>2763969.7</v>
      </c>
      <c r="G9" s="664">
        <f>IF($A9="","",D9-E9)</f>
        <v>1331786.1099999999</v>
      </c>
    </row>
    <row r="10" spans="1:7" ht="21" customHeight="1" x14ac:dyDescent="0.25">
      <c r="A10" s="387" t="s">
        <v>745</v>
      </c>
      <c r="B10" s="601">
        <f>274364739.7+64175193</f>
        <v>338539932.69999999</v>
      </c>
      <c r="C10" s="601">
        <f>283939057.83-1605638.31</f>
        <v>282333419.51999998</v>
      </c>
      <c r="D10" s="601">
        <f t="shared" ref="D10:D30" si="0">IF($A10="","",B10+C10)</f>
        <v>620873352.22000003</v>
      </c>
      <c r="E10" s="601">
        <f>45382521.79+10412156.19</f>
        <v>55794677.979999997</v>
      </c>
      <c r="F10" s="601">
        <f t="shared" ref="F10:F12" si="1">+E10</f>
        <v>55794677.979999997</v>
      </c>
      <c r="G10" s="664">
        <f t="shared" ref="G10:G32" si="2">IF($A10="","",D10-E10)</f>
        <v>565078674.24000001</v>
      </c>
    </row>
    <row r="11" spans="1:7" ht="21" customHeight="1" x14ac:dyDescent="0.25">
      <c r="A11" s="387" t="s">
        <v>746</v>
      </c>
      <c r="B11" s="601">
        <v>5713406.1399999997</v>
      </c>
      <c r="C11" s="601">
        <f>1660516.9-1749521.08</f>
        <v>-89004.180000000168</v>
      </c>
      <c r="D11" s="601">
        <f t="shared" si="0"/>
        <v>5624401.959999999</v>
      </c>
      <c r="E11" s="601">
        <v>3937991.37</v>
      </c>
      <c r="F11" s="601">
        <f t="shared" si="1"/>
        <v>3937991.37</v>
      </c>
      <c r="G11" s="664">
        <f t="shared" si="2"/>
        <v>1686410.5899999989</v>
      </c>
    </row>
    <row r="12" spans="1:7" ht="21" customHeight="1" x14ac:dyDescent="0.25">
      <c r="A12" s="387" t="s">
        <v>747</v>
      </c>
      <c r="B12" s="601">
        <v>3666235.83</v>
      </c>
      <c r="C12" s="601">
        <f>1426654.62-848423.3</f>
        <v>578231.32000000007</v>
      </c>
      <c r="D12" s="601">
        <f t="shared" si="0"/>
        <v>4244467.1500000004</v>
      </c>
      <c r="E12" s="601">
        <v>2757469.36</v>
      </c>
      <c r="F12" s="601">
        <f t="shared" si="1"/>
        <v>2757469.36</v>
      </c>
      <c r="G12" s="664">
        <f t="shared" si="2"/>
        <v>1486997.7900000005</v>
      </c>
    </row>
    <row r="13" spans="1:7" ht="21" customHeight="1" x14ac:dyDescent="0.25">
      <c r="A13" s="387"/>
      <c r="B13" s="601"/>
      <c r="C13" s="601"/>
      <c r="D13" s="601" t="str">
        <f t="shared" si="0"/>
        <v/>
      </c>
      <c r="E13" s="601"/>
      <c r="F13" s="601"/>
      <c r="G13" s="664" t="str">
        <f t="shared" si="2"/>
        <v/>
      </c>
    </row>
    <row r="14" spans="1:7" ht="21" customHeight="1" x14ac:dyDescent="0.25">
      <c r="A14" s="387"/>
      <c r="B14" s="601"/>
      <c r="C14" s="601"/>
      <c r="D14" s="601" t="str">
        <f t="shared" si="0"/>
        <v/>
      </c>
      <c r="E14" s="601"/>
      <c r="F14" s="601"/>
      <c r="G14" s="664" t="str">
        <f t="shared" si="2"/>
        <v/>
      </c>
    </row>
    <row r="15" spans="1:7" ht="21" customHeight="1" x14ac:dyDescent="0.25">
      <c r="A15" s="387"/>
      <c r="B15" s="601"/>
      <c r="C15" s="601"/>
      <c r="D15" s="601" t="str">
        <f t="shared" si="0"/>
        <v/>
      </c>
      <c r="E15" s="601"/>
      <c r="F15" s="601"/>
      <c r="G15" s="664" t="str">
        <f t="shared" si="2"/>
        <v/>
      </c>
    </row>
    <row r="16" spans="1:7" ht="21" customHeight="1" x14ac:dyDescent="0.25">
      <c r="A16" s="387"/>
      <c r="B16" s="601"/>
      <c r="C16" s="601"/>
      <c r="D16" s="601" t="str">
        <f t="shared" si="0"/>
        <v/>
      </c>
      <c r="E16" s="601"/>
      <c r="F16" s="601"/>
      <c r="G16" s="664" t="str">
        <f t="shared" si="2"/>
        <v/>
      </c>
    </row>
    <row r="17" spans="1:8" ht="21" customHeight="1" x14ac:dyDescent="0.25">
      <c r="A17" s="387" t="s">
        <v>395</v>
      </c>
      <c r="B17" s="601"/>
      <c r="C17" s="601"/>
      <c r="D17" s="602"/>
      <c r="E17" s="601"/>
      <c r="F17" s="601"/>
      <c r="G17" s="603"/>
    </row>
    <row r="18" spans="1:8" ht="21" customHeight="1" x14ac:dyDescent="0.25">
      <c r="A18" s="387" t="s">
        <v>395</v>
      </c>
      <c r="B18" s="601"/>
      <c r="C18" s="601"/>
      <c r="D18" s="602"/>
      <c r="E18" s="601"/>
      <c r="F18" s="601"/>
      <c r="G18" s="603"/>
    </row>
    <row r="19" spans="1:8" ht="21" customHeight="1" x14ac:dyDescent="0.25">
      <c r="A19" s="387" t="s">
        <v>395</v>
      </c>
      <c r="B19" s="601"/>
      <c r="C19" s="601"/>
      <c r="D19" s="602"/>
      <c r="E19" s="601"/>
      <c r="F19" s="601"/>
      <c r="G19" s="603"/>
    </row>
    <row r="20" spans="1:8" ht="21" customHeight="1" x14ac:dyDescent="0.25">
      <c r="A20" s="387" t="s">
        <v>395</v>
      </c>
      <c r="B20" s="601"/>
      <c r="C20" s="601"/>
      <c r="D20" s="602"/>
      <c r="E20" s="601"/>
      <c r="F20" s="601"/>
      <c r="G20" s="603"/>
    </row>
    <row r="21" spans="1:8" ht="21" customHeight="1" x14ac:dyDescent="0.25">
      <c r="A21" s="387"/>
      <c r="B21" s="601"/>
      <c r="C21" s="601"/>
      <c r="D21" s="602" t="str">
        <f t="shared" si="0"/>
        <v/>
      </c>
      <c r="E21" s="601"/>
      <c r="F21" s="601"/>
      <c r="G21" s="603" t="str">
        <f t="shared" si="2"/>
        <v/>
      </c>
    </row>
    <row r="22" spans="1:8" ht="21" customHeight="1" x14ac:dyDescent="0.25">
      <c r="A22" s="387"/>
      <c r="B22" s="601"/>
      <c r="C22" s="601"/>
      <c r="D22" s="602" t="str">
        <f t="shared" si="0"/>
        <v/>
      </c>
      <c r="E22" s="601"/>
      <c r="F22" s="601"/>
      <c r="G22" s="603" t="str">
        <f t="shared" si="2"/>
        <v/>
      </c>
    </row>
    <row r="23" spans="1:8" ht="21" customHeight="1" x14ac:dyDescent="0.25">
      <c r="A23" s="387"/>
      <c r="B23" s="601"/>
      <c r="C23" s="601"/>
      <c r="D23" s="602" t="str">
        <f t="shared" si="0"/>
        <v/>
      </c>
      <c r="E23" s="601"/>
      <c r="F23" s="601"/>
      <c r="G23" s="603" t="str">
        <f t="shared" si="2"/>
        <v/>
      </c>
    </row>
    <row r="24" spans="1:8" ht="21" customHeight="1" x14ac:dyDescent="0.25">
      <c r="A24" s="387"/>
      <c r="B24" s="601"/>
      <c r="C24" s="601"/>
      <c r="D24" s="602" t="str">
        <f t="shared" si="0"/>
        <v/>
      </c>
      <c r="E24" s="601"/>
      <c r="F24" s="601"/>
      <c r="G24" s="603" t="str">
        <f t="shared" si="2"/>
        <v/>
      </c>
    </row>
    <row r="25" spans="1:8" ht="21" customHeight="1" x14ac:dyDescent="0.25">
      <c r="A25" s="387"/>
      <c r="B25" s="601"/>
      <c r="C25" s="601"/>
      <c r="D25" s="602" t="str">
        <f t="shared" si="0"/>
        <v/>
      </c>
      <c r="E25" s="601"/>
      <c r="F25" s="601"/>
      <c r="G25" s="603" t="str">
        <f t="shared" si="2"/>
        <v/>
      </c>
    </row>
    <row r="26" spans="1:8" ht="21" customHeight="1" x14ac:dyDescent="0.25">
      <c r="A26" s="387"/>
      <c r="B26" s="601"/>
      <c r="C26" s="601"/>
      <c r="D26" s="602" t="str">
        <f t="shared" si="0"/>
        <v/>
      </c>
      <c r="E26" s="601"/>
      <c r="F26" s="601"/>
      <c r="G26" s="603" t="str">
        <f t="shared" si="2"/>
        <v/>
      </c>
    </row>
    <row r="27" spans="1:8" ht="21" customHeight="1" x14ac:dyDescent="0.25">
      <c r="A27" s="387"/>
      <c r="B27" s="601"/>
      <c r="C27" s="601"/>
      <c r="D27" s="602" t="str">
        <f t="shared" si="0"/>
        <v/>
      </c>
      <c r="E27" s="601"/>
      <c r="F27" s="601"/>
      <c r="G27" s="603" t="str">
        <f t="shared" si="2"/>
        <v/>
      </c>
    </row>
    <row r="28" spans="1:8" ht="21" customHeight="1" x14ac:dyDescent="0.25">
      <c r="A28" s="387"/>
      <c r="B28" s="601"/>
      <c r="C28" s="601"/>
      <c r="D28" s="602" t="str">
        <f t="shared" si="0"/>
        <v/>
      </c>
      <c r="E28" s="601"/>
      <c r="F28" s="601"/>
      <c r="G28" s="603" t="str">
        <f t="shared" si="2"/>
        <v/>
      </c>
    </row>
    <row r="29" spans="1:8" ht="21" customHeight="1" x14ac:dyDescent="0.25">
      <c r="A29" s="387"/>
      <c r="B29" s="601"/>
      <c r="C29" s="601"/>
      <c r="D29" s="602" t="str">
        <f t="shared" si="0"/>
        <v/>
      </c>
      <c r="E29" s="601"/>
      <c r="F29" s="601"/>
      <c r="G29" s="603" t="str">
        <f t="shared" si="2"/>
        <v/>
      </c>
    </row>
    <row r="30" spans="1:8" ht="21" customHeight="1" x14ac:dyDescent="0.25">
      <c r="A30" s="387"/>
      <c r="B30" s="601"/>
      <c r="C30" s="601"/>
      <c r="D30" s="602" t="str">
        <f t="shared" si="0"/>
        <v/>
      </c>
      <c r="E30" s="601"/>
      <c r="F30" s="601"/>
      <c r="G30" s="603" t="str">
        <f t="shared" si="2"/>
        <v/>
      </c>
    </row>
    <row r="31" spans="1:8" ht="21" customHeight="1" thickBot="1" x14ac:dyDescent="0.3">
      <c r="A31" s="387"/>
      <c r="B31" s="601"/>
      <c r="C31" s="601"/>
      <c r="D31" s="602" t="str">
        <f>IF($A31="","",B31+C31)</f>
        <v/>
      </c>
      <c r="E31" s="601"/>
      <c r="F31" s="601"/>
      <c r="G31" s="603" t="str">
        <f t="shared" si="2"/>
        <v/>
      </c>
    </row>
    <row r="32" spans="1:8" ht="21" customHeight="1" thickBot="1" x14ac:dyDescent="0.3">
      <c r="A32" s="388" t="s">
        <v>383</v>
      </c>
      <c r="B32" s="595">
        <f>SUM(B9:B31)</f>
        <v>351005907.46999997</v>
      </c>
      <c r="C32" s="595">
        <f t="shared" ref="C32:F32" si="3">SUM(C9:C31)</f>
        <v>283832069.66999996</v>
      </c>
      <c r="D32" s="595">
        <f>IF($A32="","",B32+C32)</f>
        <v>634837977.13999987</v>
      </c>
      <c r="E32" s="595">
        <f t="shared" si="3"/>
        <v>65254108.409999996</v>
      </c>
      <c r="F32" s="595">
        <f t="shared" si="3"/>
        <v>65254108.409999996</v>
      </c>
      <c r="G32" s="596">
        <f t="shared" si="2"/>
        <v>569583868.7299999</v>
      </c>
      <c r="H32" s="373" t="str">
        <f>IF($B$32&lt;&gt;'ETCA-II-11 '!$B$81,"ERROR!!!!! EL MONTO NO COINCIDE CON LO REPORTADO EN EL FORMATO ETCA-II-11 EN EL TOTAL APROBADO ANUAL DEL ANALÍTICO DE EGRESOS","")</f>
        <v/>
      </c>
    </row>
    <row r="33" spans="1:8" x14ac:dyDescent="0.25">
      <c r="H33" s="373" t="str">
        <f>IF($C$32&lt;&gt;'ETCA-II-11 '!$C$81,"ERROR!!!!! EL MONTO NO COINCIDE CON LO REPORTADO EN EL FORMATO ETCA-II-11 EN EL TOTAL APROBADO ANUAL DEL ANALÍTICO DE EGRESOS","")</f>
        <v/>
      </c>
    </row>
    <row r="34" spans="1:8" x14ac:dyDescent="0.25">
      <c r="H34" s="373" t="str">
        <f>IF($D$32&lt;&gt;'ETCA-II-11 '!$D$81,"ERROR!!!!! EL MONTO NO COINCIDE CON LO REPORTADO EN EL FORMATO ETCA-II-11 EN EL TOTAL APROBADO ANUAL DEL ANALÍTICO DE EGRESOS","")</f>
        <v/>
      </c>
    </row>
    <row r="35" spans="1:8" x14ac:dyDescent="0.25">
      <c r="H35" s="373" t="str">
        <f>IF($E$32&lt;&gt;'ETCA-II-11 '!$E$81,"ERROR!!!!! EL MONTO NO COINCIDE CON LO REPORTADO EN EL FORMATO ETCA-II-11 EN EL TOTAL APROBADO ANUAL DEL ANALÍTICO DE EGRESOS","")</f>
        <v/>
      </c>
    </row>
    <row r="36" spans="1:8" x14ac:dyDescent="0.25">
      <c r="H36" s="373" t="str">
        <f>IF($F$32&lt;&gt;'ETCA-II-11 '!$F$81,"ERROR!!!!! EL MONTO NO COINCIDE CON LO REPORTADO EN EL FORMATO ETCA-II-11 EN EL TOTAL APROBADO ANUAL DEL ANALÍTICO DE EGRESOS","")</f>
        <v/>
      </c>
    </row>
    <row r="37" spans="1:8" x14ac:dyDescent="0.25">
      <c r="A37" s="474" t="s">
        <v>1612</v>
      </c>
      <c r="H37" s="373" t="str">
        <f>IF($G$32&lt;&gt;'ETCA-II-11 '!$G$81,"ERROR!!!!! EL MONTO NO COINCIDE CON LO REPORTADO EN EL FORMATO ETCA-II-11 EN EL TOTAL APROBADO ANUAL DEL ANALÍTICO DE EGRESOS","")</f>
        <v/>
      </c>
    </row>
    <row r="38" spans="1:8" x14ac:dyDescent="0.25">
      <c r="A38" s="474" t="s">
        <v>1613</v>
      </c>
    </row>
    <row r="39" spans="1:8" x14ac:dyDescent="0.3">
      <c r="A39" s="66"/>
    </row>
    <row r="40" spans="1:8" x14ac:dyDescent="0.3">
      <c r="A40" s="66"/>
    </row>
    <row r="41" spans="1:8" x14ac:dyDescent="0.3">
      <c r="A41" s="66"/>
    </row>
    <row r="42" spans="1:8" x14ac:dyDescent="0.25">
      <c r="A42" s="474" t="s">
        <v>1614</v>
      </c>
    </row>
    <row r="43" spans="1:8" x14ac:dyDescent="0.25">
      <c r="A43" s="474" t="s">
        <v>1615</v>
      </c>
    </row>
  </sheetData>
  <sheetProtection algorithmName="SHA-512" hashValue="xjmJjwF/OlcINn18nMAsz5Yop10YHQvSa5spbkhcIUqSJ2HcEYHTQPhwXyNIPNv8PLqpg0kz5JSCMgJLvPmr4w==" saltValue="IQfII0lYBmasdKKV+mNtuA==" spinCount="100000" sheet="1" objects="1" scenarios="1" insertRows="0" deleteRows="0"/>
  <mergeCells count="7">
    <mergeCell ref="B6:E6"/>
    <mergeCell ref="A7:A8"/>
    <mergeCell ref="A1:G1"/>
    <mergeCell ref="A2:G2"/>
    <mergeCell ref="A3:G3"/>
    <mergeCell ref="A4:G4"/>
    <mergeCell ref="A5:G5"/>
  </mergeCells>
  <printOptions horizontalCentered="1"/>
  <pageMargins left="0.51181102362204722" right="0.15748031496062992" top="0.74803149606299213" bottom="0.74803149606299213" header="0.31496062992125984" footer="0.31496062992125984"/>
  <pageSetup scale="61"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H27"/>
  <sheetViews>
    <sheetView view="pageBreakPreview" zoomScaleNormal="100" zoomScaleSheetLayoutView="100" workbookViewId="0">
      <selection activeCell="A5" sqref="A5:G5"/>
    </sheetView>
  </sheetViews>
  <sheetFormatPr baseColWidth="10" defaultColWidth="11.42578125" defaultRowHeight="16.5" x14ac:dyDescent="0.25"/>
  <cols>
    <col min="1" max="1" width="39.85546875" style="370" customWidth="1"/>
    <col min="2" max="7" width="13.7109375" style="370" customWidth="1"/>
    <col min="8" max="16384" width="11.42578125" style="370"/>
  </cols>
  <sheetData>
    <row r="1" spans="1:8" x14ac:dyDescent="0.25">
      <c r="A1" s="894" t="s">
        <v>76</v>
      </c>
      <c r="B1" s="894"/>
      <c r="C1" s="894"/>
      <c r="D1" s="894"/>
      <c r="E1" s="894"/>
      <c r="F1" s="894"/>
      <c r="G1" s="894"/>
    </row>
    <row r="2" spans="1:8" s="372" customFormat="1" x14ac:dyDescent="0.25">
      <c r="A2" s="894" t="s">
        <v>1633</v>
      </c>
      <c r="B2" s="894"/>
      <c r="C2" s="894"/>
      <c r="D2" s="894"/>
      <c r="E2" s="894"/>
      <c r="F2" s="894"/>
      <c r="G2" s="894"/>
    </row>
    <row r="3" spans="1:8" s="372" customFormat="1" x14ac:dyDescent="0.25">
      <c r="A3" s="895" t="s">
        <v>396</v>
      </c>
      <c r="B3" s="895"/>
      <c r="C3" s="895"/>
      <c r="D3" s="895"/>
      <c r="E3" s="895"/>
      <c r="F3" s="895"/>
      <c r="G3" s="895"/>
    </row>
    <row r="4" spans="1:8" s="372" customFormat="1" x14ac:dyDescent="0.25">
      <c r="A4" s="895" t="s">
        <v>587</v>
      </c>
      <c r="B4" s="895"/>
      <c r="C4" s="895"/>
      <c r="D4" s="895"/>
      <c r="E4" s="895"/>
      <c r="F4" s="895"/>
      <c r="G4" s="895"/>
    </row>
    <row r="5" spans="1:8" s="372" customFormat="1" x14ac:dyDescent="0.25">
      <c r="A5" s="895" t="s">
        <v>590</v>
      </c>
      <c r="B5" s="895"/>
      <c r="C5" s="895"/>
      <c r="D5" s="895"/>
      <c r="E5" s="895"/>
      <c r="F5" s="895"/>
      <c r="G5" s="895"/>
    </row>
    <row r="6" spans="1:8" s="372" customFormat="1" ht="17.25" thickBot="1" x14ac:dyDescent="0.3">
      <c r="A6" s="221"/>
      <c r="B6" s="896" t="s">
        <v>78</v>
      </c>
      <c r="C6" s="896"/>
      <c r="D6" s="896"/>
      <c r="E6" s="896"/>
      <c r="F6" s="68" t="s">
        <v>79</v>
      </c>
      <c r="G6" s="559"/>
    </row>
    <row r="7" spans="1:8" s="383" customFormat="1" ht="53.25" customHeight="1" x14ac:dyDescent="0.25">
      <c r="A7" s="943" t="s">
        <v>396</v>
      </c>
      <c r="B7" s="390" t="s">
        <v>326</v>
      </c>
      <c r="C7" s="390" t="s">
        <v>327</v>
      </c>
      <c r="D7" s="390" t="s">
        <v>328</v>
      </c>
      <c r="E7" s="390" t="s">
        <v>329</v>
      </c>
      <c r="F7" s="390" t="s">
        <v>330</v>
      </c>
      <c r="G7" s="391" t="s">
        <v>331</v>
      </c>
    </row>
    <row r="8" spans="1:8" s="389" customFormat="1" ht="15.75" customHeight="1" thickBot="1" x14ac:dyDescent="0.3">
      <c r="A8" s="944"/>
      <c r="B8" s="384" t="s">
        <v>277</v>
      </c>
      <c r="C8" s="384" t="s">
        <v>278</v>
      </c>
      <c r="D8" s="384" t="s">
        <v>332</v>
      </c>
      <c r="E8" s="384" t="s">
        <v>280</v>
      </c>
      <c r="F8" s="384" t="s">
        <v>281</v>
      </c>
      <c r="G8" s="385" t="s">
        <v>333</v>
      </c>
    </row>
    <row r="9" spans="1:8" ht="30" customHeight="1" x14ac:dyDescent="0.25">
      <c r="A9" s="666"/>
      <c r="B9" s="393"/>
      <c r="C9" s="393"/>
      <c r="D9" s="393"/>
      <c r="E9" s="393"/>
      <c r="F9" s="393"/>
      <c r="G9" s="394"/>
    </row>
    <row r="10" spans="1:8" ht="30" customHeight="1" x14ac:dyDescent="0.25">
      <c r="A10" s="379" t="s">
        <v>397</v>
      </c>
      <c r="B10" s="589">
        <v>351005907.47000003</v>
      </c>
      <c r="C10" s="589">
        <f>288608994.93-4776925.26</f>
        <v>283832069.67000002</v>
      </c>
      <c r="D10" s="590">
        <f>B10+C10</f>
        <v>634837977.1400001</v>
      </c>
      <c r="E10" s="589">
        <v>65254108.409999996</v>
      </c>
      <c r="F10" s="589">
        <f>+E10</f>
        <v>65254108.409999996</v>
      </c>
      <c r="G10" s="591">
        <f>D10-E10</f>
        <v>569583868.73000014</v>
      </c>
    </row>
    <row r="11" spans="1:8" ht="30" customHeight="1" x14ac:dyDescent="0.25">
      <c r="A11" s="379" t="s">
        <v>398</v>
      </c>
      <c r="B11" s="589"/>
      <c r="C11" s="589"/>
      <c r="D11" s="590">
        <f t="shared" ref="D11:D13" si="0">B11+C11</f>
        <v>0</v>
      </c>
      <c r="E11" s="589"/>
      <c r="F11" s="589"/>
      <c r="G11" s="591">
        <f t="shared" ref="G11:G13" si="1">D11-E11</f>
        <v>0</v>
      </c>
    </row>
    <row r="12" spans="1:8" ht="30" customHeight="1" x14ac:dyDescent="0.25">
      <c r="A12" s="379" t="s">
        <v>399</v>
      </c>
      <c r="B12" s="589"/>
      <c r="C12" s="589"/>
      <c r="D12" s="590">
        <f t="shared" si="0"/>
        <v>0</v>
      </c>
      <c r="E12" s="589"/>
      <c r="F12" s="589"/>
      <c r="G12" s="591">
        <f t="shared" si="1"/>
        <v>0</v>
      </c>
    </row>
    <row r="13" spans="1:8" ht="30" customHeight="1" x14ac:dyDescent="0.25">
      <c r="A13" s="379" t="s">
        <v>400</v>
      </c>
      <c r="B13" s="589"/>
      <c r="C13" s="589"/>
      <c r="D13" s="590">
        <f t="shared" si="0"/>
        <v>0</v>
      </c>
      <c r="E13" s="589"/>
      <c r="F13" s="589"/>
      <c r="G13" s="591">
        <f t="shared" si="1"/>
        <v>0</v>
      </c>
    </row>
    <row r="14" spans="1:8" ht="30" customHeight="1" thickBot="1" x14ac:dyDescent="0.3">
      <c r="A14" s="665"/>
      <c r="B14" s="597"/>
      <c r="C14" s="597"/>
      <c r="D14" s="597"/>
      <c r="E14" s="597"/>
      <c r="F14" s="597"/>
      <c r="G14" s="598"/>
    </row>
    <row r="15" spans="1:8" s="383" customFormat="1" ht="30" customHeight="1" thickBot="1" x14ac:dyDescent="0.3">
      <c r="A15" s="711" t="s">
        <v>383</v>
      </c>
      <c r="B15" s="599">
        <f>SUM(B10:B13)</f>
        <v>351005907.47000003</v>
      </c>
      <c r="C15" s="599">
        <f>SUM(C10:C13)</f>
        <v>283832069.67000002</v>
      </c>
      <c r="D15" s="599">
        <f>B15+C15</f>
        <v>634837977.1400001</v>
      </c>
      <c r="E15" s="599">
        <f>SUM(E10:E13)</f>
        <v>65254108.409999996</v>
      </c>
      <c r="F15" s="599">
        <f>SUM(F10:F13)</f>
        <v>65254108.409999996</v>
      </c>
      <c r="G15" s="600">
        <f>D15-E15</f>
        <v>569583868.73000014</v>
      </c>
      <c r="H15" s="661" t="str">
        <f>IF(B15&lt;&gt;'ETCA-II-11 '!B81,"ERROR!!!!! EL MONTO NO COINCIDE CON LO REPORTADO EN EL FORMATO ETCA-II-11 EN EL TOTAL APROBADO ANUAL DEL ANALÍTICO DE EGRESOS","")</f>
        <v/>
      </c>
    </row>
    <row r="16" spans="1:8" s="383" customFormat="1" ht="18" customHeight="1" x14ac:dyDescent="0.25">
      <c r="A16" s="642"/>
      <c r="B16" s="643"/>
      <c r="C16" s="643"/>
      <c r="D16" s="643"/>
      <c r="E16" s="643"/>
      <c r="F16" s="643"/>
      <c r="G16" s="643"/>
      <c r="H16" s="661" t="str">
        <f>IF(C15&lt;&gt;'ETCA-II-11 '!C81,"ERROR!!!!! EL MONTO NO COINCIDE CON LO REPORTADO EN EL FORMATO ETCA-II-11 EN EL TOTAL DE AMPLIACIONES/REDUCCIONES PRESENTADO EN EL ANALÍTICO DE EGRESOS","")</f>
        <v/>
      </c>
    </row>
    <row r="17" spans="1:8" s="383" customFormat="1" ht="18" customHeight="1" x14ac:dyDescent="0.25">
      <c r="A17" s="642"/>
      <c r="B17" s="643"/>
      <c r="C17" s="643"/>
      <c r="D17" s="643"/>
      <c r="E17" s="643"/>
      <c r="F17" s="643"/>
      <c r="G17" s="643"/>
      <c r="H17" s="661" t="str">
        <f>IF(D15&lt;&gt;'ETCA-II-11 '!D81,"ERROR!!!!! EL MONTO NO COINCIDE CON LO REPORTADO EN EL FORMATO ETCA-II-11 EN EL TOTAL MODIFICADO ANUAL PRESENTADO EN EL ANALÍTICO DE EGRESOS","")</f>
        <v/>
      </c>
    </row>
    <row r="18" spans="1:8" x14ac:dyDescent="0.25">
      <c r="H18" s="661" t="str">
        <f>IF(E15&lt;&gt;'ETCA-II-11 '!E81,"ERROR!!!!! EL MONTO NO COINCIDE CON LO REPORTADO EN EL FORMATO ETCA-II-11 EN EL TOTAL DEVENGADO ANUAL PRESENTADO EN EL ANALÍTICO DE EGRESOS","")</f>
        <v/>
      </c>
    </row>
    <row r="19" spans="1:8" x14ac:dyDescent="0.25">
      <c r="H19" s="661" t="str">
        <f>IF(F15&lt;&gt;'ETCA-II-11 '!F81,"ERROR!!!!! EL MONTO NO COINCIDE CON LO REPORTADO EN EL FORMATO ETCA-II-11 EN EL TOTAL PAGADO ANUAL PRESENTADO EN EL ANALÍTICO DE EGRESOS","")</f>
        <v/>
      </c>
    </row>
    <row r="20" spans="1:8" x14ac:dyDescent="0.25">
      <c r="H20" s="661" t="str">
        <f>IF(G15&lt;&gt;'ETCA-II-11 '!G81,"ERROR!!!!! EL MONTO NO COINCIDE CON LO REPORTADO EN EL FORMATO ETCA-II-11 EN EL TOTAL SUBEJERCICIO PRESENTADO EN EL ANALÍTICO DE EGRESOS","")</f>
        <v/>
      </c>
    </row>
    <row r="21" spans="1:8" x14ac:dyDescent="0.25">
      <c r="A21" s="474" t="s">
        <v>1612</v>
      </c>
    </row>
    <row r="22" spans="1:8" x14ac:dyDescent="0.25">
      <c r="A22" s="474" t="s">
        <v>1613</v>
      </c>
    </row>
    <row r="23" spans="1:8" x14ac:dyDescent="0.3">
      <c r="A23" s="66"/>
    </row>
    <row r="24" spans="1:8" x14ac:dyDescent="0.3">
      <c r="A24" s="66"/>
    </row>
    <row r="25" spans="1:8" x14ac:dyDescent="0.3">
      <c r="A25" s="66"/>
    </row>
    <row r="26" spans="1:8" x14ac:dyDescent="0.25">
      <c r="A26" s="474" t="s">
        <v>1614</v>
      </c>
    </row>
    <row r="27" spans="1:8" x14ac:dyDescent="0.25">
      <c r="A27" s="474" t="s">
        <v>1615</v>
      </c>
    </row>
  </sheetData>
  <sheetProtection algorithmName="SHA-512" hashValue="c0ubfPCL1warmFiagwKjZhR0/MGrMBwHysV+hKAGRacTeyWHQ+ml+mSUeB/0ObEBCkQBu8tzoqi+49zurXu9Dw==" saltValue="JiiHpVGJvFpgOmJ69MLEwQ==" spinCount="100000" sheet="1" objects="1" scenarios="1"/>
  <mergeCells count="7">
    <mergeCell ref="A7:A8"/>
    <mergeCell ref="A5:G5"/>
    <mergeCell ref="A1:G1"/>
    <mergeCell ref="A2:G2"/>
    <mergeCell ref="A3:G3"/>
    <mergeCell ref="A4:G4"/>
    <mergeCell ref="B6:E6"/>
  </mergeCells>
  <printOptions horizontalCentered="1"/>
  <pageMargins left="0.70866141732283472" right="0.70866141732283472" top="0.74803149606299213" bottom="0.74803149606299213" header="0.31496062992125984" footer="0.31496062992125984"/>
  <pageSetup scale="8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H39"/>
  <sheetViews>
    <sheetView view="pageBreakPreview" zoomScaleNormal="100" zoomScaleSheetLayoutView="100" workbookViewId="0">
      <selection activeCell="A4" sqref="A4:G4"/>
    </sheetView>
  </sheetViews>
  <sheetFormatPr baseColWidth="10" defaultColWidth="11.42578125" defaultRowHeight="16.5" x14ac:dyDescent="0.25"/>
  <cols>
    <col min="1" max="1" width="39.85546875" style="370" customWidth="1"/>
    <col min="2" max="7" width="13.7109375" style="370" customWidth="1"/>
    <col min="8" max="16384" width="11.42578125" style="370"/>
  </cols>
  <sheetData>
    <row r="1" spans="1:7" x14ac:dyDescent="0.25">
      <c r="A1" s="895" t="s">
        <v>76</v>
      </c>
      <c r="B1" s="895"/>
      <c r="C1" s="895"/>
      <c r="D1" s="895"/>
      <c r="E1" s="895"/>
      <c r="F1" s="895"/>
      <c r="G1" s="895"/>
    </row>
    <row r="2" spans="1:7" x14ac:dyDescent="0.25">
      <c r="A2" s="895" t="s">
        <v>1634</v>
      </c>
      <c r="B2" s="895"/>
      <c r="C2" s="895"/>
      <c r="D2" s="895"/>
      <c r="E2" s="895"/>
      <c r="F2" s="895"/>
      <c r="G2" s="895"/>
    </row>
    <row r="3" spans="1:7" x14ac:dyDescent="0.25">
      <c r="A3" s="895" t="s">
        <v>401</v>
      </c>
      <c r="B3" s="895"/>
      <c r="C3" s="895"/>
      <c r="D3" s="895"/>
      <c r="E3" s="895"/>
      <c r="F3" s="895"/>
      <c r="G3" s="895"/>
    </row>
    <row r="4" spans="1:7" x14ac:dyDescent="0.25">
      <c r="A4" s="895" t="s">
        <v>587</v>
      </c>
      <c r="B4" s="895"/>
      <c r="C4" s="895"/>
      <c r="D4" s="895"/>
      <c r="E4" s="895"/>
      <c r="F4" s="895"/>
      <c r="G4" s="895"/>
    </row>
    <row r="5" spans="1:7" x14ac:dyDescent="0.25">
      <c r="A5" s="895" t="s">
        <v>590</v>
      </c>
      <c r="B5" s="895"/>
      <c r="C5" s="895"/>
      <c r="D5" s="895"/>
      <c r="E5" s="895"/>
      <c r="F5" s="895"/>
      <c r="G5" s="895"/>
    </row>
    <row r="6" spans="1:7" ht="17.25" thickBot="1" x14ac:dyDescent="0.3">
      <c r="A6" s="221"/>
      <c r="B6" s="896" t="s">
        <v>78</v>
      </c>
      <c r="C6" s="896"/>
      <c r="D6" s="896"/>
      <c r="E6" s="896"/>
      <c r="F6" s="68" t="s">
        <v>79</v>
      </c>
      <c r="G6" s="559" t="s">
        <v>589</v>
      </c>
    </row>
    <row r="7" spans="1:7" s="376" customFormat="1" ht="40.5" x14ac:dyDescent="0.25">
      <c r="A7" s="945" t="s">
        <v>197</v>
      </c>
      <c r="B7" s="397" t="s">
        <v>326</v>
      </c>
      <c r="C7" s="397" t="s">
        <v>327</v>
      </c>
      <c r="D7" s="397" t="s">
        <v>328</v>
      </c>
      <c r="E7" s="397" t="s">
        <v>329</v>
      </c>
      <c r="F7" s="397" t="s">
        <v>330</v>
      </c>
      <c r="G7" s="398" t="s">
        <v>331</v>
      </c>
    </row>
    <row r="8" spans="1:7" s="376" customFormat="1" ht="15.75" customHeight="1" thickBot="1" x14ac:dyDescent="0.3">
      <c r="A8" s="946"/>
      <c r="B8" s="384" t="s">
        <v>277</v>
      </c>
      <c r="C8" s="384" t="s">
        <v>278</v>
      </c>
      <c r="D8" s="384" t="s">
        <v>332</v>
      </c>
      <c r="E8" s="384" t="s">
        <v>280</v>
      </c>
      <c r="F8" s="384" t="s">
        <v>281</v>
      </c>
      <c r="G8" s="385" t="s">
        <v>333</v>
      </c>
    </row>
    <row r="9" spans="1:7" x14ac:dyDescent="0.25">
      <c r="A9" s="392"/>
      <c r="B9" s="395"/>
      <c r="C9" s="395"/>
      <c r="D9" s="396"/>
      <c r="E9" s="395"/>
      <c r="F9" s="395"/>
      <c r="G9" s="399"/>
    </row>
    <row r="10" spans="1:7" ht="25.5" x14ac:dyDescent="0.25">
      <c r="A10" s="400" t="s">
        <v>402</v>
      </c>
      <c r="B10" s="589">
        <f>+'ETCA-II-11-B2'!B15</f>
        <v>351005907.47000003</v>
      </c>
      <c r="C10" s="589">
        <f>+'ETCA-II-11-B2'!C15</f>
        <v>283832069.67000002</v>
      </c>
      <c r="D10" s="590">
        <f>IF(A10="","",B10+C10)</f>
        <v>634837977.1400001</v>
      </c>
      <c r="E10" s="589">
        <f>+'ETCA-II-11-B2'!E10</f>
        <v>65254108.409999996</v>
      </c>
      <c r="F10" s="589">
        <f>+E10</f>
        <v>65254108.409999996</v>
      </c>
      <c r="G10" s="591">
        <f>IF(A10="","",D10-E10)</f>
        <v>569583868.73000014</v>
      </c>
    </row>
    <row r="11" spans="1:7" ht="8.25" customHeight="1" x14ac:dyDescent="0.25">
      <c r="A11" s="400"/>
      <c r="B11" s="589"/>
      <c r="C11" s="589"/>
      <c r="D11" s="590" t="str">
        <f t="shared" ref="D11:D22" si="0">IF(A11="","",B11+C11)</f>
        <v/>
      </c>
      <c r="E11" s="589"/>
      <c r="F11" s="589"/>
      <c r="G11" s="591" t="str">
        <f t="shared" ref="G11:G22" si="1">IF(A11="","",D11-E11)</f>
        <v/>
      </c>
    </row>
    <row r="12" spans="1:7" x14ac:dyDescent="0.25">
      <c r="A12" s="400" t="s">
        <v>403</v>
      </c>
      <c r="B12" s="589"/>
      <c r="C12" s="589"/>
      <c r="D12" s="590">
        <f t="shared" si="0"/>
        <v>0</v>
      </c>
      <c r="E12" s="589"/>
      <c r="F12" s="589"/>
      <c r="G12" s="591">
        <f t="shared" si="1"/>
        <v>0</v>
      </c>
    </row>
    <row r="13" spans="1:7" ht="8.25" customHeight="1" x14ac:dyDescent="0.25">
      <c r="A13" s="400"/>
      <c r="B13" s="589"/>
      <c r="C13" s="589"/>
      <c r="D13" s="590" t="str">
        <f t="shared" si="0"/>
        <v/>
      </c>
      <c r="E13" s="589"/>
      <c r="F13" s="589"/>
      <c r="G13" s="591" t="str">
        <f t="shared" si="1"/>
        <v/>
      </c>
    </row>
    <row r="14" spans="1:7" ht="25.5" x14ac:dyDescent="0.25">
      <c r="A14" s="400" t="s">
        <v>404</v>
      </c>
      <c r="B14" s="589"/>
      <c r="C14" s="589"/>
      <c r="D14" s="590">
        <f t="shared" si="0"/>
        <v>0</v>
      </c>
      <c r="E14" s="589"/>
      <c r="F14" s="589"/>
      <c r="G14" s="591">
        <f t="shared" si="1"/>
        <v>0</v>
      </c>
    </row>
    <row r="15" spans="1:7" ht="8.25" customHeight="1" x14ac:dyDescent="0.25">
      <c r="A15" s="400"/>
      <c r="B15" s="589"/>
      <c r="C15" s="589"/>
      <c r="D15" s="590" t="str">
        <f t="shared" si="0"/>
        <v/>
      </c>
      <c r="E15" s="589"/>
      <c r="F15" s="589"/>
      <c r="G15" s="591" t="str">
        <f t="shared" si="1"/>
        <v/>
      </c>
    </row>
    <row r="16" spans="1:7" ht="25.5" x14ac:dyDescent="0.25">
      <c r="A16" s="400" t="s">
        <v>405</v>
      </c>
      <c r="B16" s="589"/>
      <c r="C16" s="589"/>
      <c r="D16" s="590">
        <f t="shared" si="0"/>
        <v>0</v>
      </c>
      <c r="E16" s="589"/>
      <c r="F16" s="589"/>
      <c r="G16" s="591">
        <f t="shared" si="1"/>
        <v>0</v>
      </c>
    </row>
    <row r="17" spans="1:8" ht="8.25" customHeight="1" x14ac:dyDescent="0.25">
      <c r="A17" s="400"/>
      <c r="B17" s="589"/>
      <c r="C17" s="589"/>
      <c r="D17" s="590" t="str">
        <f t="shared" si="0"/>
        <v/>
      </c>
      <c r="E17" s="589"/>
      <c r="F17" s="589"/>
      <c r="G17" s="591" t="str">
        <f t="shared" si="1"/>
        <v/>
      </c>
    </row>
    <row r="18" spans="1:8" ht="25.5" x14ac:dyDescent="0.25">
      <c r="A18" s="400" t="s">
        <v>406</v>
      </c>
      <c r="B18" s="589"/>
      <c r="C18" s="589"/>
      <c r="D18" s="590">
        <f t="shared" si="0"/>
        <v>0</v>
      </c>
      <c r="E18" s="589"/>
      <c r="F18" s="589"/>
      <c r="G18" s="591">
        <f t="shared" si="1"/>
        <v>0</v>
      </c>
    </row>
    <row r="19" spans="1:8" ht="8.25" customHeight="1" x14ac:dyDescent="0.25">
      <c r="A19" s="400"/>
      <c r="B19" s="589"/>
      <c r="C19" s="589"/>
      <c r="D19" s="590" t="str">
        <f t="shared" si="0"/>
        <v/>
      </c>
      <c r="E19" s="589"/>
      <c r="F19" s="589"/>
      <c r="G19" s="591" t="str">
        <f t="shared" si="1"/>
        <v/>
      </c>
    </row>
    <row r="20" spans="1:8" ht="25.5" x14ac:dyDescent="0.25">
      <c r="A20" s="400" t="s">
        <v>407</v>
      </c>
      <c r="B20" s="589"/>
      <c r="C20" s="589"/>
      <c r="D20" s="590">
        <f t="shared" si="0"/>
        <v>0</v>
      </c>
      <c r="E20" s="589"/>
      <c r="F20" s="589"/>
      <c r="G20" s="591">
        <f t="shared" si="1"/>
        <v>0</v>
      </c>
    </row>
    <row r="21" spans="1:8" ht="8.25" customHeight="1" x14ac:dyDescent="0.25">
      <c r="A21" s="400"/>
      <c r="B21" s="589"/>
      <c r="C21" s="589"/>
      <c r="D21" s="590" t="str">
        <f t="shared" si="0"/>
        <v/>
      </c>
      <c r="E21" s="589"/>
      <c r="F21" s="589"/>
      <c r="G21" s="591" t="str">
        <f t="shared" si="1"/>
        <v/>
      </c>
    </row>
    <row r="22" spans="1:8" ht="26.25" thickBot="1" x14ac:dyDescent="0.3">
      <c r="A22" s="400" t="s">
        <v>408</v>
      </c>
      <c r="B22" s="589"/>
      <c r="C22" s="589"/>
      <c r="D22" s="590">
        <f t="shared" si="0"/>
        <v>0</v>
      </c>
      <c r="E22" s="589"/>
      <c r="F22" s="589"/>
      <c r="G22" s="591">
        <f t="shared" si="1"/>
        <v>0</v>
      </c>
    </row>
    <row r="23" spans="1:8" ht="24.95" customHeight="1" thickBot="1" x14ac:dyDescent="0.3">
      <c r="A23" s="388" t="s">
        <v>383</v>
      </c>
      <c r="B23" s="595">
        <f>SUM(B10:B22)</f>
        <v>351005907.47000003</v>
      </c>
      <c r="C23" s="595">
        <f>SUM(C10:C22)</f>
        <v>283832069.67000002</v>
      </c>
      <c r="D23" s="595">
        <f t="shared" ref="D23" si="2">IF(A23="","",B23+C23)</f>
        <v>634837977.1400001</v>
      </c>
      <c r="E23" s="595">
        <f>SUM(E10:E22)</f>
        <v>65254108.409999996</v>
      </c>
      <c r="F23" s="595">
        <f>SUM(F10:F22)</f>
        <v>65254108.409999996</v>
      </c>
      <c r="G23" s="596">
        <f t="shared" ref="G23" si="3">IF(A23="","",D23-E23)</f>
        <v>569583868.73000014</v>
      </c>
      <c r="H23" s="373" t="str">
        <f>IF(B23&lt;&gt;'ETCA-II-11 '!B81,"ERROR!!!!! EL MONTO NO COINCIDE CON LO REPORTADO EN EL FORMATO ETCA-II-11 EN EL TOTAL APROBADO ANUAL DEL ANALÍTICO DE EGRESOS","")</f>
        <v/>
      </c>
    </row>
    <row r="24" spans="1:8" ht="24.95" customHeight="1" x14ac:dyDescent="0.25">
      <c r="A24" s="645"/>
      <c r="B24" s="587"/>
      <c r="C24" s="587"/>
      <c r="D24" s="587"/>
      <c r="E24" s="587"/>
      <c r="F24" s="587"/>
      <c r="G24" s="588"/>
      <c r="H24" s="373" t="str">
        <f>IF(C23&lt;&gt;'ETCA-II-11 '!C81,"ERROR!!!!! EL MONTO NO COINCIDE CON LO REPORTADO EN EL FORMATO ETCA-II-11 EN EL TOTAL APROBADO ANUAL DEL ANALÍTICO DE EGRESOS","")</f>
        <v/>
      </c>
    </row>
    <row r="25" spans="1:8" ht="24.95" customHeight="1" x14ac:dyDescent="0.25">
      <c r="A25" s="645"/>
      <c r="B25" s="587"/>
      <c r="C25" s="587"/>
      <c r="D25" s="587"/>
      <c r="E25" s="587"/>
      <c r="F25" s="587"/>
      <c r="G25" s="588"/>
      <c r="H25" s="373" t="str">
        <f>IF(D23&lt;&gt;'ETCA-II-11 '!D81,"ERROR!!!!! EL MONTO NO COINCIDE CON LO REPORTADO EN EL FORMATO ETCA-II-11 EN EL TOTAL APROBADO ANUAL DEL ANALÍTICO DE EGRESOS","")</f>
        <v/>
      </c>
    </row>
    <row r="26" spans="1:8" ht="24.95" customHeight="1" x14ac:dyDescent="0.25">
      <c r="A26" s="392"/>
      <c r="B26" s="589"/>
      <c r="C26" s="589"/>
      <c r="D26" s="590"/>
      <c r="E26" s="589"/>
      <c r="F26" s="589"/>
      <c r="G26" s="591"/>
      <c r="H26" s="373" t="str">
        <f>IF(E23&lt;&gt;'ETCA-II-11 '!E81,"ERROR!!!!! EL MONTO NO COINCIDE CON LO REPORTADO EN EL FORMATO ETCA-II-11 EN EL TOTAL APROBADO ANUAL DEL ANALÍTICO DE EGRESOS","")</f>
        <v/>
      </c>
    </row>
    <row r="27" spans="1:8" ht="24.95" customHeight="1" x14ac:dyDescent="0.25">
      <c r="A27" s="392"/>
      <c r="B27" s="589"/>
      <c r="C27" s="589"/>
      <c r="D27" s="590"/>
      <c r="E27" s="589"/>
      <c r="F27" s="589"/>
      <c r="G27" s="591"/>
      <c r="H27" s="373" t="str">
        <f>IF(F23&lt;&gt;'ETCA-II-11 '!F81,"ERROR!!!!! EL MONTO NO COINCIDE CON LO REPORTADO EN EL FORMATO ETCA-II-11 EN EL TOTAL APROBADO ANUAL DEL ANALÍTICO DE EGRESOS","")</f>
        <v/>
      </c>
    </row>
    <row r="28" spans="1:8" ht="25.5" customHeight="1" x14ac:dyDescent="0.25">
      <c r="A28" s="644"/>
      <c r="B28" s="643"/>
      <c r="C28" s="643"/>
      <c r="D28" s="643"/>
      <c r="E28" s="643"/>
      <c r="F28" s="643"/>
      <c r="G28" s="643"/>
      <c r="H28" s="373" t="str">
        <f>IF(G23&lt;&gt;'ETCA-II-11 '!G81,"ERROR!!!!! EL MONTO NO COINCIDE CON LO REPORTADO EN EL FORMATO ETCA-II-11 EN EL TOTAL APROBADO ANUAL DEL ANALÍTICO DE EGRESOS","")</f>
        <v/>
      </c>
    </row>
    <row r="30" spans="1:8" x14ac:dyDescent="0.25">
      <c r="F30" s="383"/>
    </row>
    <row r="31" spans="1:8" x14ac:dyDescent="0.25">
      <c r="F31" s="383"/>
    </row>
    <row r="33" spans="1:1" x14ac:dyDescent="0.25">
      <c r="A33" s="474" t="s">
        <v>1612</v>
      </c>
    </row>
    <row r="34" spans="1:1" x14ac:dyDescent="0.25">
      <c r="A34" s="474" t="s">
        <v>1613</v>
      </c>
    </row>
    <row r="35" spans="1:1" x14ac:dyDescent="0.3">
      <c r="A35" s="66"/>
    </row>
    <row r="36" spans="1:1" x14ac:dyDescent="0.3">
      <c r="A36" s="66"/>
    </row>
    <row r="37" spans="1:1" x14ac:dyDescent="0.3">
      <c r="A37" s="66"/>
    </row>
    <row r="38" spans="1:1" x14ac:dyDescent="0.25">
      <c r="A38" s="474" t="s">
        <v>1614</v>
      </c>
    </row>
    <row r="39" spans="1:1" x14ac:dyDescent="0.25">
      <c r="A39" s="474" t="s">
        <v>1615</v>
      </c>
    </row>
  </sheetData>
  <sheetProtection algorithmName="SHA-512" hashValue="vUk7riBp2j0GJlUGipbOK9U/cD0wrwjymu2xFAH/qQ4mB4HU/jSypDApAW4s/faEkdoTTIQcN/rwP8p3Hor3Aw==" saltValue="GU0krQB94l8FmvgpXrdGEg==" spinCount="100000" sheet="1" objects="1" scenarios="1" insertHyperlinks="0"/>
  <mergeCells count="7">
    <mergeCell ref="B6:E6"/>
    <mergeCell ref="A7:A8"/>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7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H57"/>
  <sheetViews>
    <sheetView view="pageBreakPreview" topLeftCell="A16" zoomScaleNormal="100" zoomScaleSheetLayoutView="100" workbookViewId="0">
      <selection activeCell="D7" sqref="B6:E7"/>
    </sheetView>
  </sheetViews>
  <sheetFormatPr baseColWidth="10" defaultColWidth="11.42578125" defaultRowHeight="15" x14ac:dyDescent="0.25"/>
  <cols>
    <col min="1" max="1" width="36.7109375" style="401" customWidth="1"/>
    <col min="2" max="5" width="11.42578125" style="411"/>
    <col min="6" max="6" width="11.85546875" style="411" customWidth="1"/>
    <col min="7" max="7" width="11.42578125" style="411"/>
    <col min="8" max="16384" width="11.42578125" style="401"/>
  </cols>
  <sheetData>
    <row r="1" spans="1:7" ht="16.5" x14ac:dyDescent="0.25">
      <c r="A1" s="895" t="s">
        <v>76</v>
      </c>
      <c r="B1" s="895"/>
      <c r="C1" s="895"/>
      <c r="D1" s="895"/>
      <c r="E1" s="895"/>
      <c r="F1" s="895"/>
      <c r="G1" s="895"/>
    </row>
    <row r="2" spans="1:7" ht="16.5" x14ac:dyDescent="0.25">
      <c r="A2" s="895" t="s">
        <v>1635</v>
      </c>
      <c r="B2" s="895"/>
      <c r="C2" s="895"/>
      <c r="D2" s="895"/>
      <c r="E2" s="895"/>
      <c r="F2" s="895"/>
      <c r="G2" s="895"/>
    </row>
    <row r="3" spans="1:7" ht="16.5" x14ac:dyDescent="0.25">
      <c r="A3" s="895" t="s">
        <v>409</v>
      </c>
      <c r="B3" s="895"/>
      <c r="C3" s="895"/>
      <c r="D3" s="895"/>
      <c r="E3" s="895"/>
      <c r="F3" s="895"/>
      <c r="G3" s="895"/>
    </row>
    <row r="4" spans="1:7" ht="16.5" x14ac:dyDescent="0.25">
      <c r="A4" s="895" t="s">
        <v>587</v>
      </c>
      <c r="B4" s="895"/>
      <c r="C4" s="895"/>
      <c r="D4" s="895"/>
      <c r="E4" s="895"/>
      <c r="F4" s="895"/>
      <c r="G4" s="895"/>
    </row>
    <row r="5" spans="1:7" ht="16.5" x14ac:dyDescent="0.25">
      <c r="A5" s="895" t="s">
        <v>590</v>
      </c>
      <c r="B5" s="895"/>
      <c r="C5" s="895"/>
      <c r="D5" s="895"/>
      <c r="E5" s="895"/>
      <c r="F5" s="895"/>
      <c r="G5" s="895"/>
    </row>
    <row r="6" spans="1:7" ht="17.25" thickBot="1" x14ac:dyDescent="0.3">
      <c r="A6" s="221"/>
      <c r="B6" s="947"/>
      <c r="C6" s="947"/>
      <c r="D6" s="947"/>
      <c r="E6" s="947"/>
      <c r="F6" s="402" t="s">
        <v>79</v>
      </c>
      <c r="G6" s="560" t="s">
        <v>589</v>
      </c>
    </row>
    <row r="7" spans="1:7" s="405" customFormat="1" ht="40.5" x14ac:dyDescent="0.2">
      <c r="A7" s="945" t="s">
        <v>197</v>
      </c>
      <c r="B7" s="403" t="s">
        <v>326</v>
      </c>
      <c r="C7" s="403" t="s">
        <v>327</v>
      </c>
      <c r="D7" s="403" t="s">
        <v>328</v>
      </c>
      <c r="E7" s="403" t="s">
        <v>329</v>
      </c>
      <c r="F7" s="403" t="s">
        <v>330</v>
      </c>
      <c r="G7" s="404" t="s">
        <v>331</v>
      </c>
    </row>
    <row r="8" spans="1:7" s="405" customFormat="1" ht="15.75" customHeight="1" thickBot="1" x14ac:dyDescent="0.25">
      <c r="A8" s="946"/>
      <c r="B8" s="406" t="s">
        <v>277</v>
      </c>
      <c r="C8" s="406" t="s">
        <v>278</v>
      </c>
      <c r="D8" s="406" t="s">
        <v>332</v>
      </c>
      <c r="E8" s="406" t="s">
        <v>280</v>
      </c>
      <c r="F8" s="406" t="s">
        <v>281</v>
      </c>
      <c r="G8" s="407" t="s">
        <v>333</v>
      </c>
    </row>
    <row r="9" spans="1:7" ht="16.5" x14ac:dyDescent="0.25">
      <c r="A9" s="408"/>
      <c r="B9" s="409"/>
      <c r="C9" s="409"/>
      <c r="D9" s="409"/>
      <c r="E9" s="409"/>
      <c r="F9" s="409"/>
      <c r="G9" s="410"/>
    </row>
    <row r="10" spans="1:7" x14ac:dyDescent="0.25">
      <c r="A10" s="586" t="s">
        <v>410</v>
      </c>
      <c r="B10" s="587">
        <f>SUM(B11:B18)</f>
        <v>0</v>
      </c>
      <c r="C10" s="587">
        <f>SUM(C11:C18)</f>
        <v>0</v>
      </c>
      <c r="D10" s="587">
        <f>IF(A10="","",B10+C10)</f>
        <v>0</v>
      </c>
      <c r="E10" s="587">
        <f>SUM(E11:E18)</f>
        <v>0</v>
      </c>
      <c r="F10" s="587">
        <f>SUM(F11:F18)</f>
        <v>0</v>
      </c>
      <c r="G10" s="588">
        <f>IF(A10="","",D10-E10)</f>
        <v>0</v>
      </c>
    </row>
    <row r="11" spans="1:7" x14ac:dyDescent="0.25">
      <c r="A11" s="379" t="s">
        <v>411</v>
      </c>
      <c r="B11" s="589"/>
      <c r="C11" s="589"/>
      <c r="D11" s="590">
        <f t="shared" ref="D11:D44" si="0">IF(A11="","",B11+C11)</f>
        <v>0</v>
      </c>
      <c r="E11" s="589"/>
      <c r="F11" s="589"/>
      <c r="G11" s="591">
        <f t="shared" ref="G11:G44" si="1">IF(A11="","",D11-E11)</f>
        <v>0</v>
      </c>
    </row>
    <row r="12" spans="1:7" x14ac:dyDescent="0.25">
      <c r="A12" s="379" t="s">
        <v>412</v>
      </c>
      <c r="B12" s="589"/>
      <c r="C12" s="589"/>
      <c r="D12" s="590">
        <f t="shared" si="0"/>
        <v>0</v>
      </c>
      <c r="E12" s="589"/>
      <c r="F12" s="589"/>
      <c r="G12" s="591">
        <f t="shared" si="1"/>
        <v>0</v>
      </c>
    </row>
    <row r="13" spans="1:7" x14ac:dyDescent="0.25">
      <c r="A13" s="379" t="s">
        <v>413</v>
      </c>
      <c r="B13" s="589"/>
      <c r="C13" s="589"/>
      <c r="D13" s="590">
        <f t="shared" si="0"/>
        <v>0</v>
      </c>
      <c r="E13" s="589"/>
      <c r="F13" s="589"/>
      <c r="G13" s="591">
        <f t="shared" si="1"/>
        <v>0</v>
      </c>
    </row>
    <row r="14" spans="1:7" x14ac:dyDescent="0.25">
      <c r="A14" s="379" t="s">
        <v>414</v>
      </c>
      <c r="B14" s="589"/>
      <c r="C14" s="589"/>
      <c r="D14" s="590">
        <f t="shared" si="0"/>
        <v>0</v>
      </c>
      <c r="E14" s="589"/>
      <c r="F14" s="589"/>
      <c r="G14" s="591">
        <f t="shared" si="1"/>
        <v>0</v>
      </c>
    </row>
    <row r="15" spans="1:7" x14ac:dyDescent="0.25">
      <c r="A15" s="379" t="s">
        <v>415</v>
      </c>
      <c r="B15" s="589"/>
      <c r="C15" s="589"/>
      <c r="D15" s="590">
        <f t="shared" si="0"/>
        <v>0</v>
      </c>
      <c r="E15" s="589"/>
      <c r="F15" s="589"/>
      <c r="G15" s="591">
        <f t="shared" si="1"/>
        <v>0</v>
      </c>
    </row>
    <row r="16" spans="1:7" x14ac:dyDescent="0.25">
      <c r="A16" s="379" t="s">
        <v>416</v>
      </c>
      <c r="B16" s="589"/>
      <c r="C16" s="589"/>
      <c r="D16" s="590">
        <f t="shared" si="0"/>
        <v>0</v>
      </c>
      <c r="E16" s="589"/>
      <c r="F16" s="589"/>
      <c r="G16" s="591">
        <f t="shared" si="1"/>
        <v>0</v>
      </c>
    </row>
    <row r="17" spans="1:7" x14ac:dyDescent="0.25">
      <c r="A17" s="379" t="s">
        <v>417</v>
      </c>
      <c r="B17" s="589"/>
      <c r="C17" s="589"/>
      <c r="D17" s="590">
        <f t="shared" si="0"/>
        <v>0</v>
      </c>
      <c r="E17" s="589"/>
      <c r="F17" s="589"/>
      <c r="G17" s="591">
        <f t="shared" si="1"/>
        <v>0</v>
      </c>
    </row>
    <row r="18" spans="1:7" x14ac:dyDescent="0.25">
      <c r="A18" s="379" t="s">
        <v>358</v>
      </c>
      <c r="B18" s="589"/>
      <c r="C18" s="589"/>
      <c r="D18" s="590">
        <f t="shared" si="0"/>
        <v>0</v>
      </c>
      <c r="E18" s="589"/>
      <c r="F18" s="589"/>
      <c r="G18" s="591">
        <f t="shared" si="1"/>
        <v>0</v>
      </c>
    </row>
    <row r="19" spans="1:7" x14ac:dyDescent="0.25">
      <c r="A19" s="392"/>
      <c r="B19" s="589"/>
      <c r="C19" s="589"/>
      <c r="D19" s="590" t="str">
        <f t="shared" si="0"/>
        <v/>
      </c>
      <c r="E19" s="589"/>
      <c r="F19" s="589"/>
      <c r="G19" s="591" t="str">
        <f t="shared" si="1"/>
        <v/>
      </c>
    </row>
    <row r="20" spans="1:7" x14ac:dyDescent="0.25">
      <c r="A20" s="586" t="s">
        <v>418</v>
      </c>
      <c r="B20" s="587">
        <f>SUM(B21:B27)</f>
        <v>351005907.47000003</v>
      </c>
      <c r="C20" s="587">
        <f>SUM(C21:C27)</f>
        <v>283832069.67000002</v>
      </c>
      <c r="D20" s="587">
        <f t="shared" si="0"/>
        <v>634837977.1400001</v>
      </c>
      <c r="E20" s="587">
        <f>SUM(E21:E27)</f>
        <v>65254108.409999996</v>
      </c>
      <c r="F20" s="587">
        <f>SUM(F21:F27)</f>
        <v>65254108.409999996</v>
      </c>
      <c r="G20" s="588">
        <f t="shared" si="1"/>
        <v>569583868.73000014</v>
      </c>
    </row>
    <row r="21" spans="1:7" x14ac:dyDescent="0.25">
      <c r="A21" s="379" t="s">
        <v>419</v>
      </c>
      <c r="B21" s="589"/>
      <c r="C21" s="589"/>
      <c r="D21" s="590">
        <f t="shared" si="0"/>
        <v>0</v>
      </c>
      <c r="E21" s="589"/>
      <c r="F21" s="589"/>
      <c r="G21" s="591">
        <f t="shared" si="1"/>
        <v>0</v>
      </c>
    </row>
    <row r="22" spans="1:7" x14ac:dyDescent="0.25">
      <c r="A22" s="379" t="s">
        <v>420</v>
      </c>
      <c r="B22" s="589">
        <f>+'ETCA-11-B3'!B23</f>
        <v>351005907.47000003</v>
      </c>
      <c r="C22" s="589">
        <f>+'ETCA-11-B3'!C23</f>
        <v>283832069.67000002</v>
      </c>
      <c r="D22" s="590">
        <f t="shared" si="0"/>
        <v>634837977.1400001</v>
      </c>
      <c r="E22" s="589">
        <f>+'ETCA-11-B3'!E23</f>
        <v>65254108.409999996</v>
      </c>
      <c r="F22" s="589">
        <f>+E22</f>
        <v>65254108.409999996</v>
      </c>
      <c r="G22" s="591">
        <f t="shared" si="1"/>
        <v>569583868.73000014</v>
      </c>
    </row>
    <row r="23" spans="1:7" x14ac:dyDescent="0.25">
      <c r="A23" s="379" t="s">
        <v>421</v>
      </c>
      <c r="B23" s="589"/>
      <c r="C23" s="589"/>
      <c r="D23" s="590">
        <f t="shared" si="0"/>
        <v>0</v>
      </c>
      <c r="E23" s="589"/>
      <c r="F23" s="589" t="s">
        <v>748</v>
      </c>
      <c r="G23" s="591">
        <f t="shared" si="1"/>
        <v>0</v>
      </c>
    </row>
    <row r="24" spans="1:7" ht="25.5" x14ac:dyDescent="0.25">
      <c r="A24" s="379" t="s">
        <v>422</v>
      </c>
      <c r="B24" s="589"/>
      <c r="C24" s="589"/>
      <c r="D24" s="590">
        <f t="shared" si="0"/>
        <v>0</v>
      </c>
      <c r="E24" s="589"/>
      <c r="F24" s="589"/>
      <c r="G24" s="591">
        <f t="shared" si="1"/>
        <v>0</v>
      </c>
    </row>
    <row r="25" spans="1:7" x14ac:dyDescent="0.25">
      <c r="A25" s="379" t="s">
        <v>423</v>
      </c>
      <c r="B25" s="589"/>
      <c r="C25" s="589"/>
      <c r="D25" s="590">
        <f t="shared" si="0"/>
        <v>0</v>
      </c>
      <c r="E25" s="589"/>
      <c r="F25" s="589"/>
      <c r="G25" s="591">
        <f t="shared" si="1"/>
        <v>0</v>
      </c>
    </row>
    <row r="26" spans="1:7" x14ac:dyDescent="0.25">
      <c r="A26" s="379" t="s">
        <v>424</v>
      </c>
      <c r="B26" s="589"/>
      <c r="C26" s="589"/>
      <c r="D26" s="590">
        <f t="shared" si="0"/>
        <v>0</v>
      </c>
      <c r="E26" s="589"/>
      <c r="F26" s="589"/>
      <c r="G26" s="591">
        <f t="shared" si="1"/>
        <v>0</v>
      </c>
    </row>
    <row r="27" spans="1:7" x14ac:dyDescent="0.25">
      <c r="A27" s="379" t="s">
        <v>425</v>
      </c>
      <c r="B27" s="589"/>
      <c r="C27" s="589"/>
      <c r="D27" s="590">
        <f t="shared" si="0"/>
        <v>0</v>
      </c>
      <c r="E27" s="589"/>
      <c r="F27" s="589"/>
      <c r="G27" s="591">
        <f t="shared" si="1"/>
        <v>0</v>
      </c>
    </row>
    <row r="28" spans="1:7" x14ac:dyDescent="0.25">
      <c r="A28" s="392"/>
      <c r="B28" s="589"/>
      <c r="C28" s="589"/>
      <c r="D28" s="590" t="str">
        <f t="shared" si="0"/>
        <v/>
      </c>
      <c r="E28" s="589"/>
      <c r="F28" s="589"/>
      <c r="G28" s="591" t="str">
        <f t="shared" si="1"/>
        <v/>
      </c>
    </row>
    <row r="29" spans="1:7" x14ac:dyDescent="0.25">
      <c r="A29" s="586" t="s">
        <v>426</v>
      </c>
      <c r="B29" s="587">
        <f>SUM(B30:B38)</f>
        <v>0</v>
      </c>
      <c r="C29" s="587">
        <f>SUM(C30:C38)</f>
        <v>0</v>
      </c>
      <c r="D29" s="587">
        <f t="shared" si="0"/>
        <v>0</v>
      </c>
      <c r="E29" s="587">
        <f>SUM(E30:E38)</f>
        <v>0</v>
      </c>
      <c r="F29" s="587">
        <f>SUM(F30:F38)</f>
        <v>0</v>
      </c>
      <c r="G29" s="588">
        <f t="shared" si="1"/>
        <v>0</v>
      </c>
    </row>
    <row r="30" spans="1:7" ht="25.5" x14ac:dyDescent="0.25">
      <c r="A30" s="379" t="s">
        <v>427</v>
      </c>
      <c r="B30" s="589"/>
      <c r="C30" s="589"/>
      <c r="D30" s="590">
        <f t="shared" si="0"/>
        <v>0</v>
      </c>
      <c r="E30" s="589"/>
      <c r="F30" s="589"/>
      <c r="G30" s="591">
        <f t="shared" si="1"/>
        <v>0</v>
      </c>
    </row>
    <row r="31" spans="1:7" x14ac:dyDescent="0.25">
      <c r="A31" s="379" t="s">
        <v>428</v>
      </c>
      <c r="B31" s="589"/>
      <c r="C31" s="589"/>
      <c r="D31" s="590">
        <f t="shared" si="0"/>
        <v>0</v>
      </c>
      <c r="E31" s="589"/>
      <c r="F31" s="589"/>
      <c r="G31" s="591">
        <f t="shared" si="1"/>
        <v>0</v>
      </c>
    </row>
    <row r="32" spans="1:7" x14ac:dyDescent="0.25">
      <c r="A32" s="379" t="s">
        <v>429</v>
      </c>
      <c r="B32" s="589"/>
      <c r="C32" s="589"/>
      <c r="D32" s="590">
        <f t="shared" si="0"/>
        <v>0</v>
      </c>
      <c r="E32" s="589"/>
      <c r="F32" s="589"/>
      <c r="G32" s="591">
        <f t="shared" si="1"/>
        <v>0</v>
      </c>
    </row>
    <row r="33" spans="1:8" x14ac:dyDescent="0.25">
      <c r="A33" s="379" t="s">
        <v>430</v>
      </c>
      <c r="B33" s="589"/>
      <c r="C33" s="589"/>
      <c r="D33" s="590">
        <f t="shared" si="0"/>
        <v>0</v>
      </c>
      <c r="E33" s="589"/>
      <c r="F33" s="589"/>
      <c r="G33" s="591">
        <f t="shared" si="1"/>
        <v>0</v>
      </c>
    </row>
    <row r="34" spans="1:8" x14ac:dyDescent="0.25">
      <c r="A34" s="379" t="s">
        <v>431</v>
      </c>
      <c r="B34" s="589"/>
      <c r="C34" s="589"/>
      <c r="D34" s="590">
        <f t="shared" si="0"/>
        <v>0</v>
      </c>
      <c r="E34" s="589"/>
      <c r="F34" s="589"/>
      <c r="G34" s="591">
        <f t="shared" si="1"/>
        <v>0</v>
      </c>
    </row>
    <row r="35" spans="1:8" x14ac:dyDescent="0.25">
      <c r="A35" s="379" t="s">
        <v>432</v>
      </c>
      <c r="B35" s="589"/>
      <c r="C35" s="589"/>
      <c r="D35" s="590">
        <f t="shared" si="0"/>
        <v>0</v>
      </c>
      <c r="E35" s="589"/>
      <c r="F35" s="589"/>
      <c r="G35" s="591">
        <f t="shared" si="1"/>
        <v>0</v>
      </c>
    </row>
    <row r="36" spans="1:8" x14ac:dyDescent="0.25">
      <c r="A36" s="379" t="s">
        <v>433</v>
      </c>
      <c r="B36" s="589"/>
      <c r="C36" s="589"/>
      <c r="D36" s="590">
        <f t="shared" si="0"/>
        <v>0</v>
      </c>
      <c r="E36" s="589"/>
      <c r="F36" s="589"/>
      <c r="G36" s="591">
        <f t="shared" si="1"/>
        <v>0</v>
      </c>
    </row>
    <row r="37" spans="1:8" x14ac:dyDescent="0.25">
      <c r="A37" s="379" t="s">
        <v>434</v>
      </c>
      <c r="B37" s="589"/>
      <c r="C37" s="589"/>
      <c r="D37" s="590">
        <f t="shared" si="0"/>
        <v>0</v>
      </c>
      <c r="E37" s="589"/>
      <c r="F37" s="589"/>
      <c r="G37" s="591">
        <f t="shared" si="1"/>
        <v>0</v>
      </c>
    </row>
    <row r="38" spans="1:8" x14ac:dyDescent="0.25">
      <c r="A38" s="379" t="s">
        <v>435</v>
      </c>
      <c r="B38" s="589"/>
      <c r="C38" s="589"/>
      <c r="D38" s="590">
        <f t="shared" si="0"/>
        <v>0</v>
      </c>
      <c r="E38" s="589"/>
      <c r="F38" s="589"/>
      <c r="G38" s="591">
        <f t="shared" si="1"/>
        <v>0</v>
      </c>
    </row>
    <row r="39" spans="1:8" x14ac:dyDescent="0.25">
      <c r="A39" s="392"/>
      <c r="B39" s="589"/>
      <c r="C39" s="589"/>
      <c r="D39" s="590" t="str">
        <f t="shared" si="0"/>
        <v/>
      </c>
      <c r="E39" s="589"/>
      <c r="F39" s="589"/>
      <c r="G39" s="591" t="str">
        <f t="shared" si="1"/>
        <v/>
      </c>
    </row>
    <row r="40" spans="1:8" x14ac:dyDescent="0.25">
      <c r="A40" s="586" t="s">
        <v>436</v>
      </c>
      <c r="B40" s="587">
        <f>SUM(B41:B44)</f>
        <v>0</v>
      </c>
      <c r="C40" s="587">
        <f>SUM(C41:C44)</f>
        <v>0</v>
      </c>
      <c r="D40" s="587">
        <f t="shared" si="0"/>
        <v>0</v>
      </c>
      <c r="E40" s="587">
        <f>SUM(E41:E44)</f>
        <v>0</v>
      </c>
      <c r="F40" s="587">
        <f>SUM(F41:F44)</f>
        <v>0</v>
      </c>
      <c r="G40" s="588">
        <f t="shared" si="1"/>
        <v>0</v>
      </c>
    </row>
    <row r="41" spans="1:8" ht="25.5" x14ac:dyDescent="0.25">
      <c r="A41" s="592" t="s">
        <v>437</v>
      </c>
      <c r="B41" s="589"/>
      <c r="C41" s="589"/>
      <c r="D41" s="590">
        <f t="shared" si="0"/>
        <v>0</v>
      </c>
      <c r="E41" s="589"/>
      <c r="F41" s="589"/>
      <c r="G41" s="591">
        <f t="shared" si="1"/>
        <v>0</v>
      </c>
    </row>
    <row r="42" spans="1:8" ht="25.5" x14ac:dyDescent="0.25">
      <c r="A42" s="592" t="s">
        <v>438</v>
      </c>
      <c r="B42" s="589"/>
      <c r="C42" s="589"/>
      <c r="D42" s="590">
        <f t="shared" si="0"/>
        <v>0</v>
      </c>
      <c r="E42" s="589"/>
      <c r="F42" s="589"/>
      <c r="G42" s="591">
        <f t="shared" si="1"/>
        <v>0</v>
      </c>
    </row>
    <row r="43" spans="1:8" x14ac:dyDescent="0.25">
      <c r="A43" s="379" t="s">
        <v>439</v>
      </c>
      <c r="B43" s="589"/>
      <c r="C43" s="589"/>
      <c r="D43" s="590">
        <f t="shared" si="0"/>
        <v>0</v>
      </c>
      <c r="E43" s="589"/>
      <c r="F43" s="589"/>
      <c r="G43" s="591">
        <f t="shared" si="1"/>
        <v>0</v>
      </c>
    </row>
    <row r="44" spans="1:8" ht="15.75" thickBot="1" x14ac:dyDescent="0.3">
      <c r="A44" s="379" t="s">
        <v>440</v>
      </c>
      <c r="B44" s="589"/>
      <c r="C44" s="589"/>
      <c r="D44" s="590">
        <f t="shared" si="0"/>
        <v>0</v>
      </c>
      <c r="E44" s="589"/>
      <c r="F44" s="589"/>
      <c r="G44" s="591">
        <f t="shared" si="1"/>
        <v>0</v>
      </c>
    </row>
    <row r="45" spans="1:8" ht="28.5" customHeight="1" thickBot="1" x14ac:dyDescent="0.3">
      <c r="A45" s="388" t="s">
        <v>383</v>
      </c>
      <c r="B45" s="593">
        <f>SUM(B10,B20,B29,B40)</f>
        <v>351005907.47000003</v>
      </c>
      <c r="C45" s="593">
        <f>SUM(C10,C20,C29,C40)</f>
        <v>283832069.67000002</v>
      </c>
      <c r="D45" s="593">
        <f t="shared" ref="D45" si="2">IF(A45="","",B45+C45)</f>
        <v>634837977.1400001</v>
      </c>
      <c r="E45" s="593">
        <f>SUM(E10,E20,E29,E40)</f>
        <v>65254108.409999996</v>
      </c>
      <c r="F45" s="593">
        <f>SUM(F10,F20,F29,F40)</f>
        <v>65254108.409999996</v>
      </c>
      <c r="G45" s="594">
        <f t="shared" ref="G45" si="3">IF(A45="","",D45-E45)</f>
        <v>569583868.73000014</v>
      </c>
      <c r="H45" s="661" t="str">
        <f>IF(B45&lt;&gt;'ETCA-II-11 '!B81,"ERROR!!!!! EL MONTO NO COINCIDE CON LO REPORTADO EN EL FORMATO ETCA-II-11 EN EL TOTAL APROBADO ANUAL DEL ANALÍTICO DE EGRESOS","")</f>
        <v/>
      </c>
    </row>
    <row r="46" spans="1:8" ht="17.100000000000001" customHeight="1" x14ac:dyDescent="0.25">
      <c r="A46" s="644"/>
      <c r="B46" s="648"/>
      <c r="C46" s="648"/>
      <c r="D46" s="648"/>
      <c r="E46" s="648"/>
      <c r="F46" s="648"/>
      <c r="G46" s="648"/>
      <c r="H46" s="661" t="str">
        <f>IF(C45&lt;&gt;'ETCA-II-11 '!C81,"ERROR!!!!! EL MONTO NO COINCIDE CON LO REPORTADO EN EL FORMATO ETCA-II-11 EN EL TOTAL DE AMPLIACIONES/REDUCCIONES PRESENTADO EN EL ANALÍTICO DE EGRESOS","")</f>
        <v/>
      </c>
    </row>
    <row r="47" spans="1:8" ht="17.100000000000001" customHeight="1" x14ac:dyDescent="0.25">
      <c r="A47" s="644"/>
      <c r="B47" s="648"/>
      <c r="C47" s="648"/>
      <c r="D47" s="648"/>
      <c r="E47" s="648"/>
      <c r="F47" s="648"/>
      <c r="G47" s="648"/>
      <c r="H47" s="661" t="str">
        <f>IF(D45&lt;&gt;'ETCA-II-11 '!D81,"ERROR!!!!! EL MONTO NO COINCIDE CON LO REPORTADO EN EL FORMATO ETCA-II-11 EN EL TOTAL MODIFICADO ANUAL PRESENTADO EN EL ANALÍTICO DE EGRESOS","")</f>
        <v/>
      </c>
    </row>
    <row r="48" spans="1:8" ht="17.100000000000001" customHeight="1" x14ac:dyDescent="0.25">
      <c r="A48" s="646"/>
      <c r="B48" s="647"/>
      <c r="C48" s="647"/>
      <c r="D48" s="648"/>
      <c r="E48" s="647"/>
      <c r="F48" s="647"/>
      <c r="G48" s="648"/>
      <c r="H48" s="661" t="str">
        <f>IF(E45&lt;&gt;'ETCA-II-11 '!E81,"ERROR!!!!! EL MONTO NO COINCIDE CON LO REPORTADO EN EL FORMATO ETCA-II-11 EN EL TOTAL DEVENGADO ANUAL PRESENTADO EN EL ANALÍTICO DE EGRESOS","")</f>
        <v/>
      </c>
    </row>
    <row r="49" spans="1:8" s="405" customFormat="1" ht="17.100000000000001" customHeight="1" x14ac:dyDescent="0.2">
      <c r="A49" s="644"/>
      <c r="B49" s="648"/>
      <c r="C49" s="648"/>
      <c r="D49" s="648"/>
      <c r="E49" s="648"/>
      <c r="F49" s="648"/>
      <c r="G49" s="648"/>
      <c r="H49" s="661" t="str">
        <f>IF(F45&lt;&gt;'ETCA-II-11 '!F81,"ERROR!!!!! EL MONTO NO COINCIDE CON LO REPORTADO EN EL FORMATO ETCA-II-11 EN EL TOTAL PAGADO ANUAL PRESENTADO EN EL ANALÍTICO DE EGRESOS","")</f>
        <v/>
      </c>
    </row>
    <row r="50" spans="1:8" x14ac:dyDescent="0.25">
      <c r="H50" s="661" t="str">
        <f>IF(G45&lt;&gt;'ETCA-II-11 '!G81,"ERROR!!!!! EL MONTO NO COINCIDE CON LO REPORTADO EN EL FORMATO ETCA-II-11 EN EL TOTAL SUBEJERCICIO PRESENTADO EN EL ANALÍTICO DE EGRESOS","")</f>
        <v/>
      </c>
    </row>
    <row r="51" spans="1:8" x14ac:dyDescent="0.25">
      <c r="A51" s="474" t="s">
        <v>1612</v>
      </c>
    </row>
    <row r="52" spans="1:8" x14ac:dyDescent="0.25">
      <c r="A52" s="474" t="s">
        <v>1613</v>
      </c>
    </row>
    <row r="53" spans="1:8" ht="16.5" x14ac:dyDescent="0.3">
      <c r="A53" s="66"/>
    </row>
    <row r="54" spans="1:8" ht="16.5" x14ac:dyDescent="0.3">
      <c r="A54" s="66"/>
    </row>
    <row r="55" spans="1:8" ht="16.5" x14ac:dyDescent="0.3">
      <c r="A55" s="66"/>
    </row>
    <row r="56" spans="1:8" x14ac:dyDescent="0.25">
      <c r="A56" s="474" t="s">
        <v>1614</v>
      </c>
    </row>
    <row r="57" spans="1:8" x14ac:dyDescent="0.25">
      <c r="A57" s="474" t="s">
        <v>1615</v>
      </c>
    </row>
  </sheetData>
  <sheetProtection algorithmName="SHA-512" hashValue="C4lfE44RXRFUY3CNlaYSxUwMenBv1jW2AfkoajKxBGwLq9FCZR1urJ6ZQT/tgSmjKXEvPP3cpAj6nMFuhaMdDg==" saltValue="PQ4OMl3Y3YYbmoizuyYqog==" spinCount="100000" sheet="1" objects="1" scenarios="1" insertHyperlinks="0"/>
  <mergeCells count="7">
    <mergeCell ref="B6:E6"/>
    <mergeCell ref="A7:A8"/>
    <mergeCell ref="A1:G1"/>
    <mergeCell ref="A2:G2"/>
    <mergeCell ref="A3:G3"/>
    <mergeCell ref="A4:G4"/>
    <mergeCell ref="A5:G5"/>
  </mergeCells>
  <printOptions horizontalCentered="1"/>
  <pageMargins left="0.39370078740157483" right="0.39370078740157483" top="0.74803149606299213" bottom="0.74803149606299213" header="0.31496062992125984" footer="0.31496062992125984"/>
  <pageSetup scale="73"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rgb="FF7030A0"/>
    <pageSetUpPr fitToPage="1"/>
  </sheetPr>
  <dimension ref="A1:D50"/>
  <sheetViews>
    <sheetView view="pageBreakPreview" zoomScale="90" zoomScaleNormal="100" zoomScaleSheetLayoutView="90" workbookViewId="0">
      <selection activeCell="B5" sqref="B5"/>
    </sheetView>
  </sheetViews>
  <sheetFormatPr baseColWidth="10" defaultColWidth="11.42578125" defaultRowHeight="16.5" x14ac:dyDescent="0.25"/>
  <cols>
    <col min="1" max="1" width="63.28515625" style="370" customWidth="1"/>
    <col min="2" max="2" width="25.7109375" style="370" customWidth="1"/>
    <col min="3" max="3" width="25.7109375" style="536" customWidth="1"/>
    <col min="4" max="4" width="89.140625" style="370" customWidth="1"/>
    <col min="5" max="16384" width="11.42578125" style="370"/>
  </cols>
  <sheetData>
    <row r="1" spans="1:4" x14ac:dyDescent="0.25">
      <c r="A1" s="894" t="s">
        <v>76</v>
      </c>
      <c r="B1" s="894"/>
      <c r="C1" s="894"/>
      <c r="D1" s="556"/>
    </row>
    <row r="2" spans="1:4" s="371" customFormat="1" ht="15.75" x14ac:dyDescent="0.25">
      <c r="A2" s="894" t="s">
        <v>1636</v>
      </c>
      <c r="B2" s="894"/>
      <c r="C2" s="894"/>
    </row>
    <row r="3" spans="1:4" s="371" customFormat="1" x14ac:dyDescent="0.25">
      <c r="A3" s="895" t="s">
        <v>587</v>
      </c>
      <c r="B3" s="895"/>
      <c r="C3" s="895"/>
    </row>
    <row r="4" spans="1:4" s="371" customFormat="1" x14ac:dyDescent="0.25">
      <c r="A4" s="895" t="s">
        <v>588</v>
      </c>
      <c r="B4" s="895"/>
      <c r="C4" s="895"/>
    </row>
    <row r="5" spans="1:4" s="372" customFormat="1" x14ac:dyDescent="0.25">
      <c r="A5" s="519"/>
      <c r="B5" s="519"/>
    </row>
    <row r="6" spans="1:4" s="372" customFormat="1" ht="17.25" thickBot="1" x14ac:dyDescent="0.3">
      <c r="A6" s="221"/>
      <c r="B6" s="520" t="s">
        <v>79</v>
      </c>
      <c r="C6" s="520" t="s">
        <v>589</v>
      </c>
    </row>
    <row r="7" spans="1:4" s="522" customFormat="1" ht="27" customHeight="1" thickBot="1" x14ac:dyDescent="0.3">
      <c r="A7" s="521" t="s">
        <v>441</v>
      </c>
      <c r="B7" s="229"/>
      <c r="C7" s="339">
        <f>'ETCA-II-11 '!E81</f>
        <v>65254108.409999996</v>
      </c>
      <c r="D7" s="537" t="str">
        <f>IF(C7&lt;&gt;'ETCA-II-11 '!C81,"ERROR!!!!! EL MONTO NO COINCIDE CON LO REPORTADO EN EL FORMATO ETCA-II-11, EN EL TOTAL DE EGRESOS DEVENGADO ANUAL","")</f>
        <v>ERROR!!!!! EL MONTO NO COINCIDE CON LO REPORTADO EN EL FORMATO ETCA-II-11, EN EL TOTAL DE EGRESOS DEVENGADO ANUAL</v>
      </c>
    </row>
    <row r="8" spans="1:4" s="522" customFormat="1" ht="9.75" customHeight="1" x14ac:dyDescent="0.25">
      <c r="A8" s="523"/>
      <c r="B8" s="356"/>
      <c r="C8" s="538"/>
      <c r="D8" s="537"/>
    </row>
    <row r="9" spans="1:4" s="522" customFormat="1" ht="17.25" customHeight="1" thickBot="1" x14ac:dyDescent="0.3">
      <c r="A9" s="524" t="s">
        <v>317</v>
      </c>
      <c r="B9" s="359"/>
      <c r="C9" s="539"/>
      <c r="D9" s="537"/>
    </row>
    <row r="10" spans="1:4" ht="20.100000000000001" customHeight="1" x14ac:dyDescent="0.25">
      <c r="A10" s="525" t="s">
        <v>442</v>
      </c>
      <c r="B10" s="526"/>
      <c r="C10" s="540">
        <f>SUM(B11:B27)</f>
        <v>54023683.199999996</v>
      </c>
      <c r="D10" s="541"/>
    </row>
    <row r="11" spans="1:4" ht="20.100000000000001" customHeight="1" x14ac:dyDescent="0.25">
      <c r="A11" s="527" t="s">
        <v>443</v>
      </c>
      <c r="B11" s="528">
        <v>93334.73</v>
      </c>
      <c r="C11" s="542"/>
      <c r="D11" s="541"/>
    </row>
    <row r="12" spans="1:4" x14ac:dyDescent="0.25">
      <c r="A12" s="527" t="s">
        <v>444</v>
      </c>
      <c r="B12" s="528"/>
      <c r="C12" s="542"/>
      <c r="D12" s="541"/>
    </row>
    <row r="13" spans="1:4" ht="20.100000000000001" customHeight="1" x14ac:dyDescent="0.25">
      <c r="A13" s="527" t="s">
        <v>445</v>
      </c>
      <c r="B13" s="528"/>
      <c r="C13" s="542"/>
      <c r="D13" s="541"/>
    </row>
    <row r="14" spans="1:4" ht="20.100000000000001" customHeight="1" x14ac:dyDescent="0.25">
      <c r="A14" s="527" t="s">
        <v>446</v>
      </c>
      <c r="B14" s="528">
        <v>936900</v>
      </c>
      <c r="C14" s="542"/>
      <c r="D14" s="541"/>
    </row>
    <row r="15" spans="1:4" ht="20.100000000000001" customHeight="1" x14ac:dyDescent="0.25">
      <c r="A15" s="527" t="s">
        <v>447</v>
      </c>
      <c r="B15" s="528"/>
      <c r="C15" s="542"/>
      <c r="D15" s="541"/>
    </row>
    <row r="16" spans="1:4" ht="20.100000000000001" customHeight="1" x14ac:dyDescent="0.25">
      <c r="A16" s="527" t="s">
        <v>448</v>
      </c>
      <c r="B16" s="528">
        <v>18799.990000000002</v>
      </c>
      <c r="C16" s="542"/>
      <c r="D16" s="541"/>
    </row>
    <row r="17" spans="1:4" ht="20.100000000000001" customHeight="1" x14ac:dyDescent="0.25">
      <c r="A17" s="527" t="s">
        <v>449</v>
      </c>
      <c r="B17" s="528"/>
      <c r="C17" s="542"/>
      <c r="D17" s="541"/>
    </row>
    <row r="18" spans="1:4" ht="20.100000000000001" customHeight="1" x14ac:dyDescent="0.25">
      <c r="A18" s="527" t="s">
        <v>450</v>
      </c>
      <c r="B18" s="528"/>
      <c r="C18" s="542"/>
      <c r="D18" s="541"/>
    </row>
    <row r="19" spans="1:4" ht="20.100000000000001" customHeight="1" x14ac:dyDescent="0.25">
      <c r="A19" s="527" t="s">
        <v>451</v>
      </c>
      <c r="B19" s="528"/>
      <c r="C19" s="542"/>
      <c r="D19" s="541"/>
    </row>
    <row r="20" spans="1:4" ht="20.100000000000001" customHeight="1" x14ac:dyDescent="0.25">
      <c r="A20" s="527" t="s">
        <v>452</v>
      </c>
      <c r="B20" s="528"/>
      <c r="C20" s="542"/>
      <c r="D20" s="541"/>
    </row>
    <row r="21" spans="1:4" ht="20.100000000000001" customHeight="1" x14ac:dyDescent="0.25">
      <c r="A21" s="527" t="s">
        <v>453</v>
      </c>
      <c r="B21" s="528"/>
      <c r="C21" s="542"/>
      <c r="D21" s="541"/>
    </row>
    <row r="22" spans="1:4" ht="20.100000000000001" customHeight="1" x14ac:dyDescent="0.25">
      <c r="A22" s="527" t="s">
        <v>454</v>
      </c>
      <c r="B22" s="528"/>
      <c r="C22" s="542"/>
      <c r="D22" s="541"/>
    </row>
    <row r="23" spans="1:4" ht="20.100000000000001" customHeight="1" x14ac:dyDescent="0.25">
      <c r="A23" s="527" t="s">
        <v>455</v>
      </c>
      <c r="B23" s="528"/>
      <c r="C23" s="542"/>
      <c r="D23" s="541"/>
    </row>
    <row r="24" spans="1:4" ht="20.100000000000001" customHeight="1" x14ac:dyDescent="0.25">
      <c r="A24" s="527" t="s">
        <v>456</v>
      </c>
      <c r="B24" s="528"/>
      <c r="C24" s="542"/>
      <c r="D24" s="541"/>
    </row>
    <row r="25" spans="1:4" ht="20.100000000000001" customHeight="1" x14ac:dyDescent="0.25">
      <c r="A25" s="527" t="s">
        <v>457</v>
      </c>
      <c r="B25" s="528"/>
      <c r="C25" s="542"/>
      <c r="D25" s="541"/>
    </row>
    <row r="26" spans="1:4" ht="20.100000000000001" customHeight="1" x14ac:dyDescent="0.25">
      <c r="A26" s="527" t="s">
        <v>458</v>
      </c>
      <c r="B26" s="528"/>
      <c r="C26" s="542"/>
      <c r="D26" s="541"/>
    </row>
    <row r="27" spans="1:4" ht="20.100000000000001" customHeight="1" thickBot="1" x14ac:dyDescent="0.3">
      <c r="A27" s="529" t="s">
        <v>459</v>
      </c>
      <c r="B27" s="530">
        <v>52974648.479999997</v>
      </c>
      <c r="C27" s="543"/>
      <c r="D27" s="541"/>
    </row>
    <row r="28" spans="1:4" ht="7.5" customHeight="1" x14ac:dyDescent="0.25">
      <c r="A28" s="531"/>
      <c r="B28" s="356"/>
      <c r="C28" s="544"/>
      <c r="D28" s="541"/>
    </row>
    <row r="29" spans="1:4" ht="20.100000000000001" customHeight="1" thickBot="1" x14ac:dyDescent="0.3">
      <c r="A29" s="532" t="s">
        <v>310</v>
      </c>
      <c r="B29" s="359"/>
      <c r="C29" s="545"/>
      <c r="D29" s="541"/>
    </row>
    <row r="30" spans="1:4" ht="20.100000000000001" customHeight="1" x14ac:dyDescent="0.25">
      <c r="A30" s="525" t="s">
        <v>460</v>
      </c>
      <c r="B30" s="526"/>
      <c r="C30" s="540">
        <f>SUM(B31:B37)</f>
        <v>11720497.65</v>
      </c>
      <c r="D30" s="541"/>
    </row>
    <row r="31" spans="1:4" x14ac:dyDescent="0.25">
      <c r="A31" s="527" t="s">
        <v>461</v>
      </c>
      <c r="B31" s="528">
        <v>184799.16</v>
      </c>
      <c r="C31" s="542"/>
      <c r="D31" s="549" t="str">
        <f>IF(B31&lt;&gt;'ETCA-I-02'!C55,"ERROR!!!!! EL MONTO NO COINCIDE CON LO REPORTADO EN EL FORMATO ETCA-I-02 POR CONCEPTO DE ESTIMACIONES, DEPRECIACIONES, ETC..","")</f>
        <v/>
      </c>
    </row>
    <row r="32" spans="1:4" ht="20.100000000000001" customHeight="1" x14ac:dyDescent="0.25">
      <c r="A32" s="527" t="s">
        <v>186</v>
      </c>
      <c r="B32" s="528"/>
      <c r="C32" s="542"/>
      <c r="D32" s="541"/>
    </row>
    <row r="33" spans="1:4" ht="20.100000000000001" customHeight="1" x14ac:dyDescent="0.25">
      <c r="A33" s="527" t="s">
        <v>462</v>
      </c>
      <c r="B33" s="528"/>
      <c r="C33" s="542"/>
      <c r="D33" s="541"/>
    </row>
    <row r="34" spans="1:4" ht="25.5" customHeight="1" x14ac:dyDescent="0.25">
      <c r="A34" s="527" t="s">
        <v>463</v>
      </c>
      <c r="B34" s="528"/>
      <c r="C34" s="542"/>
      <c r="D34" s="541"/>
    </row>
    <row r="35" spans="1:4" ht="20.100000000000001" customHeight="1" x14ac:dyDescent="0.25">
      <c r="A35" s="527" t="s">
        <v>464</v>
      </c>
      <c r="B35" s="528"/>
      <c r="C35" s="542"/>
      <c r="D35" s="541"/>
    </row>
    <row r="36" spans="1:4" ht="20.100000000000001" customHeight="1" x14ac:dyDescent="0.25">
      <c r="A36" s="527" t="s">
        <v>465</v>
      </c>
      <c r="B36" s="528"/>
      <c r="C36" s="542"/>
      <c r="D36" s="541"/>
    </row>
    <row r="37" spans="1:4" ht="20.100000000000001" customHeight="1" x14ac:dyDescent="0.25">
      <c r="A37" s="533" t="s">
        <v>466</v>
      </c>
      <c r="B37" s="528">
        <v>11535698.49</v>
      </c>
      <c r="C37" s="542"/>
      <c r="D37" s="541"/>
    </row>
    <row r="38" spans="1:4" ht="20.100000000000001" customHeight="1" thickBot="1" x14ac:dyDescent="0.3">
      <c r="A38" s="534"/>
      <c r="B38" s="535"/>
      <c r="C38" s="543"/>
      <c r="D38" s="541"/>
    </row>
    <row r="39" spans="1:4" ht="20.100000000000001" customHeight="1" thickBot="1" x14ac:dyDescent="0.3">
      <c r="A39" s="652" t="s">
        <v>467</v>
      </c>
      <c r="B39" s="653"/>
      <c r="C39" s="339">
        <f>C7-C10+C30</f>
        <v>22950922.859999999</v>
      </c>
      <c r="D39" s="541" t="str">
        <f>IF(C39&lt;&gt;'ETCA-I-02'!C59,"ERROR!!!!! EL MONTO NO COINCIDE CON LO REPORTADO EN EL FORMATO ETCA-I-02, EN EL MISMO RUBRO","")</f>
        <v>ERROR!!!!! EL MONTO NO COINCIDE CON LO REPORTADO EN EL FORMATO ETCA-I-02, EN EL MISMO RUBRO</v>
      </c>
    </row>
    <row r="40" spans="1:4" ht="20.100000000000001" customHeight="1" x14ac:dyDescent="0.25">
      <c r="A40" s="649"/>
      <c r="B40" s="650"/>
      <c r="C40" s="651"/>
      <c r="D40" s="541"/>
    </row>
    <row r="41" spans="1:4" ht="20.100000000000001" customHeight="1" x14ac:dyDescent="0.25">
      <c r="A41" s="649"/>
      <c r="B41" s="650"/>
      <c r="C41" s="651"/>
      <c r="D41" s="541"/>
    </row>
    <row r="42" spans="1:4" ht="20.100000000000001" customHeight="1" x14ac:dyDescent="0.25">
      <c r="A42" s="649"/>
      <c r="B42" s="650"/>
      <c r="C42" s="651"/>
      <c r="D42" s="541"/>
    </row>
    <row r="43" spans="1:4" ht="20.100000000000001" customHeight="1" x14ac:dyDescent="0.25">
      <c r="A43" s="649"/>
      <c r="B43" s="650"/>
      <c r="C43" s="651"/>
      <c r="D43" s="541"/>
    </row>
    <row r="44" spans="1:4" ht="26.25" customHeight="1" x14ac:dyDescent="0.25">
      <c r="A44" s="474" t="s">
        <v>1612</v>
      </c>
      <c r="B44" s="650"/>
      <c r="C44" s="651"/>
      <c r="D44" s="541"/>
    </row>
    <row r="45" spans="1:4" x14ac:dyDescent="0.25">
      <c r="A45" s="474" t="s">
        <v>1613</v>
      </c>
    </row>
    <row r="46" spans="1:4" x14ac:dyDescent="0.3">
      <c r="A46" s="66"/>
    </row>
    <row r="47" spans="1:4" x14ac:dyDescent="0.3">
      <c r="A47" s="66"/>
    </row>
    <row r="48" spans="1:4" x14ac:dyDescent="0.3">
      <c r="A48" s="66"/>
    </row>
    <row r="49" spans="1:1" x14ac:dyDescent="0.25">
      <c r="A49" s="474" t="s">
        <v>1614</v>
      </c>
    </row>
    <row r="50" spans="1:1" x14ac:dyDescent="0.25">
      <c r="A50" s="474" t="s">
        <v>1615</v>
      </c>
    </row>
  </sheetData>
  <sheetProtection algorithmName="SHA-512" hashValue="NALERopY5lxcUryisdmG4LhSwvLEKmkhi+JyZpercQFp66EQwOhEVkDSyiY4BvYHoRM3Vx8fnh1PXFhzKG+uHg==" saltValue="xHjMM0I6yTMtsOBaawK9iw==" spinCount="100000" sheet="1" objects="1" scenarios="1"/>
  <mergeCells count="4">
    <mergeCell ref="A1:C1"/>
    <mergeCell ref="A2:C2"/>
    <mergeCell ref="A3:C3"/>
    <mergeCell ref="A4:C4"/>
  </mergeCells>
  <printOptions horizontalCentered="1"/>
  <pageMargins left="0.39370078740157483" right="0.39370078740157483" top="0.74803149606299213" bottom="0.74803149606299213" header="0.31496062992125984" footer="0.31496062992125984"/>
  <pageSetup scale="7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7"/>
    <pageSetUpPr fitToPage="1"/>
  </sheetPr>
  <dimension ref="A1:G64"/>
  <sheetViews>
    <sheetView view="pageBreakPreview" zoomScaleNormal="100" zoomScaleSheetLayoutView="100" workbookViewId="0">
      <selection activeCell="F1" sqref="F1"/>
    </sheetView>
  </sheetViews>
  <sheetFormatPr baseColWidth="10" defaultColWidth="11.42578125" defaultRowHeight="16.5" x14ac:dyDescent="0.3"/>
  <cols>
    <col min="1" max="1" width="50.7109375" style="66" customWidth="1"/>
    <col min="2" max="2" width="16" style="66" customWidth="1"/>
    <col min="3" max="3" width="15.5703125" style="66" customWidth="1"/>
    <col min="4" max="4" width="50.7109375" style="66" customWidth="1"/>
    <col min="5" max="5" width="15.28515625" style="66" bestFit="1" customWidth="1"/>
    <col min="6" max="6" width="15.7109375" style="66" customWidth="1"/>
    <col min="7" max="7" width="164.42578125" style="66" customWidth="1"/>
    <col min="8" max="16384" width="11.42578125" style="66"/>
  </cols>
  <sheetData>
    <row r="1" spans="1:6" x14ac:dyDescent="0.3">
      <c r="A1" s="65"/>
      <c r="C1" s="705" t="s">
        <v>76</v>
      </c>
      <c r="D1" s="67"/>
      <c r="F1" s="68" t="s">
        <v>11</v>
      </c>
    </row>
    <row r="2" spans="1:6" x14ac:dyDescent="0.3">
      <c r="B2" s="69"/>
      <c r="C2" s="704" t="s">
        <v>77</v>
      </c>
      <c r="D2" s="69"/>
      <c r="E2" s="69"/>
      <c r="F2" s="69"/>
    </row>
    <row r="3" spans="1:6" x14ac:dyDescent="0.3">
      <c r="B3" s="65"/>
      <c r="C3" s="723" t="s">
        <v>587</v>
      </c>
      <c r="D3" s="65"/>
      <c r="E3" s="65"/>
      <c r="F3" s="65"/>
    </row>
    <row r="4" spans="1:6" x14ac:dyDescent="0.3">
      <c r="A4" s="69"/>
      <c r="C4" s="723" t="s">
        <v>588</v>
      </c>
      <c r="D4" s="65"/>
      <c r="E4" s="69"/>
      <c r="F4" s="69"/>
    </row>
    <row r="5" spans="1:6" ht="17.25" thickBot="1" x14ac:dyDescent="0.35">
      <c r="A5" s="69"/>
      <c r="B5" s="70"/>
      <c r="C5" s="71" t="s">
        <v>78</v>
      </c>
      <c r="D5" s="119" t="s">
        <v>79</v>
      </c>
      <c r="E5" s="881" t="s">
        <v>589</v>
      </c>
      <c r="F5" s="881"/>
    </row>
    <row r="6" spans="1:6" ht="24" customHeight="1" thickBot="1" x14ac:dyDescent="0.35">
      <c r="A6" s="117" t="s">
        <v>80</v>
      </c>
      <c r="B6" s="151">
        <v>2016</v>
      </c>
      <c r="C6" s="151">
        <v>2015</v>
      </c>
      <c r="D6" s="152" t="s">
        <v>81</v>
      </c>
      <c r="E6" s="151">
        <v>2016</v>
      </c>
      <c r="F6" s="118">
        <v>2015</v>
      </c>
    </row>
    <row r="7" spans="1:6" ht="17.25" thickTop="1" x14ac:dyDescent="0.3">
      <c r="A7" s="73"/>
      <c r="B7" s="74"/>
      <c r="C7" s="74"/>
      <c r="D7" s="74"/>
      <c r="E7" s="74"/>
      <c r="F7" s="75"/>
    </row>
    <row r="8" spans="1:6" x14ac:dyDescent="0.3">
      <c r="A8" s="76" t="s">
        <v>82</v>
      </c>
      <c r="B8" s="77"/>
      <c r="C8" s="77"/>
      <c r="D8" s="79" t="s">
        <v>83</v>
      </c>
      <c r="E8" s="77"/>
      <c r="F8" s="80"/>
    </row>
    <row r="9" spans="1:6" x14ac:dyDescent="0.3">
      <c r="A9" s="81" t="s">
        <v>84</v>
      </c>
      <c r="B9" s="82">
        <f>21996.38+125870574.14+99763641.21+19725</f>
        <v>225675936.72999999</v>
      </c>
      <c r="C9" s="82">
        <v>221910826.15000001</v>
      </c>
      <c r="D9" s="83" t="s">
        <v>85</v>
      </c>
      <c r="E9" s="82">
        <f>20215637.03+1251777.32+101907.23-0.22</f>
        <v>21569321.360000003</v>
      </c>
      <c r="F9" s="82">
        <v>203598550.90000001</v>
      </c>
    </row>
    <row r="10" spans="1:6" x14ac:dyDescent="0.3">
      <c r="A10" s="81" t="s">
        <v>86</v>
      </c>
      <c r="B10" s="82">
        <f>168920.71+21120.27</f>
        <v>190040.97999999998</v>
      </c>
      <c r="C10" s="82">
        <v>185381.69999999998</v>
      </c>
      <c r="D10" s="83" t="s">
        <v>87</v>
      </c>
      <c r="E10" s="82">
        <v>0</v>
      </c>
      <c r="F10" s="82">
        <v>0</v>
      </c>
    </row>
    <row r="11" spans="1:6" x14ac:dyDescent="0.3">
      <c r="A11" s="81" t="s">
        <v>88</v>
      </c>
      <c r="B11" s="82">
        <v>4877194.68</v>
      </c>
      <c r="C11" s="82">
        <v>10064670.23</v>
      </c>
      <c r="D11" s="85" t="s">
        <v>89</v>
      </c>
      <c r="E11" s="82">
        <v>0</v>
      </c>
      <c r="F11" s="82"/>
    </row>
    <row r="12" spans="1:6" x14ac:dyDescent="0.3">
      <c r="A12" s="81" t="s">
        <v>90</v>
      </c>
      <c r="B12" s="82"/>
      <c r="C12" s="82"/>
      <c r="D12" s="83" t="s">
        <v>91</v>
      </c>
      <c r="E12" s="82">
        <v>0</v>
      </c>
      <c r="F12" s="82"/>
    </row>
    <row r="13" spans="1:6" x14ac:dyDescent="0.3">
      <c r="A13" s="81" t="s">
        <v>92</v>
      </c>
      <c r="B13" s="82"/>
      <c r="C13" s="82"/>
      <c r="D13" s="83" t="s">
        <v>93</v>
      </c>
      <c r="E13" s="82">
        <v>0</v>
      </c>
      <c r="F13" s="82"/>
    </row>
    <row r="14" spans="1:6" ht="33" x14ac:dyDescent="0.3">
      <c r="A14" s="86" t="s">
        <v>94</v>
      </c>
      <c r="B14" s="82">
        <v>0</v>
      </c>
      <c r="C14" s="82">
        <v>0</v>
      </c>
      <c r="D14" s="85" t="s">
        <v>95</v>
      </c>
      <c r="E14" s="82">
        <v>0</v>
      </c>
      <c r="F14" s="82"/>
    </row>
    <row r="15" spans="1:6" x14ac:dyDescent="0.3">
      <c r="A15" s="81" t="s">
        <v>96</v>
      </c>
      <c r="B15" s="82">
        <v>0</v>
      </c>
      <c r="C15" s="82">
        <v>0</v>
      </c>
      <c r="D15" s="83" t="s">
        <v>97</v>
      </c>
      <c r="E15" s="82">
        <v>0</v>
      </c>
      <c r="F15" s="82"/>
    </row>
    <row r="16" spans="1:6" x14ac:dyDescent="0.3">
      <c r="A16" s="87"/>
      <c r="B16" s="82"/>
      <c r="C16" s="82"/>
      <c r="D16" s="83" t="s">
        <v>98</v>
      </c>
      <c r="E16" s="82">
        <v>44183.82</v>
      </c>
      <c r="F16" s="82">
        <v>40536</v>
      </c>
    </row>
    <row r="17" spans="1:6" x14ac:dyDescent="0.3">
      <c r="A17" s="87"/>
      <c r="B17" s="88"/>
      <c r="C17" s="88"/>
      <c r="D17" s="78"/>
      <c r="E17" s="82"/>
      <c r="F17" s="84"/>
    </row>
    <row r="18" spans="1:6" x14ac:dyDescent="0.3">
      <c r="A18" s="122" t="s">
        <v>99</v>
      </c>
      <c r="B18" s="64">
        <f>SUM(B9:B17)</f>
        <v>230743172.38999999</v>
      </c>
      <c r="C18" s="64">
        <f>SUM(C9:C17)</f>
        <v>232160878.07999998</v>
      </c>
      <c r="D18" s="123" t="s">
        <v>100</v>
      </c>
      <c r="E18" s="64">
        <f>SUM(E9:E17)</f>
        <v>21613505.180000003</v>
      </c>
      <c r="F18" s="110">
        <f>SUM(F9:F17)</f>
        <v>203639086.90000001</v>
      </c>
    </row>
    <row r="19" spans="1:6" x14ac:dyDescent="0.3">
      <c r="A19" s="87"/>
      <c r="B19" s="89"/>
      <c r="C19" s="89"/>
      <c r="D19" s="90"/>
      <c r="E19" s="89"/>
      <c r="F19" s="91"/>
    </row>
    <row r="20" spans="1:6" x14ac:dyDescent="0.3">
      <c r="A20" s="76" t="s">
        <v>101</v>
      </c>
      <c r="B20" s="82"/>
      <c r="C20" s="82"/>
      <c r="D20" s="79" t="s">
        <v>102</v>
      </c>
      <c r="E20" s="92"/>
      <c r="F20" s="93"/>
    </row>
    <row r="21" spans="1:6" x14ac:dyDescent="0.3">
      <c r="A21" s="81" t="s">
        <v>103</v>
      </c>
      <c r="B21" s="82">
        <v>0</v>
      </c>
      <c r="C21" s="82">
        <v>0</v>
      </c>
      <c r="D21" s="83" t="s">
        <v>104</v>
      </c>
      <c r="E21" s="82">
        <v>0</v>
      </c>
      <c r="F21" s="84">
        <v>0</v>
      </c>
    </row>
    <row r="22" spans="1:6" x14ac:dyDescent="0.3">
      <c r="A22" s="86" t="s">
        <v>105</v>
      </c>
      <c r="B22" s="82">
        <v>0</v>
      </c>
      <c r="C22" s="82">
        <v>0</v>
      </c>
      <c r="D22" s="85" t="s">
        <v>106</v>
      </c>
      <c r="E22" s="82">
        <v>0</v>
      </c>
      <c r="F22" s="84">
        <v>0</v>
      </c>
    </row>
    <row r="23" spans="1:6" ht="33" x14ac:dyDescent="0.3">
      <c r="A23" s="86" t="s">
        <v>107</v>
      </c>
      <c r="B23" s="82">
        <f>540591281.2+52973085.75</f>
        <v>593564366.95000005</v>
      </c>
      <c r="C23" s="82">
        <v>641505090.00999999</v>
      </c>
      <c r="D23" s="83" t="s">
        <v>108</v>
      </c>
      <c r="E23" s="82">
        <v>0</v>
      </c>
      <c r="F23" s="84">
        <v>0</v>
      </c>
    </row>
    <row r="24" spans="1:6" ht="16.5" customHeight="1" x14ac:dyDescent="0.3">
      <c r="A24" s="81" t="s">
        <v>109</v>
      </c>
      <c r="B24" s="82">
        <f>2676236+140201.64+3667172.43+18799.99</f>
        <v>6502410.0600000005</v>
      </c>
      <c r="C24" s="727">
        <v>5376473.3499999996</v>
      </c>
      <c r="D24" s="83" t="s">
        <v>110</v>
      </c>
      <c r="E24" s="82">
        <v>0</v>
      </c>
      <c r="F24" s="84">
        <v>0</v>
      </c>
    </row>
    <row r="25" spans="1:6" ht="33" x14ac:dyDescent="0.3">
      <c r="A25" s="81" t="s">
        <v>111</v>
      </c>
      <c r="B25" s="82">
        <v>0</v>
      </c>
      <c r="C25" s="82">
        <v>0</v>
      </c>
      <c r="D25" s="85" t="s">
        <v>112</v>
      </c>
      <c r="E25" s="82">
        <v>0</v>
      </c>
      <c r="F25" s="84">
        <v>0</v>
      </c>
    </row>
    <row r="26" spans="1:6" x14ac:dyDescent="0.3">
      <c r="A26" s="86" t="s">
        <v>113</v>
      </c>
      <c r="B26" s="82">
        <v>-5057630.62</v>
      </c>
      <c r="C26" s="728">
        <v>-4872831.46</v>
      </c>
      <c r="D26" s="83" t="s">
        <v>114</v>
      </c>
      <c r="E26" s="82">
        <v>0</v>
      </c>
      <c r="F26" s="84">
        <v>0</v>
      </c>
    </row>
    <row r="27" spans="1:6" x14ac:dyDescent="0.3">
      <c r="A27" s="81" t="s">
        <v>115</v>
      </c>
      <c r="B27" s="82">
        <v>0</v>
      </c>
      <c r="C27" s="82">
        <v>0</v>
      </c>
      <c r="D27" s="83"/>
      <c r="E27" s="82"/>
      <c r="F27" s="84"/>
    </row>
    <row r="28" spans="1:6" x14ac:dyDescent="0.3">
      <c r="A28" s="86" t="s">
        <v>116</v>
      </c>
      <c r="B28" s="82">
        <v>0</v>
      </c>
      <c r="C28" s="82">
        <v>0</v>
      </c>
      <c r="D28" s="94"/>
      <c r="E28" s="82"/>
      <c r="F28" s="84"/>
    </row>
    <row r="29" spans="1:6" x14ac:dyDescent="0.3">
      <c r="A29" s="81" t="s">
        <v>117</v>
      </c>
      <c r="B29" s="82">
        <v>0</v>
      </c>
      <c r="C29" s="82">
        <v>0</v>
      </c>
      <c r="D29" s="94"/>
      <c r="E29" s="92"/>
      <c r="F29" s="93"/>
    </row>
    <row r="30" spans="1:6" x14ac:dyDescent="0.3">
      <c r="A30" s="95"/>
      <c r="B30" s="82"/>
      <c r="C30" s="82"/>
      <c r="D30" s="94"/>
      <c r="E30" s="92"/>
      <c r="F30" s="93"/>
    </row>
    <row r="31" spans="1:6" x14ac:dyDescent="0.3">
      <c r="A31" s="122" t="s">
        <v>118</v>
      </c>
      <c r="B31" s="64">
        <f>SUM(B21:B29)</f>
        <v>595009146.38999999</v>
      </c>
      <c r="C31" s="64">
        <f>SUM(C21:C29)</f>
        <v>642008731.89999998</v>
      </c>
      <c r="D31" s="124" t="s">
        <v>119</v>
      </c>
      <c r="E31" s="64">
        <f>SUM(E21:E29)</f>
        <v>0</v>
      </c>
      <c r="F31" s="110">
        <f>SUM(F21:F29)</f>
        <v>0</v>
      </c>
    </row>
    <row r="32" spans="1:6" x14ac:dyDescent="0.3">
      <c r="A32" s="95"/>
      <c r="B32" s="82"/>
      <c r="C32" s="82"/>
      <c r="D32" s="94"/>
      <c r="E32" s="88"/>
      <c r="F32" s="96"/>
    </row>
    <row r="33" spans="1:6" x14ac:dyDescent="0.3">
      <c r="A33" s="122" t="s">
        <v>120</v>
      </c>
      <c r="B33" s="64">
        <f>B31+B18</f>
        <v>825752318.77999997</v>
      </c>
      <c r="C33" s="64">
        <f>C31+C18</f>
        <v>874169609.98000002</v>
      </c>
      <c r="D33" s="124" t="s">
        <v>121</v>
      </c>
      <c r="E33" s="64">
        <f>E31+E18</f>
        <v>21613505.180000003</v>
      </c>
      <c r="F33" s="110">
        <f>F31+F18</f>
        <v>203639086.90000001</v>
      </c>
    </row>
    <row r="34" spans="1:6" x14ac:dyDescent="0.3">
      <c r="A34" s="87"/>
      <c r="B34" s="97"/>
      <c r="C34" s="97"/>
      <c r="D34" s="94"/>
      <c r="E34" s="92"/>
      <c r="F34" s="93"/>
    </row>
    <row r="35" spans="1:6" x14ac:dyDescent="0.3">
      <c r="A35" s="87"/>
      <c r="B35" s="82"/>
      <c r="C35" s="82"/>
      <c r="D35" s="98" t="s">
        <v>122</v>
      </c>
      <c r="E35" s="88"/>
      <c r="F35" s="96"/>
    </row>
    <row r="36" spans="1:6" x14ac:dyDescent="0.3">
      <c r="A36" s="87"/>
      <c r="B36" s="88"/>
      <c r="C36" s="88"/>
      <c r="D36" s="124" t="s">
        <v>123</v>
      </c>
      <c r="E36" s="111">
        <f>SUM(E37:E39)</f>
        <v>0</v>
      </c>
      <c r="F36" s="112">
        <f>SUM(F37:F39)</f>
        <v>0</v>
      </c>
    </row>
    <row r="37" spans="1:6" x14ac:dyDescent="0.3">
      <c r="A37" s="87"/>
      <c r="B37" s="88"/>
      <c r="C37" s="88"/>
      <c r="D37" s="83" t="s">
        <v>124</v>
      </c>
      <c r="E37" s="82">
        <v>0</v>
      </c>
      <c r="F37" s="84">
        <v>0</v>
      </c>
    </row>
    <row r="38" spans="1:6" x14ac:dyDescent="0.3">
      <c r="A38" s="87"/>
      <c r="B38" s="88"/>
      <c r="C38" s="88"/>
      <c r="D38" s="83" t="s">
        <v>125</v>
      </c>
      <c r="E38" s="82">
        <v>0</v>
      </c>
      <c r="F38" s="84">
        <v>0</v>
      </c>
    </row>
    <row r="39" spans="1:6" x14ac:dyDescent="0.3">
      <c r="A39" s="87"/>
      <c r="B39" s="88"/>
      <c r="C39" s="88"/>
      <c r="D39" s="83" t="s">
        <v>126</v>
      </c>
      <c r="E39" s="82">
        <v>0</v>
      </c>
      <c r="F39" s="84">
        <v>0</v>
      </c>
    </row>
    <row r="40" spans="1:6" x14ac:dyDescent="0.3">
      <c r="A40" s="95"/>
      <c r="B40" s="89"/>
      <c r="C40" s="89"/>
      <c r="D40" s="124" t="s">
        <v>127</v>
      </c>
      <c r="E40" s="111">
        <f>SUM(E41:E45)</f>
        <v>804138813.5999999</v>
      </c>
      <c r="F40" s="112">
        <f>SUM(F41:F45)</f>
        <v>670530523.08000004</v>
      </c>
    </row>
    <row r="41" spans="1:6" x14ac:dyDescent="0.3">
      <c r="A41" s="95"/>
      <c r="B41" s="89"/>
      <c r="C41" s="89"/>
      <c r="D41" s="83" t="s">
        <v>128</v>
      </c>
      <c r="E41" s="82">
        <v>211429702.68000001</v>
      </c>
      <c r="F41" s="84">
        <v>468588726.12</v>
      </c>
    </row>
    <row r="42" spans="1:6" x14ac:dyDescent="0.3">
      <c r="A42" s="95"/>
      <c r="B42" s="89"/>
      <c r="C42" s="89"/>
      <c r="D42" s="83" t="s">
        <v>129</v>
      </c>
      <c r="E42" s="82">
        <v>592709110.91999996</v>
      </c>
      <c r="F42" s="84">
        <v>201941796.96000001</v>
      </c>
    </row>
    <row r="43" spans="1:6" x14ac:dyDescent="0.3">
      <c r="A43" s="87"/>
      <c r="B43" s="88"/>
      <c r="C43" s="88"/>
      <c r="D43" s="83" t="s">
        <v>130</v>
      </c>
      <c r="E43" s="82">
        <v>0</v>
      </c>
      <c r="F43" s="84">
        <v>0</v>
      </c>
    </row>
    <row r="44" spans="1:6" x14ac:dyDescent="0.3">
      <c r="A44" s="87"/>
      <c r="B44" s="88"/>
      <c r="C44" s="88"/>
      <c r="D44" s="83" t="s">
        <v>131</v>
      </c>
      <c r="E44" s="82">
        <v>0</v>
      </c>
      <c r="F44" s="84">
        <v>0</v>
      </c>
    </row>
    <row r="45" spans="1:6" x14ac:dyDescent="0.3">
      <c r="A45" s="87"/>
      <c r="B45" s="88"/>
      <c r="C45" s="88"/>
      <c r="D45" s="83" t="s">
        <v>132</v>
      </c>
      <c r="E45" s="82">
        <v>0</v>
      </c>
      <c r="F45" s="84">
        <v>0</v>
      </c>
    </row>
    <row r="46" spans="1:6" ht="33" x14ac:dyDescent="0.3">
      <c r="A46" s="87"/>
      <c r="B46" s="88"/>
      <c r="C46" s="88"/>
      <c r="D46" s="125" t="s">
        <v>133</v>
      </c>
      <c r="E46" s="113">
        <f>SUM(E47:E48)</f>
        <v>0</v>
      </c>
      <c r="F46" s="114">
        <f>SUM(F47:F48)</f>
        <v>0</v>
      </c>
    </row>
    <row r="47" spans="1:6" x14ac:dyDescent="0.3">
      <c r="A47" s="81"/>
      <c r="B47" s="88"/>
      <c r="C47" s="88"/>
      <c r="D47" s="83" t="s">
        <v>134</v>
      </c>
      <c r="E47" s="82">
        <v>0</v>
      </c>
      <c r="F47" s="84">
        <v>0</v>
      </c>
    </row>
    <row r="48" spans="1:6" x14ac:dyDescent="0.3">
      <c r="A48" s="99"/>
      <c r="B48" s="100"/>
      <c r="C48" s="100"/>
      <c r="D48" s="83" t="s">
        <v>135</v>
      </c>
      <c r="E48" s="82">
        <v>0</v>
      </c>
      <c r="F48" s="84">
        <v>0</v>
      </c>
    </row>
    <row r="49" spans="1:7" x14ac:dyDescent="0.3">
      <c r="A49" s="87"/>
      <c r="B49" s="100"/>
      <c r="C49" s="100"/>
      <c r="D49" s="101"/>
      <c r="E49" s="100"/>
      <c r="F49" s="102"/>
    </row>
    <row r="50" spans="1:7" x14ac:dyDescent="0.3">
      <c r="A50" s="81"/>
      <c r="B50" s="100"/>
      <c r="C50" s="100"/>
      <c r="D50" s="124" t="s">
        <v>136</v>
      </c>
      <c r="E50" s="115">
        <f>E46+E40+E36</f>
        <v>804138813.5999999</v>
      </c>
      <c r="F50" s="116">
        <f>F46+F40+F36</f>
        <v>670530523.08000004</v>
      </c>
    </row>
    <row r="51" spans="1:7" x14ac:dyDescent="0.3">
      <c r="A51" s="99"/>
      <c r="B51" s="100"/>
      <c r="C51" s="100"/>
      <c r="D51" s="90"/>
      <c r="E51" s="103"/>
      <c r="F51" s="104"/>
    </row>
    <row r="52" spans="1:7" x14ac:dyDescent="0.3">
      <c r="A52" s="87"/>
      <c r="D52" s="124" t="s">
        <v>137</v>
      </c>
      <c r="E52" s="115">
        <f>E50+E33</f>
        <v>825752318.77999985</v>
      </c>
      <c r="F52" s="116">
        <f>F50+F33</f>
        <v>874169609.98000002</v>
      </c>
      <c r="G52" s="154" t="str">
        <f>IF($B$33=$E$52,"","VALOR INCORRECTO EJERCICIO 2016, TOTAL DE ACTIVOS TIENE QUE SER IGUAL AL TOTAL DE LA SUMA DE PASIVO Y HCIENDA")</f>
        <v/>
      </c>
    </row>
    <row r="53" spans="1:7" ht="17.25" thickBot="1" x14ac:dyDescent="0.35">
      <c r="A53" s="105"/>
      <c r="B53" s="106"/>
      <c r="C53" s="106"/>
      <c r="D53" s="107"/>
      <c r="E53" s="108"/>
      <c r="F53" s="109"/>
      <c r="G53" s="154" t="str">
        <f>IF($C$33=$F$52,"","VALOR INCORRECTO EJERCICIO 2015, TOTAL DE ACTIVOS TIENE QUE SER IGUAL AL TOTAL DE LA SUMA DE PASIVO Y HCIENDA")</f>
        <v/>
      </c>
    </row>
    <row r="54" spans="1:7" x14ac:dyDescent="0.3">
      <c r="A54" s="66" t="s">
        <v>138</v>
      </c>
      <c r="B54" s="636"/>
      <c r="C54" s="636"/>
      <c r="D54" s="70"/>
      <c r="E54" s="637"/>
      <c r="F54" s="637"/>
      <c r="G54" s="154"/>
    </row>
    <row r="55" spans="1:7" x14ac:dyDescent="0.3">
      <c r="A55" s="70"/>
      <c r="B55" s="636"/>
      <c r="C55" s="636"/>
      <c r="D55" s="70"/>
      <c r="E55" s="637"/>
      <c r="F55" s="637"/>
      <c r="G55" s="154"/>
    </row>
    <row r="56" spans="1:7" x14ac:dyDescent="0.3">
      <c r="C56" s="636"/>
      <c r="D56" s="70"/>
      <c r="E56" s="637"/>
      <c r="F56" s="637"/>
      <c r="G56" s="154"/>
    </row>
    <row r="57" spans="1:7" x14ac:dyDescent="0.3">
      <c r="C57" s="636"/>
      <c r="D57" s="70"/>
      <c r="E57" s="637"/>
      <c r="F57" s="637"/>
      <c r="G57" s="154"/>
    </row>
    <row r="58" spans="1:7" x14ac:dyDescent="0.3">
      <c r="A58" s="474" t="s">
        <v>1612</v>
      </c>
    </row>
    <row r="59" spans="1:7" x14ac:dyDescent="0.3">
      <c r="A59" s="474" t="s">
        <v>1613</v>
      </c>
    </row>
    <row r="60" spans="1:7" x14ac:dyDescent="0.3">
      <c r="C60" s="121"/>
    </row>
    <row r="63" spans="1:7" x14ac:dyDescent="0.3">
      <c r="A63" s="474" t="s">
        <v>1614</v>
      </c>
    </row>
    <row r="64" spans="1:7" x14ac:dyDescent="0.3">
      <c r="A64" s="474" t="s">
        <v>1615</v>
      </c>
    </row>
  </sheetData>
  <sheetProtection algorithmName="SHA-512" hashValue="kwBKz5ERGfdX6EVQSyAA0yEd7LOBQ30QPBrdiWR91NYR8c1dh0KyTtvm4E1AobZu2IblGq791Qvu/Fc3X11uEw==" saltValue="oqQDHwqhITAHt5i/hMaSxw==" spinCount="100000" sheet="1" objects="1" scenarios="1" insertHyperlinks="0"/>
  <mergeCells count="1">
    <mergeCell ref="E5:F5"/>
  </mergeCells>
  <printOptions horizontalCentered="1"/>
  <pageMargins left="0.27559055118110237" right="0.15748031496062992" top="0.39370078740157483" bottom="0.51181102362204722" header="0.31496062992125984" footer="0.31496062992125984"/>
  <pageSetup scale="6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180"/>
  <sheetViews>
    <sheetView topLeftCell="A130" zoomScaleNormal="100" zoomScaleSheetLayoutView="100" workbookViewId="0">
      <selection activeCell="L154" sqref="L154"/>
    </sheetView>
  </sheetViews>
  <sheetFormatPr baseColWidth="10" defaultColWidth="11.42578125" defaultRowHeight="16.5" x14ac:dyDescent="0.3"/>
  <cols>
    <col min="1" max="1" width="10.42578125" style="27" customWidth="1"/>
    <col min="2" max="2" width="39.7109375" style="6" customWidth="1"/>
    <col min="3" max="7" width="12.7109375" style="6" customWidth="1"/>
    <col min="8" max="8" width="11.7109375" style="6" customWidth="1"/>
    <col min="9" max="9" width="9.42578125" style="6" customWidth="1"/>
    <col min="10" max="16384" width="11.42578125" style="3"/>
  </cols>
  <sheetData>
    <row r="1" spans="1:9" s="6" customFormat="1" x14ac:dyDescent="0.25">
      <c r="A1" s="954" t="s">
        <v>76</v>
      </c>
      <c r="B1" s="954"/>
      <c r="C1" s="954"/>
      <c r="D1" s="954"/>
      <c r="E1" s="954"/>
      <c r="F1" s="954"/>
      <c r="G1" s="954"/>
      <c r="H1" s="954"/>
      <c r="I1" s="954"/>
    </row>
    <row r="2" spans="1:9" s="23" customFormat="1" ht="15.75" x14ac:dyDescent="0.25">
      <c r="A2" s="954" t="s">
        <v>1637</v>
      </c>
      <c r="B2" s="954"/>
      <c r="C2" s="954"/>
      <c r="D2" s="954"/>
      <c r="E2" s="954"/>
      <c r="F2" s="954"/>
      <c r="G2" s="954"/>
      <c r="H2" s="954"/>
      <c r="I2" s="954"/>
    </row>
    <row r="3" spans="1:9" s="23" customFormat="1" ht="15.75" x14ac:dyDescent="0.25">
      <c r="A3" s="954" t="s">
        <v>468</v>
      </c>
      <c r="B3" s="954"/>
      <c r="C3" s="954"/>
      <c r="D3" s="954"/>
      <c r="E3" s="954"/>
      <c r="F3" s="954"/>
      <c r="G3" s="954"/>
      <c r="H3" s="954"/>
      <c r="I3" s="954"/>
    </row>
    <row r="4" spans="1:9" s="23" customFormat="1" x14ac:dyDescent="0.25">
      <c r="A4" s="955" t="s">
        <v>587</v>
      </c>
      <c r="B4" s="955"/>
      <c r="C4" s="955"/>
      <c r="D4" s="955"/>
      <c r="E4" s="955"/>
      <c r="F4" s="955"/>
      <c r="G4" s="955"/>
      <c r="H4" s="955"/>
      <c r="I4" s="955"/>
    </row>
    <row r="5" spans="1:9" s="23" customFormat="1" x14ac:dyDescent="0.25">
      <c r="A5" s="955" t="s">
        <v>590</v>
      </c>
      <c r="B5" s="955"/>
      <c r="C5" s="955"/>
      <c r="D5" s="955"/>
      <c r="E5" s="955"/>
      <c r="F5" s="955"/>
      <c r="G5" s="955"/>
      <c r="H5" s="955"/>
      <c r="I5" s="955"/>
    </row>
    <row r="6" spans="1:9" s="24" customFormat="1" ht="17.25" thickBot="1" x14ac:dyDescent="0.3">
      <c r="A6" s="57"/>
      <c r="B6" s="57"/>
      <c r="C6" s="948" t="s">
        <v>78</v>
      </c>
      <c r="D6" s="948"/>
      <c r="E6" s="948"/>
      <c r="F6" s="57"/>
      <c r="G6" s="4" t="s">
        <v>79</v>
      </c>
      <c r="H6" s="949" t="s">
        <v>589</v>
      </c>
      <c r="I6" s="949"/>
    </row>
    <row r="7" spans="1:9" ht="38.25" customHeight="1" x14ac:dyDescent="0.3">
      <c r="A7" s="950" t="s">
        <v>469</v>
      </c>
      <c r="B7" s="951"/>
      <c r="C7" s="272" t="s">
        <v>326</v>
      </c>
      <c r="D7" s="272" t="s">
        <v>327</v>
      </c>
      <c r="E7" s="272" t="s">
        <v>328</v>
      </c>
      <c r="F7" s="273" t="s">
        <v>329</v>
      </c>
      <c r="G7" s="273" t="s">
        <v>330</v>
      </c>
      <c r="H7" s="272" t="s">
        <v>331</v>
      </c>
      <c r="I7" s="274" t="s">
        <v>470</v>
      </c>
    </row>
    <row r="8" spans="1:9" ht="18" customHeight="1" thickBot="1" x14ac:dyDescent="0.35">
      <c r="A8" s="952"/>
      <c r="B8" s="953"/>
      <c r="C8" s="381" t="s">
        <v>277</v>
      </c>
      <c r="D8" s="381" t="s">
        <v>278</v>
      </c>
      <c r="E8" s="381" t="s">
        <v>332</v>
      </c>
      <c r="F8" s="437" t="s">
        <v>280</v>
      </c>
      <c r="G8" s="437" t="s">
        <v>281</v>
      </c>
      <c r="H8" s="381" t="s">
        <v>333</v>
      </c>
      <c r="I8" s="382" t="s">
        <v>471</v>
      </c>
    </row>
    <row r="9" spans="1:9" ht="6" customHeight="1" x14ac:dyDescent="0.3">
      <c r="A9" s="433"/>
      <c r="B9" s="434"/>
      <c r="C9" s="435"/>
      <c r="D9" s="435"/>
      <c r="E9" s="435"/>
      <c r="F9" s="435"/>
      <c r="G9" s="435"/>
      <c r="H9" s="435"/>
      <c r="I9" s="436"/>
    </row>
    <row r="10" spans="1:9" ht="20.100000000000001" customHeight="1" x14ac:dyDescent="0.3">
      <c r="A10" s="734">
        <v>1000</v>
      </c>
      <c r="B10" s="735" t="s">
        <v>595</v>
      </c>
      <c r="C10" s="736">
        <f>+C11+C17+C19+C26+C37</f>
        <v>12673898.240000002</v>
      </c>
      <c r="D10" s="736">
        <f>+D11+D17+D19+D26+D37</f>
        <v>17997.759999999766</v>
      </c>
      <c r="E10" s="736">
        <f t="shared" ref="E10:E80" si="0">+C10+D10</f>
        <v>12691896.000000002</v>
      </c>
      <c r="F10" s="737">
        <f>+F11+F19+F17+F26+F37</f>
        <v>8782261.5600000005</v>
      </c>
      <c r="G10" s="737">
        <f>+F10</f>
        <v>8782261.5600000005</v>
      </c>
      <c r="H10" s="738">
        <f>+E10-F10</f>
        <v>3909634.4400000013</v>
      </c>
      <c r="I10" s="739">
        <f>+F10/E10</f>
        <v>0.69195820388064944</v>
      </c>
    </row>
    <row r="11" spans="1:9" s="28" customFormat="1" ht="17.25" customHeight="1" x14ac:dyDescent="0.2">
      <c r="A11" s="740">
        <v>1100</v>
      </c>
      <c r="B11" s="741" t="s">
        <v>596</v>
      </c>
      <c r="C11" s="742">
        <f>SUM(C12:C16)</f>
        <v>4810655.4000000004</v>
      </c>
      <c r="D11" s="742">
        <f>SUM(D12:D16)</f>
        <v>1336486.0899999999</v>
      </c>
      <c r="E11" s="742">
        <f t="shared" si="0"/>
        <v>6147141.4900000002</v>
      </c>
      <c r="F11" s="743">
        <f>SUM(F12:F16)</f>
        <v>6021728.4199999999</v>
      </c>
      <c r="G11" s="743">
        <f>+F11</f>
        <v>6021728.4199999999</v>
      </c>
      <c r="H11" s="738">
        <f t="shared" ref="H11:H80" si="1">+E11-F11</f>
        <v>125413.0700000003</v>
      </c>
      <c r="I11" s="744">
        <f>+F11/E11</f>
        <v>0.97959814814674129</v>
      </c>
    </row>
    <row r="12" spans="1:9" s="28" customFormat="1" ht="17.25" customHeight="1" x14ac:dyDescent="0.2">
      <c r="A12" s="745">
        <v>11301</v>
      </c>
      <c r="B12" s="746" t="s">
        <v>597</v>
      </c>
      <c r="C12" s="747">
        <v>4810655.4000000004</v>
      </c>
      <c r="D12" s="748">
        <v>-1531884.03</v>
      </c>
      <c r="E12" s="749">
        <f>+C12+D12</f>
        <v>3278771.37</v>
      </c>
      <c r="F12" s="750">
        <v>3220401.77</v>
      </c>
      <c r="G12" s="750">
        <f>+F12</f>
        <v>3220401.77</v>
      </c>
      <c r="H12" s="751">
        <f t="shared" si="1"/>
        <v>58369.600000000093</v>
      </c>
      <c r="I12" s="752">
        <f t="shared" ref="I12:I75" si="2">+F12/E12</f>
        <v>0.98219772182529452</v>
      </c>
    </row>
    <row r="13" spans="1:9" s="28" customFormat="1" ht="17.25" customHeight="1" x14ac:dyDescent="0.2">
      <c r="A13" s="745">
        <v>11305</v>
      </c>
      <c r="B13" s="746" t="s">
        <v>598</v>
      </c>
      <c r="C13" s="747">
        <v>0</v>
      </c>
      <c r="D13" s="748">
        <v>1621310.2</v>
      </c>
      <c r="E13" s="749">
        <f t="shared" ref="E13:E18" si="3">+C13+D13</f>
        <v>1621310.2</v>
      </c>
      <c r="F13" s="750">
        <v>1554266.73</v>
      </c>
      <c r="G13" s="750">
        <f t="shared" ref="G13:G16" si="4">+F13</f>
        <v>1554266.73</v>
      </c>
      <c r="H13" s="751">
        <f t="shared" si="1"/>
        <v>67043.469999999972</v>
      </c>
      <c r="I13" s="752">
        <f t="shared" si="2"/>
        <v>0.95864858556986809</v>
      </c>
    </row>
    <row r="14" spans="1:9" s="28" customFormat="1" ht="17.25" customHeight="1" x14ac:dyDescent="0.2">
      <c r="A14" s="745">
        <v>11306</v>
      </c>
      <c r="B14" s="746" t="s">
        <v>599</v>
      </c>
      <c r="C14" s="747">
        <v>0</v>
      </c>
      <c r="D14" s="748">
        <v>181790.51</v>
      </c>
      <c r="E14" s="749">
        <f t="shared" si="3"/>
        <v>181790.51</v>
      </c>
      <c r="F14" s="750">
        <v>181790.51</v>
      </c>
      <c r="G14" s="750">
        <f t="shared" si="4"/>
        <v>181790.51</v>
      </c>
      <c r="H14" s="751">
        <f t="shared" si="1"/>
        <v>0</v>
      </c>
      <c r="I14" s="752">
        <f t="shared" si="2"/>
        <v>1</v>
      </c>
    </row>
    <row r="15" spans="1:9" s="28" customFormat="1" ht="17.25" customHeight="1" x14ac:dyDescent="0.2">
      <c r="A15" s="745">
        <v>11307</v>
      </c>
      <c r="B15" s="746" t="s">
        <v>600</v>
      </c>
      <c r="C15" s="747">
        <v>0</v>
      </c>
      <c r="D15" s="748">
        <v>639161.55000000005</v>
      </c>
      <c r="E15" s="749">
        <f t="shared" si="3"/>
        <v>639161.55000000005</v>
      </c>
      <c r="F15" s="750">
        <v>639161.55000000005</v>
      </c>
      <c r="G15" s="750">
        <f t="shared" si="4"/>
        <v>639161.55000000005</v>
      </c>
      <c r="H15" s="751">
        <f t="shared" si="1"/>
        <v>0</v>
      </c>
      <c r="I15" s="752">
        <f t="shared" si="2"/>
        <v>1</v>
      </c>
    </row>
    <row r="16" spans="1:9" s="28" customFormat="1" ht="17.25" customHeight="1" x14ac:dyDescent="0.2">
      <c r="A16" s="745">
        <v>11308</v>
      </c>
      <c r="B16" s="746" t="s">
        <v>601</v>
      </c>
      <c r="C16" s="747">
        <v>0</v>
      </c>
      <c r="D16" s="748">
        <v>426107.86</v>
      </c>
      <c r="E16" s="749">
        <f t="shared" si="3"/>
        <v>426107.86</v>
      </c>
      <c r="F16" s="750">
        <v>426107.86</v>
      </c>
      <c r="G16" s="750">
        <f t="shared" si="4"/>
        <v>426107.86</v>
      </c>
      <c r="H16" s="751">
        <f t="shared" si="1"/>
        <v>0</v>
      </c>
      <c r="I16" s="752">
        <f t="shared" si="2"/>
        <v>1</v>
      </c>
    </row>
    <row r="17" spans="1:9" s="28" customFormat="1" ht="17.25" customHeight="1" x14ac:dyDescent="0.2">
      <c r="A17" s="740">
        <v>1200</v>
      </c>
      <c r="B17" s="741" t="s">
        <v>602</v>
      </c>
      <c r="C17" s="742">
        <f>+C18</f>
        <v>0</v>
      </c>
      <c r="D17" s="753">
        <f>+D18</f>
        <v>290033.88</v>
      </c>
      <c r="E17" s="742">
        <f t="shared" si="0"/>
        <v>290033.88</v>
      </c>
      <c r="F17" s="743">
        <f>SUM(F18)</f>
        <v>288769.44</v>
      </c>
      <c r="G17" s="743">
        <f>+F17</f>
        <v>288769.44</v>
      </c>
      <c r="H17" s="738">
        <f t="shared" si="1"/>
        <v>1264.4400000000023</v>
      </c>
      <c r="I17" s="744">
        <f>+F17/E17</f>
        <v>0.99564037139385231</v>
      </c>
    </row>
    <row r="18" spans="1:9" s="28" customFormat="1" ht="17.25" customHeight="1" x14ac:dyDescent="0.2">
      <c r="A18" s="754">
        <v>12201</v>
      </c>
      <c r="B18" s="755" t="s">
        <v>603</v>
      </c>
      <c r="C18" s="747">
        <v>0</v>
      </c>
      <c r="D18" s="748">
        <v>290033.88</v>
      </c>
      <c r="E18" s="749">
        <f t="shared" si="3"/>
        <v>290033.88</v>
      </c>
      <c r="F18" s="756">
        <v>288769.44</v>
      </c>
      <c r="G18" s="756"/>
      <c r="H18" s="751">
        <f t="shared" si="1"/>
        <v>1264.4400000000023</v>
      </c>
      <c r="I18" s="752">
        <f t="shared" si="2"/>
        <v>0.99564037139385231</v>
      </c>
    </row>
    <row r="19" spans="1:9" s="28" customFormat="1" ht="17.25" customHeight="1" x14ac:dyDescent="0.2">
      <c r="A19" s="757">
        <v>1300</v>
      </c>
      <c r="B19" s="741" t="s">
        <v>604</v>
      </c>
      <c r="C19" s="742">
        <f>SUM(C20:C25)</f>
        <v>4378951.2</v>
      </c>
      <c r="D19" s="742">
        <f>SUM(D20:D25)</f>
        <v>-1633710.97</v>
      </c>
      <c r="E19" s="742">
        <f t="shared" si="0"/>
        <v>2745240.2300000004</v>
      </c>
      <c r="F19" s="743">
        <f>SUM(F20:F25)</f>
        <v>646034.5</v>
      </c>
      <c r="G19" s="743">
        <f>+F19</f>
        <v>646034.5</v>
      </c>
      <c r="H19" s="738">
        <f t="shared" si="1"/>
        <v>2099205.7300000004</v>
      </c>
      <c r="I19" s="744">
        <f>+F19/E19</f>
        <v>0.23532894969996848</v>
      </c>
    </row>
    <row r="20" spans="1:9" s="28" customFormat="1" ht="17.25" customHeight="1" x14ac:dyDescent="0.2">
      <c r="A20" s="754">
        <v>13101</v>
      </c>
      <c r="B20" s="755" t="s">
        <v>605</v>
      </c>
      <c r="C20" s="747">
        <v>260195.64</v>
      </c>
      <c r="D20" s="748">
        <v>-28859.040000000008</v>
      </c>
      <c r="E20" s="749">
        <f>+C20+D20</f>
        <v>231336.6</v>
      </c>
      <c r="F20" s="756">
        <v>85454.62</v>
      </c>
      <c r="G20" s="756"/>
      <c r="H20" s="751">
        <f t="shared" si="1"/>
        <v>145881.98000000001</v>
      </c>
      <c r="I20" s="752">
        <f t="shared" si="2"/>
        <v>0.36939515839689868</v>
      </c>
    </row>
    <row r="21" spans="1:9" s="28" customFormat="1" ht="17.25" customHeight="1" x14ac:dyDescent="0.2">
      <c r="A21" s="754">
        <v>13201</v>
      </c>
      <c r="B21" s="755" t="s">
        <v>606</v>
      </c>
      <c r="C21" s="747">
        <v>560821.80000000005</v>
      </c>
      <c r="D21" s="748">
        <v>-146930.03000000003</v>
      </c>
      <c r="E21" s="749">
        <f t="shared" ref="E21:E25" si="5">+C21+D21</f>
        <v>413891.77</v>
      </c>
      <c r="F21" s="756">
        <v>5750.83</v>
      </c>
      <c r="G21" s="756"/>
      <c r="H21" s="751">
        <f t="shared" si="1"/>
        <v>408140.94</v>
      </c>
      <c r="I21" s="752">
        <f t="shared" si="2"/>
        <v>1.3894526097970008E-2</v>
      </c>
    </row>
    <row r="22" spans="1:9" s="28" customFormat="1" ht="17.25" customHeight="1" x14ac:dyDescent="0.2">
      <c r="A22" s="754">
        <v>13202</v>
      </c>
      <c r="B22" s="755" t="s">
        <v>607</v>
      </c>
      <c r="C22" s="747">
        <v>1388136.24</v>
      </c>
      <c r="D22" s="748">
        <v>-911407.6</v>
      </c>
      <c r="E22" s="749">
        <f t="shared" si="5"/>
        <v>476728.64</v>
      </c>
      <c r="F22" s="756">
        <v>25098.1</v>
      </c>
      <c r="G22" s="756"/>
      <c r="H22" s="751">
        <f t="shared" si="1"/>
        <v>451630.54000000004</v>
      </c>
      <c r="I22" s="752">
        <f t="shared" si="2"/>
        <v>5.2646511860499921E-2</v>
      </c>
    </row>
    <row r="23" spans="1:9" s="28" customFormat="1" ht="17.25" customHeight="1" x14ac:dyDescent="0.2">
      <c r="A23" s="754">
        <v>13203</v>
      </c>
      <c r="B23" s="755" t="s">
        <v>608</v>
      </c>
      <c r="C23" s="747">
        <v>140205.48000000001</v>
      </c>
      <c r="D23" s="748">
        <v>-37716.000000000015</v>
      </c>
      <c r="E23" s="749">
        <f t="shared" si="5"/>
        <v>102489.48</v>
      </c>
      <c r="F23" s="756">
        <v>0</v>
      </c>
      <c r="G23" s="756"/>
      <c r="H23" s="751">
        <f t="shared" si="1"/>
        <v>102489.48</v>
      </c>
      <c r="I23" s="752">
        <f t="shared" si="2"/>
        <v>0</v>
      </c>
    </row>
    <row r="24" spans="1:9" s="28" customFormat="1" ht="29.25" customHeight="1" x14ac:dyDescent="0.2">
      <c r="A24" s="754">
        <v>13204</v>
      </c>
      <c r="B24" s="755" t="s">
        <v>609</v>
      </c>
      <c r="C24" s="747">
        <v>140205.48000000001</v>
      </c>
      <c r="D24" s="748">
        <v>-4288.8000000000175</v>
      </c>
      <c r="E24" s="749">
        <f t="shared" si="5"/>
        <v>135916.68</v>
      </c>
      <c r="F24" s="756">
        <v>4030.95</v>
      </c>
      <c r="G24" s="756"/>
      <c r="H24" s="751">
        <f t="shared" si="1"/>
        <v>131885.72999999998</v>
      </c>
      <c r="I24" s="752">
        <f t="shared" si="2"/>
        <v>2.9657507820232219E-2</v>
      </c>
    </row>
    <row r="25" spans="1:9" s="28" customFormat="1" ht="25.5" customHeight="1" x14ac:dyDescent="0.2">
      <c r="A25" s="754">
        <v>13403</v>
      </c>
      <c r="B25" s="755" t="s">
        <v>610</v>
      </c>
      <c r="C25" s="747">
        <v>1889386.56</v>
      </c>
      <c r="D25" s="748">
        <v>-504509.5</v>
      </c>
      <c r="E25" s="749">
        <f t="shared" si="5"/>
        <v>1384877.06</v>
      </c>
      <c r="F25" s="756">
        <v>525700</v>
      </c>
      <c r="G25" s="756"/>
      <c r="H25" s="751">
        <f t="shared" si="1"/>
        <v>859177.06</v>
      </c>
      <c r="I25" s="752">
        <f t="shared" si="2"/>
        <v>0.37960048237061561</v>
      </c>
    </row>
    <row r="26" spans="1:9" s="28" customFormat="1" ht="17.25" customHeight="1" x14ac:dyDescent="0.2">
      <c r="A26" s="740">
        <v>1400</v>
      </c>
      <c r="B26" s="741" t="s">
        <v>611</v>
      </c>
      <c r="C26" s="742">
        <f>SUM(C27:C36)</f>
        <v>3484291.64</v>
      </c>
      <c r="D26" s="742">
        <f>SUM(D27:D36)</f>
        <v>7191</v>
      </c>
      <c r="E26" s="742">
        <f t="shared" si="0"/>
        <v>3491482.64</v>
      </c>
      <c r="F26" s="743">
        <f>SUM(F27:F36)</f>
        <v>1807731.44</v>
      </c>
      <c r="G26" s="743">
        <f>+F26</f>
        <v>1807731.44</v>
      </c>
      <c r="H26" s="738">
        <f t="shared" si="1"/>
        <v>1683751.2000000002</v>
      </c>
      <c r="I26" s="744">
        <f>+F26/E26</f>
        <v>0.5177546694031393</v>
      </c>
    </row>
    <row r="27" spans="1:9" s="28" customFormat="1" ht="17.25" customHeight="1" x14ac:dyDescent="0.2">
      <c r="A27" s="745">
        <v>14101</v>
      </c>
      <c r="B27" s="746" t="s">
        <v>612</v>
      </c>
      <c r="C27" s="749">
        <v>858057.56</v>
      </c>
      <c r="D27" s="748">
        <v>-97834</v>
      </c>
      <c r="E27" s="749">
        <f>+C27+D27</f>
        <v>760223.56</v>
      </c>
      <c r="F27" s="750">
        <v>428543.09</v>
      </c>
      <c r="G27" s="750"/>
      <c r="H27" s="751">
        <f t="shared" si="1"/>
        <v>331680.47000000003</v>
      </c>
      <c r="I27" s="752">
        <f t="shared" si="2"/>
        <v>0.56370666807537506</v>
      </c>
    </row>
    <row r="28" spans="1:9" s="28" customFormat="1" ht="17.25" customHeight="1" x14ac:dyDescent="0.2">
      <c r="A28" s="745">
        <v>14102</v>
      </c>
      <c r="B28" s="746" t="s">
        <v>613</v>
      </c>
      <c r="C28" s="749">
        <v>117.6</v>
      </c>
      <c r="D28" s="748">
        <f>+E28-C28</f>
        <v>0</v>
      </c>
      <c r="E28" s="749">
        <v>117.6</v>
      </c>
      <c r="F28" s="750">
        <v>52.5</v>
      </c>
      <c r="G28" s="750"/>
      <c r="H28" s="751">
        <f t="shared" si="1"/>
        <v>65.099999999999994</v>
      </c>
      <c r="I28" s="752">
        <f t="shared" si="2"/>
        <v>0.44642857142857145</v>
      </c>
    </row>
    <row r="29" spans="1:9" s="28" customFormat="1" ht="17.25" customHeight="1" x14ac:dyDescent="0.2">
      <c r="A29" s="745">
        <v>14103</v>
      </c>
      <c r="B29" s="746" t="s">
        <v>614</v>
      </c>
      <c r="C29" s="749">
        <v>1470</v>
      </c>
      <c r="D29" s="748">
        <v>0</v>
      </c>
      <c r="E29" s="749">
        <f t="shared" si="0"/>
        <v>1470</v>
      </c>
      <c r="F29" s="750">
        <v>870.94</v>
      </c>
      <c r="G29" s="750"/>
      <c r="H29" s="751">
        <f t="shared" si="1"/>
        <v>599.05999999999995</v>
      </c>
      <c r="I29" s="752">
        <f t="shared" si="2"/>
        <v>0.59247619047619049</v>
      </c>
    </row>
    <row r="30" spans="1:9" s="28" customFormat="1" ht="17.25" customHeight="1" x14ac:dyDescent="0.2">
      <c r="A30" s="745">
        <v>14104</v>
      </c>
      <c r="B30" s="746" t="s">
        <v>615</v>
      </c>
      <c r="C30" s="749">
        <v>50474.04</v>
      </c>
      <c r="D30" s="748">
        <v>0</v>
      </c>
      <c r="E30" s="749">
        <f t="shared" si="0"/>
        <v>50474.04</v>
      </c>
      <c r="F30" s="750">
        <v>25206.2</v>
      </c>
      <c r="G30" s="750"/>
      <c r="H30" s="751">
        <f t="shared" si="1"/>
        <v>25267.84</v>
      </c>
      <c r="I30" s="752">
        <f t="shared" si="2"/>
        <v>0.49938938908001024</v>
      </c>
    </row>
    <row r="31" spans="1:9" s="28" customFormat="1" ht="17.25" customHeight="1" x14ac:dyDescent="0.2">
      <c r="A31" s="745">
        <v>14105</v>
      </c>
      <c r="B31" s="746" t="s">
        <v>616</v>
      </c>
      <c r="C31" s="749">
        <v>50474.04</v>
      </c>
      <c r="D31" s="748">
        <v>0</v>
      </c>
      <c r="E31" s="749">
        <f t="shared" si="0"/>
        <v>50474.04</v>
      </c>
      <c r="F31" s="750">
        <v>25206.2</v>
      </c>
      <c r="G31" s="750"/>
      <c r="H31" s="751">
        <f t="shared" si="1"/>
        <v>25267.84</v>
      </c>
      <c r="I31" s="752">
        <f t="shared" si="2"/>
        <v>0.49938938908001024</v>
      </c>
    </row>
    <row r="32" spans="1:9" s="28" customFormat="1" ht="17.25" customHeight="1" x14ac:dyDescent="0.2">
      <c r="A32" s="745">
        <v>14106</v>
      </c>
      <c r="B32" s="746" t="s">
        <v>617</v>
      </c>
      <c r="C32" s="749">
        <v>302843.88</v>
      </c>
      <c r="D32" s="748">
        <v>0</v>
      </c>
      <c r="E32" s="749">
        <f t="shared" si="0"/>
        <v>302843.88</v>
      </c>
      <c r="F32" s="750">
        <v>151245.29999999999</v>
      </c>
      <c r="G32" s="750"/>
      <c r="H32" s="751">
        <f t="shared" si="1"/>
        <v>151598.58000000002</v>
      </c>
      <c r="I32" s="752">
        <f t="shared" si="2"/>
        <v>0.49941672917412094</v>
      </c>
    </row>
    <row r="33" spans="1:9" s="28" customFormat="1" ht="17.25" customHeight="1" x14ac:dyDescent="0.2">
      <c r="A33" s="745">
        <v>14107</v>
      </c>
      <c r="B33" s="746" t="s">
        <v>618</v>
      </c>
      <c r="C33" s="749">
        <v>100947.96</v>
      </c>
      <c r="D33" s="748">
        <v>0</v>
      </c>
      <c r="E33" s="749">
        <f t="shared" si="0"/>
        <v>100947.96</v>
      </c>
      <c r="F33" s="750">
        <v>50414.47</v>
      </c>
      <c r="G33" s="750"/>
      <c r="H33" s="751">
        <f t="shared" si="1"/>
        <v>50533.490000000005</v>
      </c>
      <c r="I33" s="752">
        <f t="shared" si="2"/>
        <v>0.49941048833478158</v>
      </c>
    </row>
    <row r="34" spans="1:9" s="28" customFormat="1" ht="17.25" customHeight="1" x14ac:dyDescent="0.2">
      <c r="A34" s="745">
        <v>14108</v>
      </c>
      <c r="B34" s="758" t="s">
        <v>619</v>
      </c>
      <c r="C34" s="749">
        <v>0</v>
      </c>
      <c r="D34" s="748">
        <v>118745</v>
      </c>
      <c r="E34" s="749">
        <f t="shared" si="0"/>
        <v>118745</v>
      </c>
      <c r="F34" s="750">
        <v>67439</v>
      </c>
      <c r="G34" s="750"/>
      <c r="H34" s="751">
        <f t="shared" si="1"/>
        <v>51306</v>
      </c>
      <c r="I34" s="752">
        <f t="shared" si="2"/>
        <v>0.56793128131710813</v>
      </c>
    </row>
    <row r="35" spans="1:9" s="28" customFormat="1" ht="17.25" customHeight="1" x14ac:dyDescent="0.2">
      <c r="A35" s="745">
        <v>14201</v>
      </c>
      <c r="B35" s="746" t="s">
        <v>620</v>
      </c>
      <c r="C35" s="749">
        <v>403791.72</v>
      </c>
      <c r="D35" s="748"/>
      <c r="E35" s="749">
        <f t="shared" si="0"/>
        <v>403791.72</v>
      </c>
      <c r="F35" s="750">
        <v>201665.83</v>
      </c>
      <c r="G35" s="750"/>
      <c r="H35" s="751">
        <f t="shared" si="1"/>
        <v>202125.88999999998</v>
      </c>
      <c r="I35" s="752">
        <f t="shared" si="2"/>
        <v>0.49943032511909852</v>
      </c>
    </row>
    <row r="36" spans="1:9" s="28" customFormat="1" ht="17.25" customHeight="1" x14ac:dyDescent="0.2">
      <c r="A36" s="745">
        <v>14301</v>
      </c>
      <c r="B36" s="746" t="s">
        <v>621</v>
      </c>
      <c r="C36" s="749">
        <v>1716114.84</v>
      </c>
      <c r="D36" s="748">
        <v>-13720</v>
      </c>
      <c r="E36" s="749">
        <f t="shared" si="0"/>
        <v>1702394.84</v>
      </c>
      <c r="F36" s="750">
        <v>857087.91</v>
      </c>
      <c r="G36" s="750"/>
      <c r="H36" s="751">
        <f t="shared" si="1"/>
        <v>845306.93</v>
      </c>
      <c r="I36" s="752">
        <f t="shared" si="2"/>
        <v>0.50346011974519378</v>
      </c>
    </row>
    <row r="37" spans="1:9" s="28" customFormat="1" ht="17.25" customHeight="1" x14ac:dyDescent="0.2">
      <c r="A37" s="740">
        <v>1500</v>
      </c>
      <c r="B37" s="741" t="s">
        <v>622</v>
      </c>
      <c r="C37" s="742">
        <f>SUM(C38)</f>
        <v>0</v>
      </c>
      <c r="D37" s="742">
        <f>SUM(D38)</f>
        <v>17997.759999999998</v>
      </c>
      <c r="E37" s="742">
        <f t="shared" si="0"/>
        <v>17997.759999999998</v>
      </c>
      <c r="F37" s="742">
        <f>SUM(F38)</f>
        <v>17997.759999999998</v>
      </c>
      <c r="G37" s="743">
        <f>+F37</f>
        <v>17997.759999999998</v>
      </c>
      <c r="H37" s="738">
        <f t="shared" si="1"/>
        <v>0</v>
      </c>
      <c r="I37" s="744">
        <f>+F37/E37</f>
        <v>1</v>
      </c>
    </row>
    <row r="38" spans="1:9" s="28" customFormat="1" ht="17.25" customHeight="1" x14ac:dyDescent="0.2">
      <c r="A38" s="745">
        <v>15304</v>
      </c>
      <c r="B38" s="746" t="s">
        <v>623</v>
      </c>
      <c r="C38" s="749">
        <v>0</v>
      </c>
      <c r="D38" s="748">
        <v>17997.759999999998</v>
      </c>
      <c r="E38" s="749">
        <f t="shared" si="0"/>
        <v>17997.759999999998</v>
      </c>
      <c r="F38" s="750">
        <v>17997.759999999998</v>
      </c>
      <c r="G38" s="750">
        <f>+F38</f>
        <v>17997.759999999998</v>
      </c>
      <c r="H38" s="751"/>
      <c r="I38" s="752"/>
    </row>
    <row r="39" spans="1:9" s="28" customFormat="1" ht="17.25" customHeight="1" x14ac:dyDescent="0.2">
      <c r="A39" s="740">
        <v>2000</v>
      </c>
      <c r="B39" s="741" t="s">
        <v>624</v>
      </c>
      <c r="C39" s="742">
        <f>(C40+C47+C51+C55+C57+C60+C65+C63)</f>
        <v>1564130.78</v>
      </c>
      <c r="D39" s="742">
        <f>(D40+D47+D51+D55+D57+D60+D65+D63)</f>
        <v>109521.33999999998</v>
      </c>
      <c r="E39" s="742">
        <f>+C39+D39</f>
        <v>1673652.12</v>
      </c>
      <c r="F39" s="742">
        <f>+F40+F47+F51+F57+F55+F60+F65+F63</f>
        <v>884946.33999999985</v>
      </c>
      <c r="G39" s="743">
        <f t="shared" ref="G39:G79" si="6">+F39</f>
        <v>884946.33999999985</v>
      </c>
      <c r="H39" s="738">
        <f t="shared" si="1"/>
        <v>788705.78000000026</v>
      </c>
      <c r="I39" s="744">
        <f t="shared" si="2"/>
        <v>0.5287516619642556</v>
      </c>
    </row>
    <row r="40" spans="1:9" s="28" customFormat="1" ht="17.25" customHeight="1" x14ac:dyDescent="0.2">
      <c r="A40" s="740">
        <v>2100</v>
      </c>
      <c r="B40" s="741" t="s">
        <v>625</v>
      </c>
      <c r="C40" s="742">
        <f>SUM(C41:C46)</f>
        <v>655932.37999999989</v>
      </c>
      <c r="D40" s="742">
        <f>SUM(D41:D46)</f>
        <v>-9911.210000000021</v>
      </c>
      <c r="E40" s="742">
        <f>+C40+D40</f>
        <v>646021.16999999993</v>
      </c>
      <c r="F40" s="742">
        <f>SUM(F41:F46)</f>
        <v>292447.58999999997</v>
      </c>
      <c r="G40" s="743">
        <f t="shared" si="6"/>
        <v>292447.58999999997</v>
      </c>
      <c r="H40" s="738">
        <f t="shared" si="1"/>
        <v>353573.57999999996</v>
      </c>
      <c r="I40" s="744">
        <f t="shared" si="2"/>
        <v>0.45269041260675713</v>
      </c>
    </row>
    <row r="41" spans="1:9" s="28" customFormat="1" ht="17.25" customHeight="1" x14ac:dyDescent="0.2">
      <c r="A41" s="745">
        <v>21101</v>
      </c>
      <c r="B41" s="746" t="s">
        <v>626</v>
      </c>
      <c r="C41" s="749">
        <v>250832.78</v>
      </c>
      <c r="D41" s="748"/>
      <c r="E41" s="749">
        <f>+C41+D41</f>
        <v>250832.78</v>
      </c>
      <c r="F41" s="750">
        <v>172727.62</v>
      </c>
      <c r="G41" s="750">
        <f t="shared" si="6"/>
        <v>172727.62</v>
      </c>
      <c r="H41" s="751">
        <f t="shared" si="1"/>
        <v>78105.16</v>
      </c>
      <c r="I41" s="752">
        <f t="shared" si="2"/>
        <v>0.68861661542004193</v>
      </c>
    </row>
    <row r="42" spans="1:9" s="28" customFormat="1" ht="17.25" customHeight="1" x14ac:dyDescent="0.2">
      <c r="A42" s="745">
        <v>21201</v>
      </c>
      <c r="B42" s="746" t="s">
        <v>627</v>
      </c>
      <c r="C42" s="749">
        <v>181399.92</v>
      </c>
      <c r="D42" s="748">
        <v>6534.3999999999942</v>
      </c>
      <c r="E42" s="749">
        <f t="shared" ref="E42:E46" si="7">+C42+D42</f>
        <v>187934.32</v>
      </c>
      <c r="F42" s="750">
        <v>77159.12</v>
      </c>
      <c r="G42" s="750">
        <f t="shared" si="6"/>
        <v>77159.12</v>
      </c>
      <c r="H42" s="751">
        <f t="shared" si="1"/>
        <v>110775.20000000001</v>
      </c>
      <c r="I42" s="752">
        <f t="shared" si="2"/>
        <v>0.41056428650179483</v>
      </c>
    </row>
    <row r="43" spans="1:9" s="6" customFormat="1" ht="20.25" customHeight="1" x14ac:dyDescent="0.25">
      <c r="A43" s="759">
        <v>21401</v>
      </c>
      <c r="B43" s="758" t="s">
        <v>628</v>
      </c>
      <c r="C43" s="749">
        <v>1399.92</v>
      </c>
      <c r="D43" s="748">
        <v>0</v>
      </c>
      <c r="E43" s="749">
        <f t="shared" si="7"/>
        <v>1399.92</v>
      </c>
      <c r="F43" s="750">
        <v>0</v>
      </c>
      <c r="G43" s="750">
        <f t="shared" si="6"/>
        <v>0</v>
      </c>
      <c r="H43" s="751">
        <f t="shared" si="1"/>
        <v>1399.92</v>
      </c>
      <c r="I43" s="752">
        <f t="shared" si="2"/>
        <v>0</v>
      </c>
    </row>
    <row r="44" spans="1:9" x14ac:dyDescent="0.3">
      <c r="A44" s="759">
        <v>21501</v>
      </c>
      <c r="B44" s="758" t="s">
        <v>629</v>
      </c>
      <c r="C44" s="749">
        <v>80299.92</v>
      </c>
      <c r="D44" s="748">
        <v>-10246.399999999994</v>
      </c>
      <c r="E44" s="749">
        <f t="shared" si="7"/>
        <v>70053.52</v>
      </c>
      <c r="F44" s="750">
        <v>3228</v>
      </c>
      <c r="G44" s="750">
        <f t="shared" si="6"/>
        <v>3228</v>
      </c>
      <c r="H44" s="751">
        <f t="shared" si="1"/>
        <v>66825.52</v>
      </c>
      <c r="I44" s="752">
        <f t="shared" si="2"/>
        <v>4.6079054985388314E-2</v>
      </c>
    </row>
    <row r="45" spans="1:9" x14ac:dyDescent="0.3">
      <c r="A45" s="759">
        <v>21601</v>
      </c>
      <c r="B45" s="758" t="s">
        <v>630</v>
      </c>
      <c r="C45" s="749">
        <v>71999.88</v>
      </c>
      <c r="D45" s="748">
        <v>-2253.4000000000087</v>
      </c>
      <c r="E45" s="749">
        <f t="shared" si="7"/>
        <v>69746.48</v>
      </c>
      <c r="F45" s="750">
        <v>22092.85</v>
      </c>
      <c r="G45" s="750">
        <f t="shared" si="6"/>
        <v>22092.85</v>
      </c>
      <c r="H45" s="751">
        <f t="shared" si="1"/>
        <v>47653.63</v>
      </c>
      <c r="I45" s="752">
        <f t="shared" si="2"/>
        <v>0.31675935473732869</v>
      </c>
    </row>
    <row r="46" spans="1:9" ht="22.5" x14ac:dyDescent="0.3">
      <c r="A46" s="745">
        <v>21801</v>
      </c>
      <c r="B46" s="758" t="s">
        <v>631</v>
      </c>
      <c r="C46" s="749">
        <v>69999.960000000006</v>
      </c>
      <c r="D46" s="748">
        <v>-3945.8100000000122</v>
      </c>
      <c r="E46" s="749">
        <f t="shared" si="7"/>
        <v>66054.149999999994</v>
      </c>
      <c r="F46" s="750">
        <v>17240</v>
      </c>
      <c r="G46" s="750">
        <f t="shared" si="6"/>
        <v>17240</v>
      </c>
      <c r="H46" s="751">
        <f t="shared" si="1"/>
        <v>48814.149999999994</v>
      </c>
      <c r="I46" s="752">
        <f t="shared" si="2"/>
        <v>0.26099798422960557</v>
      </c>
    </row>
    <row r="47" spans="1:9" x14ac:dyDescent="0.3">
      <c r="A47" s="740">
        <v>2200</v>
      </c>
      <c r="B47" s="760" t="s">
        <v>632</v>
      </c>
      <c r="C47" s="742">
        <f>SUM(C48:C50)</f>
        <v>42797.88</v>
      </c>
      <c r="D47" s="742">
        <f t="shared" ref="D47:F47" si="8">SUM(D48:D50)</f>
        <v>10900.000000000004</v>
      </c>
      <c r="E47" s="742">
        <f t="shared" si="0"/>
        <v>53697.880000000005</v>
      </c>
      <c r="F47" s="743">
        <f t="shared" si="8"/>
        <v>26643.93</v>
      </c>
      <c r="G47" s="743">
        <f>+F47</f>
        <v>26643.93</v>
      </c>
      <c r="H47" s="738">
        <f t="shared" si="1"/>
        <v>27053.950000000004</v>
      </c>
      <c r="I47" s="744">
        <f t="shared" si="2"/>
        <v>0.49618215840178415</v>
      </c>
    </row>
    <row r="48" spans="1:9" ht="22.5" x14ac:dyDescent="0.3">
      <c r="A48" s="745">
        <v>22101</v>
      </c>
      <c r="B48" s="758" t="s">
        <v>633</v>
      </c>
      <c r="C48" s="749">
        <v>29997.84</v>
      </c>
      <c r="D48" s="748">
        <v>13389.070000000003</v>
      </c>
      <c r="E48" s="749">
        <f>+C48+D48</f>
        <v>43386.91</v>
      </c>
      <c r="F48" s="750">
        <v>20918.71</v>
      </c>
      <c r="G48" s="750">
        <f t="shared" si="6"/>
        <v>20918.71</v>
      </c>
      <c r="H48" s="751">
        <f t="shared" si="1"/>
        <v>22468.200000000004</v>
      </c>
      <c r="I48" s="752">
        <f t="shared" si="2"/>
        <v>0.48214334692191718</v>
      </c>
    </row>
    <row r="49" spans="1:9" x14ac:dyDescent="0.3">
      <c r="A49" s="745">
        <v>22106</v>
      </c>
      <c r="B49" s="758" t="s">
        <v>634</v>
      </c>
      <c r="C49" s="749">
        <v>7800.12</v>
      </c>
      <c r="D49" s="748">
        <v>-737.46</v>
      </c>
      <c r="E49" s="749">
        <f t="shared" ref="E49:E50" si="9">+C49+D49</f>
        <v>7062.66</v>
      </c>
      <c r="F49" s="750">
        <v>4959</v>
      </c>
      <c r="G49" s="750">
        <f t="shared" si="6"/>
        <v>4959</v>
      </c>
      <c r="H49" s="751">
        <f t="shared" si="1"/>
        <v>2103.66</v>
      </c>
      <c r="I49" s="752">
        <f t="shared" si="2"/>
        <v>0.70214338507021434</v>
      </c>
    </row>
    <row r="50" spans="1:9" x14ac:dyDescent="0.3">
      <c r="A50" s="745">
        <v>22301</v>
      </c>
      <c r="B50" s="758" t="s">
        <v>635</v>
      </c>
      <c r="C50" s="749">
        <v>4999.92</v>
      </c>
      <c r="D50" s="748">
        <v>-1751.6100000000001</v>
      </c>
      <c r="E50" s="749">
        <f t="shared" si="9"/>
        <v>3248.31</v>
      </c>
      <c r="F50" s="750">
        <v>766.22</v>
      </c>
      <c r="G50" s="750">
        <f t="shared" si="6"/>
        <v>766.22</v>
      </c>
      <c r="H50" s="751">
        <f t="shared" si="1"/>
        <v>2482.09</v>
      </c>
      <c r="I50" s="752">
        <f t="shared" si="2"/>
        <v>0.235882658982671</v>
      </c>
    </row>
    <row r="51" spans="1:9" ht="22.5" x14ac:dyDescent="0.3">
      <c r="A51" s="740">
        <v>2400</v>
      </c>
      <c r="B51" s="760" t="s">
        <v>636</v>
      </c>
      <c r="C51" s="742">
        <f>SUM(C52:C54)</f>
        <v>5000.16</v>
      </c>
      <c r="D51" s="742">
        <f>SUM(D52:D54)</f>
        <v>-1532.43</v>
      </c>
      <c r="E51" s="742">
        <f t="shared" si="0"/>
        <v>3467.7299999999996</v>
      </c>
      <c r="F51" s="742">
        <f>SUM(F52:F54)</f>
        <v>1467.57</v>
      </c>
      <c r="G51" s="743">
        <f>+F51</f>
        <v>1467.57</v>
      </c>
      <c r="H51" s="738">
        <f t="shared" si="1"/>
        <v>2000.1599999999996</v>
      </c>
      <c r="I51" s="744">
        <f t="shared" si="2"/>
        <v>0.42320768917995349</v>
      </c>
    </row>
    <row r="52" spans="1:9" x14ac:dyDescent="0.3">
      <c r="A52" s="745">
        <v>24601</v>
      </c>
      <c r="B52" s="758" t="s">
        <v>637</v>
      </c>
      <c r="C52" s="749"/>
      <c r="D52" s="748"/>
      <c r="E52" s="749">
        <f t="shared" si="0"/>
        <v>0</v>
      </c>
      <c r="F52" s="750"/>
      <c r="G52" s="750">
        <f t="shared" si="6"/>
        <v>0</v>
      </c>
      <c r="H52" s="751">
        <f t="shared" si="1"/>
        <v>0</v>
      </c>
      <c r="I52" s="752" t="e">
        <f t="shared" si="2"/>
        <v>#DIV/0!</v>
      </c>
    </row>
    <row r="53" spans="1:9" x14ac:dyDescent="0.3">
      <c r="A53" s="745">
        <v>24801</v>
      </c>
      <c r="B53" s="758" t="s">
        <v>638</v>
      </c>
      <c r="C53" s="749">
        <v>4000.08</v>
      </c>
      <c r="D53" s="748">
        <v>-1532.43</v>
      </c>
      <c r="E53" s="749">
        <v>2467.65</v>
      </c>
      <c r="F53" s="750">
        <v>1467.57</v>
      </c>
      <c r="G53" s="750">
        <f t="shared" si="6"/>
        <v>1467.57</v>
      </c>
      <c r="H53" s="751">
        <f t="shared" si="1"/>
        <v>1000.0800000000002</v>
      </c>
      <c r="I53" s="752">
        <f t="shared" si="2"/>
        <v>0.5947237250015196</v>
      </c>
    </row>
    <row r="54" spans="1:9" ht="22.5" x14ac:dyDescent="0.3">
      <c r="A54" s="745">
        <v>24901</v>
      </c>
      <c r="B54" s="758" t="s">
        <v>639</v>
      </c>
      <c r="C54" s="749">
        <v>1000.08</v>
      </c>
      <c r="D54" s="748"/>
      <c r="E54" s="749">
        <f t="shared" si="0"/>
        <v>1000.08</v>
      </c>
      <c r="F54" s="750">
        <v>0</v>
      </c>
      <c r="G54" s="750">
        <f t="shared" si="6"/>
        <v>0</v>
      </c>
      <c r="H54" s="751">
        <f t="shared" si="1"/>
        <v>1000.08</v>
      </c>
      <c r="I54" s="752">
        <f t="shared" si="2"/>
        <v>0</v>
      </c>
    </row>
    <row r="55" spans="1:9" ht="22.5" x14ac:dyDescent="0.3">
      <c r="A55" s="740">
        <v>2500</v>
      </c>
      <c r="B55" s="760" t="s">
        <v>640</v>
      </c>
      <c r="C55" s="742"/>
      <c r="D55" s="753"/>
      <c r="E55" s="742">
        <f t="shared" si="0"/>
        <v>0</v>
      </c>
      <c r="F55" s="743">
        <f t="shared" ref="F55" si="10">SUM(F56)</f>
        <v>0</v>
      </c>
      <c r="G55" s="743">
        <f>+F55</f>
        <v>0</v>
      </c>
      <c r="H55" s="738">
        <f t="shared" si="1"/>
        <v>0</v>
      </c>
      <c r="I55" s="744" t="e">
        <f t="shared" si="2"/>
        <v>#DIV/0!</v>
      </c>
    </row>
    <row r="56" spans="1:9" x14ac:dyDescent="0.3">
      <c r="A56" s="761">
        <v>25301</v>
      </c>
      <c r="B56" s="762" t="s">
        <v>641</v>
      </c>
      <c r="C56" s="763"/>
      <c r="D56" s="748"/>
      <c r="E56" s="764">
        <f t="shared" si="0"/>
        <v>0</v>
      </c>
      <c r="F56" s="756">
        <v>0</v>
      </c>
      <c r="G56" s="750">
        <f t="shared" si="6"/>
        <v>0</v>
      </c>
      <c r="H56" s="751">
        <f t="shared" si="1"/>
        <v>0</v>
      </c>
      <c r="I56" s="752" t="e">
        <f t="shared" si="2"/>
        <v>#DIV/0!</v>
      </c>
    </row>
    <row r="57" spans="1:9" x14ac:dyDescent="0.3">
      <c r="A57" s="740">
        <v>2600</v>
      </c>
      <c r="B57" s="760" t="s">
        <v>642</v>
      </c>
      <c r="C57" s="742">
        <f>SUM(C58:C59)</f>
        <v>807000.12</v>
      </c>
      <c r="D57" s="742">
        <f>SUM(D58:D59)</f>
        <v>-9870</v>
      </c>
      <c r="E57" s="742">
        <f t="shared" si="0"/>
        <v>797130.12</v>
      </c>
      <c r="F57" s="743">
        <f t="shared" ref="F57" si="11">SUM(F58:F59)</f>
        <v>394190.58</v>
      </c>
      <c r="G57" s="743">
        <f>+F57</f>
        <v>394190.58</v>
      </c>
      <c r="H57" s="738">
        <f t="shared" si="1"/>
        <v>402939.54</v>
      </c>
      <c r="I57" s="744">
        <f t="shared" si="2"/>
        <v>0.49451221338869999</v>
      </c>
    </row>
    <row r="58" spans="1:9" x14ac:dyDescent="0.3">
      <c r="A58" s="745">
        <v>26101</v>
      </c>
      <c r="B58" s="758" t="s">
        <v>643</v>
      </c>
      <c r="C58" s="749">
        <v>805000.08</v>
      </c>
      <c r="D58" s="748">
        <v>-9870</v>
      </c>
      <c r="E58" s="749">
        <f>+C58+D58</f>
        <v>795130.08</v>
      </c>
      <c r="F58" s="750">
        <v>394190.58</v>
      </c>
      <c r="G58" s="750">
        <f t="shared" si="6"/>
        <v>394190.58</v>
      </c>
      <c r="H58" s="751">
        <f t="shared" si="1"/>
        <v>400939.49999999994</v>
      </c>
      <c r="I58" s="752">
        <f t="shared" si="2"/>
        <v>0.49575609062607723</v>
      </c>
    </row>
    <row r="59" spans="1:9" x14ac:dyDescent="0.3">
      <c r="A59" s="745">
        <v>26102</v>
      </c>
      <c r="B59" s="758" t="s">
        <v>644</v>
      </c>
      <c r="C59" s="749">
        <v>2000.04</v>
      </c>
      <c r="D59" s="748"/>
      <c r="E59" s="749">
        <f t="shared" si="0"/>
        <v>2000.04</v>
      </c>
      <c r="F59" s="750">
        <v>0</v>
      </c>
      <c r="G59" s="750">
        <f t="shared" si="6"/>
        <v>0</v>
      </c>
      <c r="H59" s="751">
        <f t="shared" si="1"/>
        <v>2000.04</v>
      </c>
      <c r="I59" s="752">
        <f t="shared" si="2"/>
        <v>0</v>
      </c>
    </row>
    <row r="60" spans="1:9" ht="22.5" x14ac:dyDescent="0.3">
      <c r="A60" s="740">
        <v>2700</v>
      </c>
      <c r="B60" s="760" t="s">
        <v>645</v>
      </c>
      <c r="C60" s="742">
        <f>SUM(C61:C62)</f>
        <v>5000.04</v>
      </c>
      <c r="D60" s="742">
        <f>SUM(D61:D62)</f>
        <v>-1027.8000000000002</v>
      </c>
      <c r="E60" s="742">
        <f>+C60+D60</f>
        <v>3972.24</v>
      </c>
      <c r="F60" s="742">
        <f>SUM(F61:F62)</f>
        <v>3506.6</v>
      </c>
      <c r="G60" s="743">
        <f>+F60</f>
        <v>3506.6</v>
      </c>
      <c r="H60" s="738">
        <f t="shared" si="1"/>
        <v>465.63999999999987</v>
      </c>
      <c r="I60" s="744">
        <f t="shared" si="2"/>
        <v>0.88277646869272752</v>
      </c>
    </row>
    <row r="61" spans="1:9" x14ac:dyDescent="0.3">
      <c r="A61" s="745">
        <v>27101</v>
      </c>
      <c r="B61" s="758" t="s">
        <v>646</v>
      </c>
      <c r="C61" s="749">
        <v>5000.04</v>
      </c>
      <c r="D61" s="748">
        <v>-1027.8000000000002</v>
      </c>
      <c r="E61" s="749">
        <f>+C61+D61</f>
        <v>3972.24</v>
      </c>
      <c r="F61" s="750">
        <v>3506.6</v>
      </c>
      <c r="G61" s="750">
        <f t="shared" si="6"/>
        <v>3506.6</v>
      </c>
      <c r="H61" s="751">
        <f t="shared" si="1"/>
        <v>465.63999999999987</v>
      </c>
      <c r="I61" s="752">
        <f t="shared" si="2"/>
        <v>0.88277646869272752</v>
      </c>
    </row>
    <row r="62" spans="1:9" x14ac:dyDescent="0.3">
      <c r="A62" s="745">
        <v>27201</v>
      </c>
      <c r="B62" s="758" t="s">
        <v>647</v>
      </c>
      <c r="C62" s="749"/>
      <c r="D62" s="748"/>
      <c r="E62" s="749">
        <f t="shared" si="0"/>
        <v>0</v>
      </c>
      <c r="F62" s="750">
        <v>0</v>
      </c>
      <c r="G62" s="750">
        <f t="shared" si="6"/>
        <v>0</v>
      </c>
      <c r="H62" s="751">
        <f t="shared" si="1"/>
        <v>0</v>
      </c>
      <c r="I62" s="752" t="e">
        <f t="shared" si="2"/>
        <v>#DIV/0!</v>
      </c>
    </row>
    <row r="63" spans="1:9" x14ac:dyDescent="0.3">
      <c r="A63" s="740">
        <v>28000</v>
      </c>
      <c r="B63" s="760" t="s">
        <v>648</v>
      </c>
      <c r="C63" s="742">
        <f>+C64</f>
        <v>0</v>
      </c>
      <c r="D63" s="742">
        <f>+D64</f>
        <v>14453.6</v>
      </c>
      <c r="E63" s="742">
        <f>+C63+D63</f>
        <v>14453.6</v>
      </c>
      <c r="F63" s="742">
        <f>+F64</f>
        <v>14453.6</v>
      </c>
      <c r="G63" s="743">
        <f>+F63</f>
        <v>14453.6</v>
      </c>
      <c r="H63" s="738">
        <f t="shared" si="1"/>
        <v>0</v>
      </c>
      <c r="I63" s="744">
        <f t="shared" si="2"/>
        <v>1</v>
      </c>
    </row>
    <row r="64" spans="1:9" x14ac:dyDescent="0.3">
      <c r="A64" s="745">
        <v>28201</v>
      </c>
      <c r="B64" s="758" t="s">
        <v>649</v>
      </c>
      <c r="C64" s="749">
        <v>0</v>
      </c>
      <c r="D64" s="748">
        <v>14453.6</v>
      </c>
      <c r="E64" s="742">
        <f>+C64+D64</f>
        <v>14453.6</v>
      </c>
      <c r="F64" s="750">
        <v>14453.6</v>
      </c>
      <c r="G64" s="750"/>
      <c r="H64" s="751"/>
      <c r="I64" s="752"/>
    </row>
    <row r="65" spans="1:9" ht="22.5" x14ac:dyDescent="0.3">
      <c r="A65" s="740">
        <v>2900</v>
      </c>
      <c r="B65" s="760" t="s">
        <v>650</v>
      </c>
      <c r="C65" s="742">
        <f>SUM(C66:C70)</f>
        <v>48400.2</v>
      </c>
      <c r="D65" s="742">
        <f>SUM(D66:D70)</f>
        <v>106509.18</v>
      </c>
      <c r="E65" s="742">
        <f t="shared" si="0"/>
        <v>154909.38</v>
      </c>
      <c r="F65" s="743">
        <f t="shared" ref="F65" si="12">SUM(F66:F70)</f>
        <v>152236.47</v>
      </c>
      <c r="G65" s="743">
        <f>+F65</f>
        <v>152236.47</v>
      </c>
      <c r="H65" s="738">
        <f t="shared" si="1"/>
        <v>2672.9100000000035</v>
      </c>
      <c r="I65" s="744">
        <f t="shared" ref="I65" si="13">+F65/E65</f>
        <v>0.98274533149638843</v>
      </c>
    </row>
    <row r="66" spans="1:9" x14ac:dyDescent="0.3">
      <c r="A66" s="745">
        <v>29101</v>
      </c>
      <c r="B66" s="758" t="s">
        <v>651</v>
      </c>
      <c r="C66" s="749">
        <v>1000.08</v>
      </c>
      <c r="D66" s="748">
        <v>6715.45</v>
      </c>
      <c r="E66" s="749">
        <f>+C66+D66</f>
        <v>7715.53</v>
      </c>
      <c r="F66" s="750">
        <v>6621.14</v>
      </c>
      <c r="G66" s="750">
        <f t="shared" si="6"/>
        <v>6621.14</v>
      </c>
      <c r="H66" s="751">
        <f t="shared" si="1"/>
        <v>1094.3899999999994</v>
      </c>
      <c r="I66" s="752">
        <f t="shared" si="2"/>
        <v>0.85815750829819859</v>
      </c>
    </row>
    <row r="67" spans="1:9" ht="22.5" x14ac:dyDescent="0.3">
      <c r="A67" s="745">
        <v>29201</v>
      </c>
      <c r="B67" s="758" t="s">
        <v>652</v>
      </c>
      <c r="C67" s="749">
        <v>5000.04</v>
      </c>
      <c r="D67" s="748">
        <v>-1656.8600000000001</v>
      </c>
      <c r="E67" s="749">
        <f t="shared" ref="E67:E70" si="14">+C67+D67</f>
        <v>3343.18</v>
      </c>
      <c r="F67" s="750">
        <v>3343.18</v>
      </c>
      <c r="G67" s="750">
        <f t="shared" si="6"/>
        <v>3343.18</v>
      </c>
      <c r="H67" s="751">
        <f t="shared" si="1"/>
        <v>0</v>
      </c>
      <c r="I67" s="752">
        <f t="shared" si="2"/>
        <v>1</v>
      </c>
    </row>
    <row r="68" spans="1:9" ht="22.5" x14ac:dyDescent="0.3">
      <c r="A68" s="745">
        <v>29301</v>
      </c>
      <c r="B68" s="758" t="s">
        <v>653</v>
      </c>
      <c r="C68" s="749">
        <v>0</v>
      </c>
      <c r="D68" s="748">
        <v>3712</v>
      </c>
      <c r="E68" s="749">
        <f t="shared" si="14"/>
        <v>3712</v>
      </c>
      <c r="F68" s="750">
        <v>3712</v>
      </c>
      <c r="G68" s="750">
        <f t="shared" si="6"/>
        <v>3712</v>
      </c>
      <c r="H68" s="751">
        <f t="shared" si="1"/>
        <v>0</v>
      </c>
      <c r="I68" s="752">
        <f t="shared" si="2"/>
        <v>1</v>
      </c>
    </row>
    <row r="69" spans="1:9" ht="22.5" x14ac:dyDescent="0.3">
      <c r="A69" s="745">
        <v>29401</v>
      </c>
      <c r="B69" s="758" t="s">
        <v>654</v>
      </c>
      <c r="C69" s="749">
        <v>5000.04</v>
      </c>
      <c r="D69" s="748">
        <v>9670.8499999999985</v>
      </c>
      <c r="E69" s="749">
        <f t="shared" si="14"/>
        <v>14670.89</v>
      </c>
      <c r="F69" s="750">
        <v>14670.89</v>
      </c>
      <c r="G69" s="750">
        <f t="shared" si="6"/>
        <v>14670.89</v>
      </c>
      <c r="H69" s="751">
        <f t="shared" si="1"/>
        <v>0</v>
      </c>
      <c r="I69" s="752">
        <f t="shared" si="2"/>
        <v>1</v>
      </c>
    </row>
    <row r="70" spans="1:9" x14ac:dyDescent="0.3">
      <c r="A70" s="745">
        <v>29601</v>
      </c>
      <c r="B70" s="758" t="s">
        <v>655</v>
      </c>
      <c r="C70" s="749">
        <v>37400.04</v>
      </c>
      <c r="D70" s="748">
        <v>88067.739999999991</v>
      </c>
      <c r="E70" s="749">
        <f t="shared" si="14"/>
        <v>125467.78</v>
      </c>
      <c r="F70" s="750">
        <v>123889.26</v>
      </c>
      <c r="G70" s="750">
        <f t="shared" si="6"/>
        <v>123889.26</v>
      </c>
      <c r="H70" s="751">
        <f t="shared" si="1"/>
        <v>1578.5200000000041</v>
      </c>
      <c r="I70" s="752">
        <f t="shared" si="2"/>
        <v>0.9874189214155219</v>
      </c>
    </row>
    <row r="71" spans="1:9" x14ac:dyDescent="0.3">
      <c r="A71" s="740">
        <v>3000</v>
      </c>
      <c r="B71" s="760" t="s">
        <v>656</v>
      </c>
      <c r="C71" s="742">
        <f>+C72+C80+C85+C94+C99+C107+C109+C115+C118</f>
        <v>3433733.45</v>
      </c>
      <c r="D71" s="742">
        <f>(D72+D80+D85+D94+D99+D107+D109+D115+D118)</f>
        <v>-222759.06</v>
      </c>
      <c r="E71" s="742">
        <f t="shared" si="0"/>
        <v>3210974.39</v>
      </c>
      <c r="F71" s="743">
        <f>(F72+F80+F85+F94+F99+F107+F109+F115+F118)</f>
        <v>1563217.3099999998</v>
      </c>
      <c r="G71" s="743">
        <f t="shared" si="6"/>
        <v>1563217.3099999998</v>
      </c>
      <c r="H71" s="738">
        <f t="shared" si="1"/>
        <v>1647757.0800000003</v>
      </c>
      <c r="I71" s="744">
        <f t="shared" si="2"/>
        <v>0.48683580749455924</v>
      </c>
    </row>
    <row r="72" spans="1:9" x14ac:dyDescent="0.3">
      <c r="A72" s="740">
        <v>3100</v>
      </c>
      <c r="B72" s="760" t="s">
        <v>657</v>
      </c>
      <c r="C72" s="742">
        <f>SUM(C73:C79)</f>
        <v>521349.12</v>
      </c>
      <c r="D72" s="742">
        <f>SUM(D73:D79)</f>
        <v>-6332.4200000000128</v>
      </c>
      <c r="E72" s="742">
        <f t="shared" si="0"/>
        <v>515016.69999999995</v>
      </c>
      <c r="F72" s="743">
        <f t="shared" ref="F72" si="15">SUM(F73:F79)</f>
        <v>218340.4</v>
      </c>
      <c r="G72" s="743">
        <f t="shared" si="6"/>
        <v>218340.4</v>
      </c>
      <c r="H72" s="738">
        <f t="shared" si="1"/>
        <v>296676.29999999993</v>
      </c>
      <c r="I72" s="744">
        <f t="shared" si="2"/>
        <v>0.42394819430127217</v>
      </c>
    </row>
    <row r="73" spans="1:9" x14ac:dyDescent="0.3">
      <c r="A73" s="745">
        <v>31101</v>
      </c>
      <c r="B73" s="758" t="s">
        <v>658</v>
      </c>
      <c r="C73" s="749">
        <v>231000</v>
      </c>
      <c r="D73" s="748">
        <v>-34241.420000000013</v>
      </c>
      <c r="E73" s="749">
        <f>+C73+D73</f>
        <v>196758.58</v>
      </c>
      <c r="F73" s="750">
        <v>93991</v>
      </c>
      <c r="G73" s="750">
        <f t="shared" si="6"/>
        <v>93991</v>
      </c>
      <c r="H73" s="751">
        <f t="shared" si="1"/>
        <v>102767.57999999999</v>
      </c>
      <c r="I73" s="752">
        <f t="shared" si="2"/>
        <v>0.47769708441685238</v>
      </c>
    </row>
    <row r="74" spans="1:9" x14ac:dyDescent="0.3">
      <c r="A74" s="745">
        <v>31301</v>
      </c>
      <c r="B74" s="758" t="s">
        <v>659</v>
      </c>
      <c r="C74" s="749">
        <v>30500.04</v>
      </c>
      <c r="D74" s="748">
        <v>27909</v>
      </c>
      <c r="E74" s="749">
        <f t="shared" ref="E74:E79" si="16">+C74+D74</f>
        <v>58409.04</v>
      </c>
      <c r="F74" s="750">
        <v>57977</v>
      </c>
      <c r="G74" s="750">
        <f t="shared" si="6"/>
        <v>57977</v>
      </c>
      <c r="H74" s="751">
        <f t="shared" si="1"/>
        <v>432.04000000000087</v>
      </c>
      <c r="I74" s="752">
        <f t="shared" si="2"/>
        <v>0.9926031997786644</v>
      </c>
    </row>
    <row r="75" spans="1:9" x14ac:dyDescent="0.3">
      <c r="A75" s="745">
        <v>31401</v>
      </c>
      <c r="B75" s="758" t="s">
        <v>660</v>
      </c>
      <c r="C75" s="749">
        <v>232200.12</v>
      </c>
      <c r="D75" s="748">
        <v>0</v>
      </c>
      <c r="E75" s="749">
        <f t="shared" si="16"/>
        <v>232200.12</v>
      </c>
      <c r="F75" s="750">
        <v>63019.96</v>
      </c>
      <c r="G75" s="750">
        <f t="shared" si="6"/>
        <v>63019.96</v>
      </c>
      <c r="H75" s="751">
        <f t="shared" si="1"/>
        <v>169180.16</v>
      </c>
      <c r="I75" s="752">
        <f t="shared" si="2"/>
        <v>0.27140364957606394</v>
      </c>
    </row>
    <row r="76" spans="1:9" x14ac:dyDescent="0.3">
      <c r="A76" s="745">
        <v>31501</v>
      </c>
      <c r="B76" s="758" t="s">
        <v>661</v>
      </c>
      <c r="C76" s="749">
        <v>18000</v>
      </c>
      <c r="D76" s="748">
        <v>0</v>
      </c>
      <c r="E76" s="749">
        <f t="shared" si="16"/>
        <v>18000</v>
      </c>
      <c r="F76" s="750">
        <v>0</v>
      </c>
      <c r="G76" s="750">
        <f t="shared" si="6"/>
        <v>0</v>
      </c>
      <c r="H76" s="751">
        <f t="shared" si="1"/>
        <v>18000</v>
      </c>
      <c r="I76" s="752">
        <f t="shared" ref="I76:I129" si="17">+F76/E76</f>
        <v>0</v>
      </c>
    </row>
    <row r="77" spans="1:9" x14ac:dyDescent="0.3">
      <c r="A77" s="745">
        <v>31601</v>
      </c>
      <c r="B77" s="758" t="s">
        <v>662</v>
      </c>
      <c r="C77" s="749">
        <v>0</v>
      </c>
      <c r="D77" s="748"/>
      <c r="E77" s="749">
        <f t="shared" si="16"/>
        <v>0</v>
      </c>
      <c r="F77" s="750"/>
      <c r="G77" s="750">
        <f t="shared" si="6"/>
        <v>0</v>
      </c>
      <c r="H77" s="751">
        <f t="shared" si="1"/>
        <v>0</v>
      </c>
      <c r="I77" s="752" t="e">
        <f t="shared" si="17"/>
        <v>#DIV/0!</v>
      </c>
    </row>
    <row r="78" spans="1:9" ht="22.5" x14ac:dyDescent="0.3">
      <c r="A78" s="745">
        <v>31701</v>
      </c>
      <c r="B78" s="758" t="s">
        <v>663</v>
      </c>
      <c r="C78" s="749">
        <v>4999.92</v>
      </c>
      <c r="D78" s="748"/>
      <c r="E78" s="749">
        <f t="shared" si="16"/>
        <v>4999.92</v>
      </c>
      <c r="F78" s="750">
        <v>0</v>
      </c>
      <c r="G78" s="750">
        <f t="shared" si="6"/>
        <v>0</v>
      </c>
      <c r="H78" s="751">
        <f t="shared" si="1"/>
        <v>4999.92</v>
      </c>
      <c r="I78" s="752">
        <f t="shared" si="17"/>
        <v>0</v>
      </c>
    </row>
    <row r="79" spans="1:9" x14ac:dyDescent="0.3">
      <c r="A79" s="745">
        <v>31801</v>
      </c>
      <c r="B79" s="758" t="s">
        <v>664</v>
      </c>
      <c r="C79" s="749">
        <v>4649.04</v>
      </c>
      <c r="D79" s="748"/>
      <c r="E79" s="749">
        <f t="shared" si="16"/>
        <v>4649.04</v>
      </c>
      <c r="F79" s="750">
        <v>3352.44</v>
      </c>
      <c r="G79" s="750">
        <f t="shared" si="6"/>
        <v>3352.44</v>
      </c>
      <c r="H79" s="751">
        <f t="shared" si="1"/>
        <v>1296.5999999999999</v>
      </c>
      <c r="I79" s="752">
        <f t="shared" si="17"/>
        <v>0.72110371173403542</v>
      </c>
    </row>
    <row r="80" spans="1:9" x14ac:dyDescent="0.3">
      <c r="A80" s="740">
        <v>3200</v>
      </c>
      <c r="B80" s="760" t="s">
        <v>665</v>
      </c>
      <c r="C80" s="742">
        <f>SUM(C81:C84)</f>
        <v>144999.24</v>
      </c>
      <c r="D80" s="742">
        <f>SUM(D81:D84)</f>
        <v>3352.2</v>
      </c>
      <c r="E80" s="742">
        <f t="shared" si="0"/>
        <v>148351.44</v>
      </c>
      <c r="F80" s="743">
        <f t="shared" ref="F80" si="18">SUM(F81:F84)</f>
        <v>76494.75</v>
      </c>
      <c r="G80" s="743">
        <f>+F80</f>
        <v>76494.75</v>
      </c>
      <c r="H80" s="738">
        <f t="shared" si="1"/>
        <v>71856.69</v>
      </c>
      <c r="I80" s="744">
        <f t="shared" si="17"/>
        <v>0.51563200195427827</v>
      </c>
    </row>
    <row r="81" spans="1:9" x14ac:dyDescent="0.3">
      <c r="A81" s="745">
        <v>32201</v>
      </c>
      <c r="B81" s="758" t="s">
        <v>666</v>
      </c>
      <c r="C81" s="749">
        <v>84999.84</v>
      </c>
      <c r="D81" s="748">
        <v>0</v>
      </c>
      <c r="E81" s="749">
        <f>+C81+D81</f>
        <v>84999.84</v>
      </c>
      <c r="F81" s="750">
        <v>25264.799999999999</v>
      </c>
      <c r="G81" s="750">
        <f t="shared" ref="G81:G84" si="19">+F81</f>
        <v>25264.799999999999</v>
      </c>
      <c r="H81" s="751">
        <f t="shared" ref="H81:H151" si="20">+E81-F81</f>
        <v>59735.039999999994</v>
      </c>
      <c r="I81" s="752">
        <f t="shared" si="17"/>
        <v>0.29723350067482479</v>
      </c>
    </row>
    <row r="82" spans="1:9" ht="22.5" x14ac:dyDescent="0.3">
      <c r="A82" s="745">
        <v>32301</v>
      </c>
      <c r="B82" s="758" t="s">
        <v>667</v>
      </c>
      <c r="C82" s="749">
        <v>52999.8</v>
      </c>
      <c r="D82" s="748">
        <v>0</v>
      </c>
      <c r="E82" s="749">
        <f t="shared" ref="E82:E134" si="21">+C82+D82</f>
        <v>52999.8</v>
      </c>
      <c r="F82" s="750">
        <v>42877.95</v>
      </c>
      <c r="G82" s="750">
        <f t="shared" si="19"/>
        <v>42877.95</v>
      </c>
      <c r="H82" s="751">
        <f t="shared" si="20"/>
        <v>10121.850000000006</v>
      </c>
      <c r="I82" s="752">
        <f t="shared" si="17"/>
        <v>0.80902097743765056</v>
      </c>
    </row>
    <row r="83" spans="1:9" x14ac:dyDescent="0.3">
      <c r="A83" s="745">
        <v>32501</v>
      </c>
      <c r="B83" s="758" t="s">
        <v>668</v>
      </c>
      <c r="C83" s="749">
        <v>4999.8</v>
      </c>
      <c r="D83" s="748">
        <f>+E83-C83</f>
        <v>3352.2</v>
      </c>
      <c r="E83" s="749">
        <v>8352</v>
      </c>
      <c r="F83" s="750">
        <v>8352</v>
      </c>
      <c r="G83" s="750">
        <f t="shared" si="19"/>
        <v>8352</v>
      </c>
      <c r="H83" s="751">
        <f t="shared" si="20"/>
        <v>0</v>
      </c>
      <c r="I83" s="752">
        <f t="shared" si="17"/>
        <v>1</v>
      </c>
    </row>
    <row r="84" spans="1:9" x14ac:dyDescent="0.3">
      <c r="A84" s="745">
        <v>32701</v>
      </c>
      <c r="B84" s="758" t="s">
        <v>669</v>
      </c>
      <c r="C84" s="749">
        <v>1999.8</v>
      </c>
      <c r="D84" s="748">
        <v>0</v>
      </c>
      <c r="E84" s="749">
        <f t="shared" si="21"/>
        <v>1999.8</v>
      </c>
      <c r="F84" s="750"/>
      <c r="G84" s="750">
        <f t="shared" si="19"/>
        <v>0</v>
      </c>
      <c r="H84" s="751">
        <f t="shared" si="20"/>
        <v>1999.8</v>
      </c>
      <c r="I84" s="752">
        <f t="shared" si="17"/>
        <v>0</v>
      </c>
    </row>
    <row r="85" spans="1:9" ht="22.5" x14ac:dyDescent="0.3">
      <c r="A85" s="740">
        <v>3300</v>
      </c>
      <c r="B85" s="760" t="s">
        <v>670</v>
      </c>
      <c r="C85" s="742">
        <f>SUM(C86:C93)</f>
        <v>775199.76</v>
      </c>
      <c r="D85" s="742">
        <f>SUM(D86:D93)</f>
        <v>-53237.48</v>
      </c>
      <c r="E85" s="742">
        <f t="shared" si="21"/>
        <v>721962.28</v>
      </c>
      <c r="F85" s="743">
        <f>SUM(F86:F93)</f>
        <v>351876.56999999995</v>
      </c>
      <c r="G85" s="743">
        <f>+F85</f>
        <v>351876.56999999995</v>
      </c>
      <c r="H85" s="738">
        <f t="shared" si="20"/>
        <v>370085.71000000008</v>
      </c>
      <c r="I85" s="744">
        <f t="shared" si="17"/>
        <v>0.48738913340458717</v>
      </c>
    </row>
    <row r="86" spans="1:9" ht="22.5" x14ac:dyDescent="0.3">
      <c r="A86" s="745">
        <v>33101</v>
      </c>
      <c r="B86" s="758" t="s">
        <v>671</v>
      </c>
      <c r="C86" s="749">
        <v>409999.92</v>
      </c>
      <c r="D86" s="748">
        <f>+E86-C86</f>
        <v>-44734.320000000007</v>
      </c>
      <c r="E86" s="749">
        <v>365265.6</v>
      </c>
      <c r="F86" s="750">
        <v>218808.33</v>
      </c>
      <c r="G86" s="750">
        <f t="shared" ref="G86:G93" si="22">+F86</f>
        <v>218808.33</v>
      </c>
      <c r="H86" s="751">
        <f t="shared" si="20"/>
        <v>146457.26999999999</v>
      </c>
      <c r="I86" s="752">
        <f t="shared" si="17"/>
        <v>0.59903897328409794</v>
      </c>
    </row>
    <row r="87" spans="1:9" ht="22.5" x14ac:dyDescent="0.3">
      <c r="A87" s="745">
        <v>33201</v>
      </c>
      <c r="B87" s="758" t="s">
        <v>672</v>
      </c>
      <c r="C87" s="749">
        <v>24999.84</v>
      </c>
      <c r="D87" s="748">
        <f>+E87-C87</f>
        <v>-12119.2</v>
      </c>
      <c r="E87" s="749">
        <v>12880.64</v>
      </c>
      <c r="F87" s="750"/>
      <c r="G87" s="750">
        <f t="shared" si="22"/>
        <v>0</v>
      </c>
      <c r="H87" s="751">
        <f t="shared" si="20"/>
        <v>12880.64</v>
      </c>
      <c r="I87" s="752">
        <f t="shared" si="17"/>
        <v>0</v>
      </c>
    </row>
    <row r="88" spans="1:9" x14ac:dyDescent="0.3">
      <c r="A88" s="745">
        <v>33301</v>
      </c>
      <c r="B88" s="758" t="s">
        <v>673</v>
      </c>
      <c r="C88" s="749">
        <v>6000</v>
      </c>
      <c r="D88" s="748">
        <v>0</v>
      </c>
      <c r="E88" s="749">
        <f t="shared" si="21"/>
        <v>6000</v>
      </c>
      <c r="F88" s="750"/>
      <c r="G88" s="750">
        <f t="shared" si="22"/>
        <v>0</v>
      </c>
      <c r="H88" s="751">
        <f t="shared" si="20"/>
        <v>6000</v>
      </c>
      <c r="I88" s="752">
        <f t="shared" si="17"/>
        <v>0</v>
      </c>
    </row>
    <row r="89" spans="1:9" x14ac:dyDescent="0.3">
      <c r="A89" s="745">
        <v>33401</v>
      </c>
      <c r="B89" s="758" t="s">
        <v>674</v>
      </c>
      <c r="C89" s="749"/>
      <c r="D89" s="748"/>
      <c r="E89" s="749">
        <f t="shared" si="21"/>
        <v>0</v>
      </c>
      <c r="F89" s="750"/>
      <c r="G89" s="750">
        <f t="shared" si="22"/>
        <v>0</v>
      </c>
      <c r="H89" s="751">
        <f t="shared" si="20"/>
        <v>0</v>
      </c>
      <c r="I89" s="752" t="e">
        <f t="shared" si="17"/>
        <v>#DIV/0!</v>
      </c>
    </row>
    <row r="90" spans="1:9" x14ac:dyDescent="0.3">
      <c r="A90" s="745">
        <v>33501</v>
      </c>
      <c r="B90" s="758" t="s">
        <v>675</v>
      </c>
      <c r="C90" s="749">
        <v>0</v>
      </c>
      <c r="D90" s="748">
        <f>+E90-C90</f>
        <v>5468.24</v>
      </c>
      <c r="E90" s="749">
        <v>5468.24</v>
      </c>
      <c r="F90" s="750">
        <v>5468.24</v>
      </c>
      <c r="G90" s="750">
        <f t="shared" si="22"/>
        <v>5468.24</v>
      </c>
      <c r="H90" s="751"/>
      <c r="I90" s="752"/>
    </row>
    <row r="91" spans="1:9" x14ac:dyDescent="0.3">
      <c r="A91" s="745">
        <v>33603</v>
      </c>
      <c r="B91" s="758" t="s">
        <v>676</v>
      </c>
      <c r="C91" s="749"/>
      <c r="D91" s="748"/>
      <c r="E91" s="749">
        <f t="shared" si="21"/>
        <v>0</v>
      </c>
      <c r="F91" s="750"/>
      <c r="G91" s="750">
        <f t="shared" si="22"/>
        <v>0</v>
      </c>
      <c r="H91" s="751">
        <f t="shared" si="20"/>
        <v>0</v>
      </c>
      <c r="I91" s="752" t="e">
        <f t="shared" si="17"/>
        <v>#DIV/0!</v>
      </c>
    </row>
    <row r="92" spans="1:9" x14ac:dyDescent="0.3">
      <c r="A92" s="745">
        <v>33605</v>
      </c>
      <c r="B92" s="758" t="s">
        <v>677</v>
      </c>
      <c r="C92" s="749">
        <v>30000</v>
      </c>
      <c r="D92" s="748">
        <v>0</v>
      </c>
      <c r="E92" s="749">
        <f t="shared" si="21"/>
        <v>30000</v>
      </c>
      <c r="F92" s="750"/>
      <c r="G92" s="750">
        <f t="shared" si="22"/>
        <v>0</v>
      </c>
      <c r="H92" s="751">
        <f t="shared" si="20"/>
        <v>30000</v>
      </c>
      <c r="I92" s="752">
        <f t="shared" si="17"/>
        <v>0</v>
      </c>
    </row>
    <row r="93" spans="1:9" x14ac:dyDescent="0.3">
      <c r="A93" s="745">
        <v>33801</v>
      </c>
      <c r="B93" s="758" t="s">
        <v>678</v>
      </c>
      <c r="C93" s="749">
        <v>304200</v>
      </c>
      <c r="D93" s="748">
        <v>-1852.2</v>
      </c>
      <c r="E93" s="749">
        <f t="shared" si="21"/>
        <v>302347.8</v>
      </c>
      <c r="F93" s="750">
        <v>127600</v>
      </c>
      <c r="G93" s="750">
        <f t="shared" si="22"/>
        <v>127600</v>
      </c>
      <c r="H93" s="751">
        <f t="shared" si="20"/>
        <v>174747.8</v>
      </c>
      <c r="I93" s="752">
        <f t="shared" si="17"/>
        <v>0.42203052246452599</v>
      </c>
    </row>
    <row r="94" spans="1:9" ht="22.5" x14ac:dyDescent="0.3">
      <c r="A94" s="740">
        <v>3400</v>
      </c>
      <c r="B94" s="760" t="s">
        <v>679</v>
      </c>
      <c r="C94" s="742">
        <f>SUM(C95:C98)</f>
        <v>292999.92</v>
      </c>
      <c r="D94" s="742">
        <f t="shared" ref="D94:F94" si="23">SUM(D95:D98)</f>
        <v>-55994.2</v>
      </c>
      <c r="E94" s="742">
        <f t="shared" si="21"/>
        <v>237005.71999999997</v>
      </c>
      <c r="F94" s="743">
        <f t="shared" si="23"/>
        <v>101883.38</v>
      </c>
      <c r="G94" s="743">
        <f>+F94</f>
        <v>101883.38</v>
      </c>
      <c r="H94" s="738">
        <f t="shared" si="20"/>
        <v>135122.33999999997</v>
      </c>
      <c r="I94" s="744">
        <f t="shared" si="17"/>
        <v>0.42987730422708792</v>
      </c>
    </row>
    <row r="95" spans="1:9" x14ac:dyDescent="0.3">
      <c r="A95" s="745">
        <v>34101</v>
      </c>
      <c r="B95" s="758" t="s">
        <v>680</v>
      </c>
      <c r="C95" s="749">
        <v>69999.960000000006</v>
      </c>
      <c r="D95" s="748">
        <v>0</v>
      </c>
      <c r="E95" s="749">
        <f t="shared" si="21"/>
        <v>69999.960000000006</v>
      </c>
      <c r="F95" s="750">
        <v>66247.259999999995</v>
      </c>
      <c r="G95" s="750">
        <f t="shared" ref="G95:G98" si="24">+F95</f>
        <v>66247.259999999995</v>
      </c>
      <c r="H95" s="751">
        <f t="shared" si="20"/>
        <v>3752.7000000000116</v>
      </c>
      <c r="I95" s="752">
        <f t="shared" si="17"/>
        <v>0.94638996936569664</v>
      </c>
    </row>
    <row r="96" spans="1:9" x14ac:dyDescent="0.3">
      <c r="A96" s="745">
        <v>34501</v>
      </c>
      <c r="B96" s="758" t="s">
        <v>681</v>
      </c>
      <c r="C96" s="749">
        <v>219999.96</v>
      </c>
      <c r="D96" s="748">
        <v>-55994.2</v>
      </c>
      <c r="E96" s="749">
        <v>164005.76000000001</v>
      </c>
      <c r="F96" s="750">
        <v>35636.120000000003</v>
      </c>
      <c r="G96" s="750">
        <f t="shared" si="24"/>
        <v>35636.120000000003</v>
      </c>
      <c r="H96" s="751">
        <f t="shared" si="20"/>
        <v>128369.64000000001</v>
      </c>
      <c r="I96" s="752">
        <f t="shared" si="17"/>
        <v>0.21728578313347044</v>
      </c>
    </row>
    <row r="97" spans="1:9" x14ac:dyDescent="0.3">
      <c r="A97" s="745">
        <v>34701</v>
      </c>
      <c r="B97" s="758" t="s">
        <v>682</v>
      </c>
      <c r="C97" s="749">
        <v>3000</v>
      </c>
      <c r="D97" s="748">
        <v>0</v>
      </c>
      <c r="E97" s="749">
        <f t="shared" si="21"/>
        <v>3000</v>
      </c>
      <c r="F97" s="750"/>
      <c r="G97" s="750">
        <f t="shared" si="24"/>
        <v>0</v>
      </c>
      <c r="H97" s="751">
        <f t="shared" si="20"/>
        <v>3000</v>
      </c>
      <c r="I97" s="752">
        <f t="shared" si="17"/>
        <v>0</v>
      </c>
    </row>
    <row r="98" spans="1:9" x14ac:dyDescent="0.3">
      <c r="A98" s="745">
        <v>34801</v>
      </c>
      <c r="B98" s="758" t="s">
        <v>683</v>
      </c>
      <c r="C98" s="749"/>
      <c r="D98" s="748"/>
      <c r="E98" s="749">
        <f t="shared" si="21"/>
        <v>0</v>
      </c>
      <c r="F98" s="750"/>
      <c r="G98" s="750">
        <f t="shared" si="24"/>
        <v>0</v>
      </c>
      <c r="H98" s="751">
        <f t="shared" si="20"/>
        <v>0</v>
      </c>
      <c r="I98" s="752" t="e">
        <f t="shared" si="17"/>
        <v>#DIV/0!</v>
      </c>
    </row>
    <row r="99" spans="1:9" ht="22.5" x14ac:dyDescent="0.3">
      <c r="A99" s="740">
        <v>3500</v>
      </c>
      <c r="B99" s="760" t="s">
        <v>684</v>
      </c>
      <c r="C99" s="742">
        <f>SUM(C100:C106)</f>
        <v>573386.28</v>
      </c>
      <c r="D99" s="742">
        <f>SUM(D100:D106)</f>
        <v>-143240.56999999998</v>
      </c>
      <c r="E99" s="742">
        <f t="shared" si="21"/>
        <v>430145.71000000008</v>
      </c>
      <c r="F99" s="743">
        <f t="shared" ref="F99" si="25">SUM(F100:F106)</f>
        <v>312022.76</v>
      </c>
      <c r="G99" s="743">
        <f>+F99</f>
        <v>312022.76</v>
      </c>
      <c r="H99" s="738">
        <f t="shared" si="20"/>
        <v>118122.95000000007</v>
      </c>
      <c r="I99" s="744">
        <f t="shared" si="17"/>
        <v>0.72538852009008747</v>
      </c>
    </row>
    <row r="100" spans="1:9" x14ac:dyDescent="0.3">
      <c r="A100" s="745">
        <v>35101</v>
      </c>
      <c r="B100" s="758" t="s">
        <v>685</v>
      </c>
      <c r="C100" s="749">
        <v>139999.92000000001</v>
      </c>
      <c r="D100" s="748">
        <v>-14453.6</v>
      </c>
      <c r="E100" s="749">
        <f>+C100+D100</f>
        <v>125546.32</v>
      </c>
      <c r="F100" s="750">
        <v>112458.23</v>
      </c>
      <c r="G100" s="750">
        <f t="shared" ref="G100:G106" si="26">+F100</f>
        <v>112458.23</v>
      </c>
      <c r="H100" s="751">
        <f t="shared" si="20"/>
        <v>13088.090000000011</v>
      </c>
      <c r="I100" s="752">
        <f t="shared" si="17"/>
        <v>0.89575090691626791</v>
      </c>
    </row>
    <row r="101" spans="1:9" ht="22.5" x14ac:dyDescent="0.3">
      <c r="A101" s="745">
        <v>35201</v>
      </c>
      <c r="B101" s="758" t="s">
        <v>686</v>
      </c>
      <c r="C101" s="749">
        <v>49999.8</v>
      </c>
      <c r="D101" s="748">
        <v>-35951.57</v>
      </c>
      <c r="E101" s="749">
        <f t="shared" ref="E101:E106" si="27">+C101+D101</f>
        <v>14048.230000000003</v>
      </c>
      <c r="F101" s="750">
        <v>13247.2</v>
      </c>
      <c r="G101" s="750">
        <f t="shared" si="26"/>
        <v>13247.2</v>
      </c>
      <c r="H101" s="751">
        <f t="shared" si="20"/>
        <v>801.03000000000247</v>
      </c>
      <c r="I101" s="752">
        <f t="shared" si="17"/>
        <v>0.94298000531027737</v>
      </c>
    </row>
    <row r="102" spans="1:9" x14ac:dyDescent="0.3">
      <c r="A102" s="745">
        <v>35301</v>
      </c>
      <c r="B102" s="758" t="s">
        <v>687</v>
      </c>
      <c r="C102" s="749">
        <v>3999.84</v>
      </c>
      <c r="D102" s="748">
        <v>3326</v>
      </c>
      <c r="E102" s="749">
        <f t="shared" si="27"/>
        <v>7325.84</v>
      </c>
      <c r="F102" s="750">
        <v>3899</v>
      </c>
      <c r="G102" s="750">
        <f t="shared" si="26"/>
        <v>3899</v>
      </c>
      <c r="H102" s="751">
        <f t="shared" si="20"/>
        <v>3426.84</v>
      </c>
      <c r="I102" s="752">
        <f t="shared" si="17"/>
        <v>0.53222565603398375</v>
      </c>
    </row>
    <row r="103" spans="1:9" ht="22.5" x14ac:dyDescent="0.3">
      <c r="A103" s="759">
        <v>35302</v>
      </c>
      <c r="B103" s="765" t="s">
        <v>688</v>
      </c>
      <c r="C103" s="766">
        <v>7999.8</v>
      </c>
      <c r="D103" s="767">
        <v>64477</v>
      </c>
      <c r="E103" s="749">
        <f t="shared" si="27"/>
        <v>72476.800000000003</v>
      </c>
      <c r="F103" s="768">
        <v>72476.800000000003</v>
      </c>
      <c r="G103" s="768">
        <f t="shared" si="26"/>
        <v>72476.800000000003</v>
      </c>
      <c r="H103" s="769">
        <f t="shared" si="20"/>
        <v>0</v>
      </c>
      <c r="I103" s="752">
        <f t="shared" si="17"/>
        <v>1</v>
      </c>
    </row>
    <row r="104" spans="1:9" ht="22.5" x14ac:dyDescent="0.3">
      <c r="A104" s="745">
        <v>35501</v>
      </c>
      <c r="B104" s="758" t="s">
        <v>689</v>
      </c>
      <c r="C104" s="749">
        <v>261387.24</v>
      </c>
      <c r="D104" s="748">
        <v>-132335.66999999998</v>
      </c>
      <c r="E104" s="749">
        <f t="shared" si="27"/>
        <v>129051.57</v>
      </c>
      <c r="F104" s="750">
        <v>71737.52</v>
      </c>
      <c r="G104" s="750">
        <f t="shared" si="26"/>
        <v>71737.52</v>
      </c>
      <c r="H104" s="751">
        <f t="shared" si="20"/>
        <v>57314.05</v>
      </c>
      <c r="I104" s="752">
        <f t="shared" si="17"/>
        <v>0.55588258244359212</v>
      </c>
    </row>
    <row r="105" spans="1:9" ht="22.5" x14ac:dyDescent="0.3">
      <c r="A105" s="745">
        <v>35701</v>
      </c>
      <c r="B105" s="758" t="s">
        <v>690</v>
      </c>
      <c r="C105" s="749">
        <v>79999.679999999993</v>
      </c>
      <c r="D105" s="748">
        <v>-22360.62999999999</v>
      </c>
      <c r="E105" s="749">
        <f t="shared" si="27"/>
        <v>57639.05</v>
      </c>
      <c r="F105" s="750">
        <v>38204.01</v>
      </c>
      <c r="G105" s="750">
        <f t="shared" si="26"/>
        <v>38204.01</v>
      </c>
      <c r="H105" s="751">
        <f t="shared" si="20"/>
        <v>19435.04</v>
      </c>
      <c r="I105" s="752">
        <f t="shared" si="17"/>
        <v>0.66281470634925455</v>
      </c>
    </row>
    <row r="106" spans="1:9" x14ac:dyDescent="0.3">
      <c r="A106" s="745">
        <v>35901</v>
      </c>
      <c r="B106" s="758" t="s">
        <v>691</v>
      </c>
      <c r="C106" s="749">
        <v>30000</v>
      </c>
      <c r="D106" s="748">
        <v>-5942.0999999999985</v>
      </c>
      <c r="E106" s="749">
        <f t="shared" si="27"/>
        <v>24057.9</v>
      </c>
      <c r="F106" s="750"/>
      <c r="G106" s="750">
        <f t="shared" si="26"/>
        <v>0</v>
      </c>
      <c r="H106" s="751">
        <f t="shared" si="20"/>
        <v>24057.9</v>
      </c>
      <c r="I106" s="752">
        <f t="shared" si="17"/>
        <v>0</v>
      </c>
    </row>
    <row r="107" spans="1:9" ht="22.5" x14ac:dyDescent="0.3">
      <c r="A107" s="740">
        <v>3600</v>
      </c>
      <c r="B107" s="760" t="s">
        <v>692</v>
      </c>
      <c r="C107" s="742">
        <f>SUM(C108)</f>
        <v>221000.04</v>
      </c>
      <c r="D107" s="742">
        <f t="shared" ref="D107:F107" si="28">SUM(D108)</f>
        <v>92779.41</v>
      </c>
      <c r="E107" s="742">
        <f t="shared" si="21"/>
        <v>313779.45</v>
      </c>
      <c r="F107" s="743">
        <f t="shared" si="28"/>
        <v>313779.45</v>
      </c>
      <c r="G107" s="743">
        <f>+F107</f>
        <v>313779.45</v>
      </c>
      <c r="H107" s="738">
        <f t="shared" si="20"/>
        <v>0</v>
      </c>
      <c r="I107" s="744">
        <f t="shared" si="17"/>
        <v>1</v>
      </c>
    </row>
    <row r="108" spans="1:9" ht="33.75" x14ac:dyDescent="0.3">
      <c r="A108" s="745">
        <v>36101</v>
      </c>
      <c r="B108" s="758" t="s">
        <v>693</v>
      </c>
      <c r="C108" s="749">
        <v>221000.04</v>
      </c>
      <c r="D108" s="748">
        <v>92779.41</v>
      </c>
      <c r="E108" s="749">
        <f>+C108+D108</f>
        <v>313779.45</v>
      </c>
      <c r="F108" s="750">
        <v>313779.45</v>
      </c>
      <c r="G108" s="750">
        <f t="shared" ref="G108" si="29">+F108</f>
        <v>313779.45</v>
      </c>
      <c r="H108" s="751">
        <f t="shared" si="20"/>
        <v>0</v>
      </c>
      <c r="I108" s="752">
        <f t="shared" si="17"/>
        <v>1</v>
      </c>
    </row>
    <row r="109" spans="1:9" x14ac:dyDescent="0.3">
      <c r="A109" s="740">
        <v>3700</v>
      </c>
      <c r="B109" s="760" t="s">
        <v>694</v>
      </c>
      <c r="C109" s="742">
        <f>SUM(C110:C114)</f>
        <v>800799.05</v>
      </c>
      <c r="D109" s="742">
        <f>SUM(D110:D114)</f>
        <v>-64905</v>
      </c>
      <c r="E109" s="742">
        <f t="shared" si="21"/>
        <v>735894.05</v>
      </c>
      <c r="F109" s="743">
        <f t="shared" ref="F109" si="30">SUM(F110:F114)</f>
        <v>177041</v>
      </c>
      <c r="G109" s="743">
        <f>+F109</f>
        <v>177041</v>
      </c>
      <c r="H109" s="738">
        <f t="shared" si="20"/>
        <v>558853.05000000005</v>
      </c>
      <c r="I109" s="744">
        <f t="shared" si="17"/>
        <v>0.24057946928637347</v>
      </c>
    </row>
    <row r="110" spans="1:9" x14ac:dyDescent="0.3">
      <c r="A110" s="745">
        <v>37101</v>
      </c>
      <c r="B110" s="758" t="s">
        <v>695</v>
      </c>
      <c r="C110" s="749">
        <v>32400</v>
      </c>
      <c r="D110" s="748">
        <v>-8039</v>
      </c>
      <c r="E110" s="749">
        <f>+C110+D110</f>
        <v>24361</v>
      </c>
      <c r="F110" s="750">
        <v>5961</v>
      </c>
      <c r="G110" s="750">
        <f t="shared" ref="G110:G114" si="31">+F110</f>
        <v>5961</v>
      </c>
      <c r="H110" s="751">
        <f t="shared" si="20"/>
        <v>18400</v>
      </c>
      <c r="I110" s="752">
        <f t="shared" si="17"/>
        <v>0.24469438857189771</v>
      </c>
    </row>
    <row r="111" spans="1:9" x14ac:dyDescent="0.3">
      <c r="A111" s="745">
        <v>37201</v>
      </c>
      <c r="B111" s="758" t="s">
        <v>696</v>
      </c>
      <c r="C111" s="749">
        <v>4999.8</v>
      </c>
      <c r="D111" s="748">
        <v>-885</v>
      </c>
      <c r="E111" s="749">
        <f t="shared" ref="E111:E114" si="32">+C111+D111</f>
        <v>4114.8</v>
      </c>
      <c r="F111" s="750">
        <v>0</v>
      </c>
      <c r="G111" s="750">
        <f t="shared" si="31"/>
        <v>0</v>
      </c>
      <c r="H111" s="751">
        <f t="shared" si="20"/>
        <v>4114.8</v>
      </c>
      <c r="I111" s="752">
        <f t="shared" si="17"/>
        <v>0</v>
      </c>
    </row>
    <row r="112" spans="1:9" x14ac:dyDescent="0.3">
      <c r="A112" s="745">
        <v>37501</v>
      </c>
      <c r="B112" s="758" t="s">
        <v>697</v>
      </c>
      <c r="C112" s="749">
        <v>669999.96</v>
      </c>
      <c r="D112" s="748">
        <v>-61301</v>
      </c>
      <c r="E112" s="749">
        <f t="shared" si="32"/>
        <v>608698.96</v>
      </c>
      <c r="F112" s="750">
        <v>145265</v>
      </c>
      <c r="G112" s="750">
        <f t="shared" si="31"/>
        <v>145265</v>
      </c>
      <c r="H112" s="751">
        <f t="shared" si="20"/>
        <v>463433.95999999996</v>
      </c>
      <c r="I112" s="752">
        <f t="shared" si="17"/>
        <v>0.2386483459738456</v>
      </c>
    </row>
    <row r="113" spans="1:9" x14ac:dyDescent="0.3">
      <c r="A113" s="745">
        <v>37502</v>
      </c>
      <c r="B113" s="758" t="s">
        <v>698</v>
      </c>
      <c r="C113" s="749">
        <v>80999.759999999995</v>
      </c>
      <c r="D113" s="748">
        <v>0</v>
      </c>
      <c r="E113" s="749">
        <f t="shared" si="32"/>
        <v>80999.759999999995</v>
      </c>
      <c r="F113" s="750">
        <v>22700</v>
      </c>
      <c r="G113" s="750">
        <f t="shared" si="31"/>
        <v>22700</v>
      </c>
      <c r="H113" s="751">
        <f t="shared" si="20"/>
        <v>58299.759999999995</v>
      </c>
      <c r="I113" s="752">
        <f t="shared" si="17"/>
        <v>0.2802477439439327</v>
      </c>
    </row>
    <row r="114" spans="1:9" x14ac:dyDescent="0.3">
      <c r="A114" s="745">
        <v>37901</v>
      </c>
      <c r="B114" s="758" t="s">
        <v>699</v>
      </c>
      <c r="C114" s="749">
        <v>12399.53</v>
      </c>
      <c r="D114" s="748">
        <v>5319.9999999999982</v>
      </c>
      <c r="E114" s="749">
        <f t="shared" si="32"/>
        <v>17719.53</v>
      </c>
      <c r="F114" s="750">
        <v>3115</v>
      </c>
      <c r="G114" s="750">
        <f t="shared" si="31"/>
        <v>3115</v>
      </c>
      <c r="H114" s="751">
        <f t="shared" si="20"/>
        <v>14604.529999999999</v>
      </c>
      <c r="I114" s="752">
        <f t="shared" si="17"/>
        <v>0.17579473044713942</v>
      </c>
    </row>
    <row r="115" spans="1:9" x14ac:dyDescent="0.3">
      <c r="A115" s="740">
        <v>3800</v>
      </c>
      <c r="B115" s="760" t="s">
        <v>700</v>
      </c>
      <c r="C115" s="742">
        <f>SUM(C116:C117)</f>
        <v>104000.04</v>
      </c>
      <c r="D115" s="742">
        <f>SUM(D116:D117)</f>
        <v>0</v>
      </c>
      <c r="E115" s="742">
        <f t="shared" si="21"/>
        <v>104000.04</v>
      </c>
      <c r="F115" s="743">
        <f t="shared" ref="F115" si="33">SUM(F116:F117)</f>
        <v>6960</v>
      </c>
      <c r="G115" s="743">
        <f>+F115</f>
        <v>6960</v>
      </c>
      <c r="H115" s="738">
        <f t="shared" si="20"/>
        <v>97040.04</v>
      </c>
      <c r="I115" s="744">
        <f t="shared" si="17"/>
        <v>6.6923051183441856E-2</v>
      </c>
    </row>
    <row r="116" spans="1:9" x14ac:dyDescent="0.3">
      <c r="A116" s="745">
        <v>38101</v>
      </c>
      <c r="B116" s="758" t="s">
        <v>701</v>
      </c>
      <c r="C116" s="749">
        <v>86000.04</v>
      </c>
      <c r="D116" s="748"/>
      <c r="E116" s="749">
        <f t="shared" si="21"/>
        <v>86000.04</v>
      </c>
      <c r="F116" s="750">
        <v>6960</v>
      </c>
      <c r="G116" s="750">
        <f t="shared" ref="G116:G117" si="34">+F116</f>
        <v>6960</v>
      </c>
      <c r="H116" s="751">
        <f t="shared" si="20"/>
        <v>79040.039999999994</v>
      </c>
      <c r="I116" s="752">
        <f t="shared" si="17"/>
        <v>8.0930194916188414E-2</v>
      </c>
    </row>
    <row r="117" spans="1:9" x14ac:dyDescent="0.3">
      <c r="A117" s="745">
        <v>38301</v>
      </c>
      <c r="B117" s="758" t="s">
        <v>702</v>
      </c>
      <c r="C117" s="749">
        <v>18000</v>
      </c>
      <c r="D117" s="748"/>
      <c r="E117" s="749">
        <f t="shared" si="21"/>
        <v>18000</v>
      </c>
      <c r="F117" s="750"/>
      <c r="G117" s="750">
        <f t="shared" si="34"/>
        <v>0</v>
      </c>
      <c r="H117" s="751">
        <f t="shared" si="20"/>
        <v>18000</v>
      </c>
      <c r="I117" s="752">
        <f t="shared" si="17"/>
        <v>0</v>
      </c>
    </row>
    <row r="118" spans="1:9" x14ac:dyDescent="0.3">
      <c r="A118" s="740">
        <v>3900</v>
      </c>
      <c r="B118" s="760" t="s">
        <v>703</v>
      </c>
      <c r="C118" s="742">
        <f>SUM(C119:C121)</f>
        <v>0</v>
      </c>
      <c r="D118" s="742">
        <f>SUM(D119:D121)</f>
        <v>4819</v>
      </c>
      <c r="E118" s="742">
        <f>+E119+E121</f>
        <v>4819</v>
      </c>
      <c r="F118" s="743">
        <f t="shared" ref="F118" si="35">SUM(F119:F121)</f>
        <v>4819</v>
      </c>
      <c r="G118" s="743">
        <f>+F118</f>
        <v>4819</v>
      </c>
      <c r="H118" s="738">
        <f t="shared" si="20"/>
        <v>0</v>
      </c>
      <c r="I118" s="744">
        <f t="shared" si="17"/>
        <v>1</v>
      </c>
    </row>
    <row r="119" spans="1:9" x14ac:dyDescent="0.3">
      <c r="A119" s="745">
        <v>39201</v>
      </c>
      <c r="B119" s="758" t="s">
        <v>704</v>
      </c>
      <c r="C119" s="749"/>
      <c r="D119" s="748"/>
      <c r="E119" s="749">
        <f>+C119+D119</f>
        <v>0</v>
      </c>
      <c r="F119" s="750"/>
      <c r="G119" s="750">
        <f t="shared" ref="G119:G121" si="36">+F119</f>
        <v>0</v>
      </c>
      <c r="H119" s="751">
        <f t="shared" si="20"/>
        <v>0</v>
      </c>
      <c r="I119" s="752" t="e">
        <f t="shared" si="17"/>
        <v>#DIV/0!</v>
      </c>
    </row>
    <row r="120" spans="1:9" x14ac:dyDescent="0.3">
      <c r="A120" s="745">
        <v>39101</v>
      </c>
      <c r="B120" s="758" t="s">
        <v>705</v>
      </c>
      <c r="C120" s="749"/>
      <c r="D120" s="748"/>
      <c r="E120" s="749">
        <f t="shared" ref="E120" si="37">+C120+D120</f>
        <v>0</v>
      </c>
      <c r="F120" s="750"/>
      <c r="G120" s="750">
        <f t="shared" si="36"/>
        <v>0</v>
      </c>
      <c r="H120" s="751">
        <f t="shared" si="20"/>
        <v>0</v>
      </c>
      <c r="I120" s="752" t="e">
        <f t="shared" si="17"/>
        <v>#DIV/0!</v>
      </c>
    </row>
    <row r="121" spans="1:9" x14ac:dyDescent="0.3">
      <c r="A121" s="745">
        <v>39501</v>
      </c>
      <c r="B121" s="758" t="s">
        <v>706</v>
      </c>
      <c r="C121" s="749"/>
      <c r="D121" s="748">
        <v>4819</v>
      </c>
      <c r="E121" s="749">
        <f>+C121+D121</f>
        <v>4819</v>
      </c>
      <c r="F121" s="750">
        <v>4819</v>
      </c>
      <c r="G121" s="750">
        <f t="shared" si="36"/>
        <v>4819</v>
      </c>
      <c r="H121" s="751">
        <f t="shared" si="20"/>
        <v>0</v>
      </c>
      <c r="I121" s="752">
        <f t="shared" si="17"/>
        <v>1</v>
      </c>
    </row>
    <row r="122" spans="1:9" x14ac:dyDescent="0.3">
      <c r="A122" s="740">
        <v>5000</v>
      </c>
      <c r="B122" s="760" t="s">
        <v>707</v>
      </c>
      <c r="C122" s="742">
        <f>+C123+C127</f>
        <v>0</v>
      </c>
      <c r="D122" s="742">
        <f>+D123+D127+D129</f>
        <v>1050137.72</v>
      </c>
      <c r="E122" s="742">
        <f t="shared" si="21"/>
        <v>1050137.72</v>
      </c>
      <c r="F122" s="742">
        <f t="shared" ref="F122:G122" si="38">+F123+F127+F129</f>
        <v>1049034.72</v>
      </c>
      <c r="G122" s="742">
        <f t="shared" si="38"/>
        <v>1049034.72</v>
      </c>
      <c r="H122" s="738">
        <f t="shared" si="20"/>
        <v>1103</v>
      </c>
      <c r="I122" s="744">
        <f t="shared" si="17"/>
        <v>0.99894966157391241</v>
      </c>
    </row>
    <row r="123" spans="1:9" x14ac:dyDescent="0.3">
      <c r="A123" s="740">
        <v>5100</v>
      </c>
      <c r="B123" s="760" t="s">
        <v>708</v>
      </c>
      <c r="C123" s="742">
        <f>SUM(C124:C126)</f>
        <v>0</v>
      </c>
      <c r="D123" s="742">
        <f>SUM(D124:D126)</f>
        <v>94436.73000000001</v>
      </c>
      <c r="E123" s="742">
        <f t="shared" si="21"/>
        <v>94436.73000000001</v>
      </c>
      <c r="F123" s="742">
        <f>+F124+F125+F126</f>
        <v>93334.73000000001</v>
      </c>
      <c r="G123" s="743">
        <f t="shared" ref="G123:G126" si="39">+F123</f>
        <v>93334.73000000001</v>
      </c>
      <c r="H123" s="738">
        <f t="shared" si="20"/>
        <v>1102</v>
      </c>
      <c r="I123" s="744">
        <f t="shared" si="17"/>
        <v>0.98833081153911195</v>
      </c>
    </row>
    <row r="124" spans="1:9" x14ac:dyDescent="0.3">
      <c r="A124" s="745">
        <v>51101</v>
      </c>
      <c r="B124" s="758" t="s">
        <v>709</v>
      </c>
      <c r="C124" s="749"/>
      <c r="D124" s="748">
        <v>81501.600000000006</v>
      </c>
      <c r="E124" s="749">
        <f>+C124+D124</f>
        <v>81501.600000000006</v>
      </c>
      <c r="F124" s="750">
        <v>80399.600000000006</v>
      </c>
      <c r="G124" s="750">
        <f t="shared" si="39"/>
        <v>80399.600000000006</v>
      </c>
      <c r="H124" s="751">
        <f t="shared" si="20"/>
        <v>1102</v>
      </c>
      <c r="I124" s="752">
        <f t="shared" si="17"/>
        <v>0.98647879305436947</v>
      </c>
    </row>
    <row r="125" spans="1:9" x14ac:dyDescent="0.3">
      <c r="A125" s="745">
        <v>51501</v>
      </c>
      <c r="B125" s="758" t="s">
        <v>710</v>
      </c>
      <c r="C125" s="749"/>
      <c r="D125" s="748">
        <v>12935.13</v>
      </c>
      <c r="E125" s="749">
        <f>+C125+D125</f>
        <v>12935.13</v>
      </c>
      <c r="F125" s="750">
        <v>12935.13</v>
      </c>
      <c r="G125" s="750">
        <f t="shared" si="39"/>
        <v>12935.13</v>
      </c>
      <c r="H125" s="751">
        <f t="shared" si="20"/>
        <v>0</v>
      </c>
      <c r="I125" s="752">
        <f t="shared" si="17"/>
        <v>1</v>
      </c>
    </row>
    <row r="126" spans="1:9" x14ac:dyDescent="0.3">
      <c r="A126" s="745">
        <v>51901</v>
      </c>
      <c r="B126" s="758" t="s">
        <v>711</v>
      </c>
      <c r="C126" s="749"/>
      <c r="D126" s="748"/>
      <c r="E126" s="749">
        <f t="shared" si="21"/>
        <v>0</v>
      </c>
      <c r="F126" s="750"/>
      <c r="G126" s="750">
        <f t="shared" si="39"/>
        <v>0</v>
      </c>
      <c r="H126" s="751">
        <f t="shared" si="20"/>
        <v>0</v>
      </c>
      <c r="I126" s="752" t="e">
        <f t="shared" si="17"/>
        <v>#DIV/0!</v>
      </c>
    </row>
    <row r="127" spans="1:9" x14ac:dyDescent="0.3">
      <c r="A127" s="740">
        <v>5400</v>
      </c>
      <c r="B127" s="760" t="s">
        <v>712</v>
      </c>
      <c r="C127" s="742">
        <f>SUM(C128:C128)</f>
        <v>0</v>
      </c>
      <c r="D127" s="742">
        <f>SUM(D128:D128)</f>
        <v>936901</v>
      </c>
      <c r="E127" s="742">
        <f t="shared" si="21"/>
        <v>936901</v>
      </c>
      <c r="F127" s="743">
        <f t="shared" ref="F127:F129" si="40">SUM(F128:F128)</f>
        <v>936900</v>
      </c>
      <c r="G127" s="743">
        <f>+F127</f>
        <v>936900</v>
      </c>
      <c r="H127" s="770">
        <f t="shared" si="20"/>
        <v>1</v>
      </c>
      <c r="I127" s="744">
        <f t="shared" si="17"/>
        <v>0.99999893265136874</v>
      </c>
    </row>
    <row r="128" spans="1:9" x14ac:dyDescent="0.3">
      <c r="A128" s="745">
        <v>54101</v>
      </c>
      <c r="B128" s="758" t="s">
        <v>713</v>
      </c>
      <c r="C128" s="749"/>
      <c r="D128" s="748">
        <v>936901</v>
      </c>
      <c r="E128" s="749">
        <f>+C128+D128</f>
        <v>936901</v>
      </c>
      <c r="F128" s="771">
        <v>936900</v>
      </c>
      <c r="G128" s="750">
        <f t="shared" ref="G128" si="41">+F128</f>
        <v>936900</v>
      </c>
      <c r="H128" s="751">
        <f t="shared" si="20"/>
        <v>1</v>
      </c>
      <c r="I128" s="752">
        <f t="shared" si="17"/>
        <v>0.99999893265136874</v>
      </c>
    </row>
    <row r="129" spans="1:9" ht="22.5" x14ac:dyDescent="0.3">
      <c r="A129" s="740">
        <v>5600</v>
      </c>
      <c r="B129" s="760" t="s">
        <v>714</v>
      </c>
      <c r="C129" s="742">
        <f>SUM(C130:C130)</f>
        <v>0</v>
      </c>
      <c r="D129" s="742">
        <f>SUM(D130:D130)</f>
        <v>18799.990000000002</v>
      </c>
      <c r="E129" s="742">
        <f t="shared" ref="E129" si="42">+C129+D129</f>
        <v>18799.990000000002</v>
      </c>
      <c r="F129" s="743">
        <f t="shared" si="40"/>
        <v>18799.990000000002</v>
      </c>
      <c r="G129" s="743">
        <f>+F129</f>
        <v>18799.990000000002</v>
      </c>
      <c r="H129" s="770">
        <f t="shared" si="20"/>
        <v>0</v>
      </c>
      <c r="I129" s="744">
        <f t="shared" si="17"/>
        <v>1</v>
      </c>
    </row>
    <row r="130" spans="1:9" x14ac:dyDescent="0.3">
      <c r="A130" s="745">
        <v>56401</v>
      </c>
      <c r="B130" s="758" t="s">
        <v>715</v>
      </c>
      <c r="C130" s="749">
        <v>0</v>
      </c>
      <c r="D130" s="748">
        <v>18799.990000000002</v>
      </c>
      <c r="E130" s="749">
        <f>+C130+D130</f>
        <v>18799.990000000002</v>
      </c>
      <c r="F130" s="771">
        <v>18799.990000000002</v>
      </c>
      <c r="G130" s="750"/>
      <c r="H130" s="751"/>
      <c r="I130" s="752"/>
    </row>
    <row r="131" spans="1:9" x14ac:dyDescent="0.3">
      <c r="A131" s="745"/>
      <c r="B131" s="758"/>
      <c r="C131" s="749"/>
      <c r="D131" s="748"/>
      <c r="E131" s="749"/>
      <c r="F131" s="771"/>
      <c r="G131" s="750"/>
      <c r="H131" s="751"/>
      <c r="I131" s="752"/>
    </row>
    <row r="132" spans="1:9" x14ac:dyDescent="0.3">
      <c r="A132" s="740">
        <v>6000</v>
      </c>
      <c r="B132" s="760" t="s">
        <v>716</v>
      </c>
      <c r="C132" s="742">
        <f>+C133+C135+C145+C148+C156+C165+C167</f>
        <v>333334145</v>
      </c>
      <c r="D132" s="742">
        <f>+D135+D145+D148</f>
        <v>282877171.90999997</v>
      </c>
      <c r="E132" s="742">
        <f t="shared" si="21"/>
        <v>616211316.90999997</v>
      </c>
      <c r="F132" s="743">
        <f>+F133+F135+F145+F148+F156+F165+F167</f>
        <v>52974648.479999997</v>
      </c>
      <c r="G132" s="743">
        <f t="shared" ref="G132:G134" si="43">+F132</f>
        <v>52974648.479999997</v>
      </c>
      <c r="H132" s="738">
        <f t="shared" si="20"/>
        <v>563236668.42999995</v>
      </c>
      <c r="I132" s="744">
        <f t="shared" ref="I132:I168" si="44">+F132/E132</f>
        <v>8.5968314807397722E-2</v>
      </c>
    </row>
    <row r="133" spans="1:9" x14ac:dyDescent="0.3">
      <c r="A133" s="757">
        <v>611</v>
      </c>
      <c r="B133" s="760" t="s">
        <v>717</v>
      </c>
      <c r="C133" s="742">
        <f>SUM(C134)</f>
        <v>0</v>
      </c>
      <c r="D133" s="742">
        <f t="shared" ref="D133:F133" si="45">SUM(D134)</f>
        <v>0</v>
      </c>
      <c r="E133" s="742">
        <f t="shared" si="21"/>
        <v>0</v>
      </c>
      <c r="F133" s="743">
        <f t="shared" si="45"/>
        <v>0</v>
      </c>
      <c r="G133" s="743">
        <f t="shared" si="43"/>
        <v>0</v>
      </c>
      <c r="H133" s="738">
        <f t="shared" si="20"/>
        <v>0</v>
      </c>
      <c r="I133" s="744" t="e">
        <f t="shared" si="44"/>
        <v>#DIV/0!</v>
      </c>
    </row>
    <row r="134" spans="1:9" x14ac:dyDescent="0.3">
      <c r="A134" s="746">
        <v>61102</v>
      </c>
      <c r="B134" s="772" t="s">
        <v>718</v>
      </c>
      <c r="C134" s="749"/>
      <c r="D134" s="748"/>
      <c r="E134" s="749">
        <f t="shared" si="21"/>
        <v>0</v>
      </c>
      <c r="F134" s="756"/>
      <c r="G134" s="750">
        <f t="shared" si="43"/>
        <v>0</v>
      </c>
      <c r="H134" s="751">
        <f t="shared" si="20"/>
        <v>0</v>
      </c>
      <c r="I134" s="752" t="e">
        <f t="shared" si="44"/>
        <v>#DIV/0!</v>
      </c>
    </row>
    <row r="135" spans="1:9" x14ac:dyDescent="0.3">
      <c r="A135" s="757">
        <v>612</v>
      </c>
      <c r="B135" s="760" t="s">
        <v>719</v>
      </c>
      <c r="C135" s="742">
        <f t="shared" ref="C135:D135" si="46">SUM(C136:C144)</f>
        <v>0</v>
      </c>
      <c r="D135" s="742">
        <f t="shared" si="46"/>
        <v>279300750.99999994</v>
      </c>
      <c r="E135" s="742">
        <f>+C135+D135</f>
        <v>279300750.99999994</v>
      </c>
      <c r="F135" s="743">
        <f>SUM(F136:F144)</f>
        <v>0</v>
      </c>
      <c r="G135" s="743">
        <f>+F135</f>
        <v>0</v>
      </c>
      <c r="H135" s="738">
        <f t="shared" si="20"/>
        <v>279300750.99999994</v>
      </c>
      <c r="I135" s="744">
        <f t="shared" si="44"/>
        <v>0</v>
      </c>
    </row>
    <row r="136" spans="1:9" x14ac:dyDescent="0.3">
      <c r="A136" s="746">
        <v>61201</v>
      </c>
      <c r="B136" s="758" t="s">
        <v>720</v>
      </c>
      <c r="C136" s="749">
        <v>0</v>
      </c>
      <c r="D136" s="749">
        <v>476254.66</v>
      </c>
      <c r="E136" s="749">
        <f>+C136+D136</f>
        <v>476254.66</v>
      </c>
      <c r="F136" s="750"/>
      <c r="G136" s="750">
        <f t="shared" ref="G136:G144" si="47">+F136</f>
        <v>0</v>
      </c>
      <c r="H136" s="751">
        <f t="shared" si="20"/>
        <v>476254.66</v>
      </c>
      <c r="I136" s="752">
        <f t="shared" si="44"/>
        <v>0</v>
      </c>
    </row>
    <row r="137" spans="1:9" x14ac:dyDescent="0.3">
      <c r="A137" s="746">
        <v>61203</v>
      </c>
      <c r="B137" s="772" t="s">
        <v>721</v>
      </c>
      <c r="C137" s="749">
        <v>0</v>
      </c>
      <c r="D137" s="749">
        <v>965873.6</v>
      </c>
      <c r="E137" s="749">
        <f t="shared" ref="E137:E145" si="48">+C137+D137</f>
        <v>965873.6</v>
      </c>
      <c r="F137" s="750"/>
      <c r="G137" s="750">
        <f t="shared" si="47"/>
        <v>0</v>
      </c>
      <c r="H137" s="751">
        <f t="shared" si="20"/>
        <v>965873.6</v>
      </c>
      <c r="I137" s="752">
        <f t="shared" si="44"/>
        <v>0</v>
      </c>
    </row>
    <row r="138" spans="1:9" ht="45" x14ac:dyDescent="0.3">
      <c r="A138" s="746">
        <v>61211</v>
      </c>
      <c r="B138" s="772" t="s">
        <v>722</v>
      </c>
      <c r="C138" s="749">
        <v>0</v>
      </c>
      <c r="D138" s="749">
        <v>56874768.280000001</v>
      </c>
      <c r="E138" s="749">
        <f t="shared" si="48"/>
        <v>56874768.280000001</v>
      </c>
      <c r="F138" s="750"/>
      <c r="G138" s="750">
        <f t="shared" si="47"/>
        <v>0</v>
      </c>
      <c r="H138" s="751">
        <f t="shared" si="20"/>
        <v>56874768.280000001</v>
      </c>
      <c r="I138" s="752">
        <f t="shared" si="44"/>
        <v>0</v>
      </c>
    </row>
    <row r="139" spans="1:9" ht="22.5" x14ac:dyDescent="0.3">
      <c r="A139" s="746">
        <v>61212</v>
      </c>
      <c r="B139" s="772" t="s">
        <v>723</v>
      </c>
      <c r="C139" s="749">
        <v>0</v>
      </c>
      <c r="D139" s="749">
        <v>1148899</v>
      </c>
      <c r="E139" s="749">
        <f t="shared" si="48"/>
        <v>1148899</v>
      </c>
      <c r="F139" s="750"/>
      <c r="G139" s="750"/>
      <c r="H139" s="751">
        <f t="shared" si="20"/>
        <v>1148899</v>
      </c>
      <c r="I139" s="752">
        <f t="shared" si="44"/>
        <v>0</v>
      </c>
    </row>
    <row r="140" spans="1:9" ht="22.5" x14ac:dyDescent="0.3">
      <c r="A140" s="746">
        <v>61213</v>
      </c>
      <c r="B140" s="772" t="s">
        <v>724</v>
      </c>
      <c r="C140" s="749">
        <v>0</v>
      </c>
      <c r="D140" s="749">
        <v>55738060</v>
      </c>
      <c r="E140" s="749">
        <f t="shared" si="48"/>
        <v>55738060</v>
      </c>
      <c r="F140" s="750"/>
      <c r="G140" s="750"/>
      <c r="H140" s="751">
        <f t="shared" si="20"/>
        <v>55738060</v>
      </c>
      <c r="I140" s="752">
        <f t="shared" si="44"/>
        <v>0</v>
      </c>
    </row>
    <row r="141" spans="1:9" ht="22.5" x14ac:dyDescent="0.3">
      <c r="A141" s="746">
        <v>61214</v>
      </c>
      <c r="B141" s="772" t="s">
        <v>725</v>
      </c>
      <c r="C141" s="749">
        <v>0</v>
      </c>
      <c r="D141" s="749">
        <v>106253716</v>
      </c>
      <c r="E141" s="749">
        <f t="shared" si="48"/>
        <v>106253716</v>
      </c>
      <c r="F141" s="750"/>
      <c r="G141" s="750">
        <f t="shared" si="47"/>
        <v>0</v>
      </c>
      <c r="H141" s="751">
        <f t="shared" si="20"/>
        <v>106253716</v>
      </c>
      <c r="I141" s="752">
        <f t="shared" si="44"/>
        <v>0</v>
      </c>
    </row>
    <row r="142" spans="1:9" ht="22.5" x14ac:dyDescent="0.3">
      <c r="A142" s="746">
        <v>61215</v>
      </c>
      <c r="B142" s="772" t="s">
        <v>726</v>
      </c>
      <c r="C142" s="749">
        <v>0</v>
      </c>
      <c r="D142" s="749">
        <v>41335448</v>
      </c>
      <c r="E142" s="749">
        <f t="shared" si="48"/>
        <v>41335448</v>
      </c>
      <c r="F142" s="750"/>
      <c r="G142" s="750">
        <f t="shared" si="47"/>
        <v>0</v>
      </c>
      <c r="H142" s="751">
        <f t="shared" si="20"/>
        <v>41335448</v>
      </c>
      <c r="I142" s="752">
        <f t="shared" si="44"/>
        <v>0</v>
      </c>
    </row>
    <row r="143" spans="1:9" ht="22.5" x14ac:dyDescent="0.3">
      <c r="A143" s="746">
        <v>61218</v>
      </c>
      <c r="B143" s="772" t="s">
        <v>727</v>
      </c>
      <c r="C143" s="749">
        <v>0</v>
      </c>
      <c r="D143" s="749">
        <v>9634910</v>
      </c>
      <c r="E143" s="749">
        <f t="shared" si="48"/>
        <v>9634910</v>
      </c>
      <c r="F143" s="750"/>
      <c r="G143" s="750"/>
      <c r="H143" s="751">
        <f t="shared" si="20"/>
        <v>9634910</v>
      </c>
      <c r="I143" s="752">
        <f t="shared" si="44"/>
        <v>0</v>
      </c>
    </row>
    <row r="144" spans="1:9" ht="22.5" x14ac:dyDescent="0.3">
      <c r="A144" s="746">
        <v>61222</v>
      </c>
      <c r="B144" s="772" t="s">
        <v>728</v>
      </c>
      <c r="C144" s="749">
        <v>0</v>
      </c>
      <c r="D144" s="749">
        <v>6872821.46</v>
      </c>
      <c r="E144" s="749">
        <f t="shared" si="48"/>
        <v>6872821.46</v>
      </c>
      <c r="F144" s="750"/>
      <c r="G144" s="750">
        <f t="shared" si="47"/>
        <v>0</v>
      </c>
      <c r="H144" s="751">
        <f t="shared" si="20"/>
        <v>6872821.46</v>
      </c>
      <c r="I144" s="752">
        <f t="shared" si="44"/>
        <v>0</v>
      </c>
    </row>
    <row r="145" spans="1:9" ht="33.75" x14ac:dyDescent="0.3">
      <c r="A145" s="757">
        <v>613</v>
      </c>
      <c r="B145" s="760" t="s">
        <v>729</v>
      </c>
      <c r="C145" s="742">
        <f>SUM(C146:C147)</f>
        <v>0</v>
      </c>
      <c r="D145" s="742">
        <f>SUM(D146:D147)</f>
        <v>0</v>
      </c>
      <c r="E145" s="742">
        <f t="shared" si="48"/>
        <v>0</v>
      </c>
      <c r="F145" s="743">
        <f t="shared" ref="F145" si="49">SUM(F146)</f>
        <v>0</v>
      </c>
      <c r="G145" s="743">
        <f>+F145</f>
        <v>0</v>
      </c>
      <c r="H145" s="738">
        <f t="shared" si="20"/>
        <v>0</v>
      </c>
      <c r="I145" s="744" t="e">
        <f t="shared" si="44"/>
        <v>#DIV/0!</v>
      </c>
    </row>
    <row r="146" spans="1:9" ht="22.5" x14ac:dyDescent="0.3">
      <c r="A146" s="746">
        <v>61311</v>
      </c>
      <c r="B146" s="772" t="s">
        <v>730</v>
      </c>
      <c r="C146" s="749"/>
      <c r="D146" s="748"/>
      <c r="E146" s="749"/>
      <c r="F146" s="750"/>
      <c r="G146" s="750">
        <f t="shared" ref="G146:G147" si="50">+F146</f>
        <v>0</v>
      </c>
      <c r="H146" s="751">
        <f t="shared" si="20"/>
        <v>0</v>
      </c>
      <c r="I146" s="752" t="e">
        <f t="shared" si="44"/>
        <v>#DIV/0!</v>
      </c>
    </row>
    <row r="147" spans="1:9" x14ac:dyDescent="0.3">
      <c r="A147" s="746">
        <v>61313</v>
      </c>
      <c r="B147" s="772" t="s">
        <v>731</v>
      </c>
      <c r="C147" s="749"/>
      <c r="D147" s="748"/>
      <c r="E147" s="749"/>
      <c r="F147" s="750"/>
      <c r="G147" s="750">
        <f t="shared" si="50"/>
        <v>0</v>
      </c>
      <c r="H147" s="751">
        <f t="shared" si="20"/>
        <v>0</v>
      </c>
      <c r="I147" s="752" t="e">
        <f t="shared" si="44"/>
        <v>#DIV/0!</v>
      </c>
    </row>
    <row r="148" spans="1:9" ht="22.5" x14ac:dyDescent="0.3">
      <c r="A148" s="757">
        <v>614</v>
      </c>
      <c r="B148" s="760" t="s">
        <v>732</v>
      </c>
      <c r="C148" s="742">
        <f>SUM(C149:C155)</f>
        <v>269158952</v>
      </c>
      <c r="D148" s="742">
        <f>SUM(D149:D155)</f>
        <v>3576420.9099999964</v>
      </c>
      <c r="E148" s="742">
        <f t="shared" ref="E148:E164" si="51">+C148+D148</f>
        <v>272735372.90999997</v>
      </c>
      <c r="F148" s="743">
        <f t="shared" ref="F148" si="52">SUM(F149:F155)</f>
        <v>42562492.289999999</v>
      </c>
      <c r="G148" s="743">
        <f>+F148</f>
        <v>42562492.289999999</v>
      </c>
      <c r="H148" s="738">
        <f t="shared" si="20"/>
        <v>230172880.61999997</v>
      </c>
      <c r="I148" s="744">
        <f t="shared" si="44"/>
        <v>0.15605783670769105</v>
      </c>
    </row>
    <row r="149" spans="1:9" x14ac:dyDescent="0.3">
      <c r="A149" s="746">
        <v>61403</v>
      </c>
      <c r="B149" s="772" t="s">
        <v>721</v>
      </c>
      <c r="C149" s="749"/>
      <c r="D149" s="748"/>
      <c r="E149" s="749">
        <f t="shared" si="51"/>
        <v>0</v>
      </c>
      <c r="F149" s="750"/>
      <c r="G149" s="750">
        <f t="shared" ref="G149:G155" si="53">+F149</f>
        <v>0</v>
      </c>
      <c r="H149" s="751">
        <f t="shared" si="20"/>
        <v>0</v>
      </c>
      <c r="I149" s="752" t="e">
        <f t="shared" si="44"/>
        <v>#DIV/0!</v>
      </c>
    </row>
    <row r="150" spans="1:9" x14ac:dyDescent="0.3">
      <c r="A150" s="746">
        <v>61416</v>
      </c>
      <c r="B150" s="772" t="s">
        <v>733</v>
      </c>
      <c r="C150" s="749">
        <v>99158952</v>
      </c>
      <c r="D150" s="748">
        <v>2349372.1899999976</v>
      </c>
      <c r="E150" s="749">
        <f t="shared" si="51"/>
        <v>101508324.19</v>
      </c>
      <c r="F150" s="750">
        <v>41362048</v>
      </c>
      <c r="G150" s="750">
        <f t="shared" si="53"/>
        <v>41362048</v>
      </c>
      <c r="H150" s="751">
        <f t="shared" si="20"/>
        <v>60146276.189999998</v>
      </c>
      <c r="I150" s="752">
        <f t="shared" si="44"/>
        <v>0.40747444438723918</v>
      </c>
    </row>
    <row r="151" spans="1:9" x14ac:dyDescent="0.3">
      <c r="A151" s="746">
        <v>61418</v>
      </c>
      <c r="B151" s="773" t="s">
        <v>734</v>
      </c>
      <c r="C151" s="749"/>
      <c r="D151" s="748"/>
      <c r="E151" s="749">
        <f t="shared" si="51"/>
        <v>0</v>
      </c>
      <c r="F151" s="750"/>
      <c r="G151" s="750">
        <f t="shared" si="53"/>
        <v>0</v>
      </c>
      <c r="H151" s="751">
        <f t="shared" si="20"/>
        <v>0</v>
      </c>
      <c r="I151" s="752" t="e">
        <f t="shared" si="44"/>
        <v>#DIV/0!</v>
      </c>
    </row>
    <row r="152" spans="1:9" x14ac:dyDescent="0.3">
      <c r="A152" s="746">
        <v>61422</v>
      </c>
      <c r="B152" s="773" t="s">
        <v>735</v>
      </c>
      <c r="C152" s="749"/>
      <c r="D152" s="748"/>
      <c r="E152" s="749">
        <f t="shared" si="51"/>
        <v>0</v>
      </c>
      <c r="F152" s="750"/>
      <c r="G152" s="750">
        <f t="shared" si="53"/>
        <v>0</v>
      </c>
      <c r="H152" s="751">
        <f t="shared" ref="H152:H168" si="54">+E152-F152</f>
        <v>0</v>
      </c>
      <c r="I152" s="752" t="e">
        <f t="shared" si="44"/>
        <v>#DIV/0!</v>
      </c>
    </row>
    <row r="153" spans="1:9" x14ac:dyDescent="0.3">
      <c r="A153" s="746">
        <v>61424</v>
      </c>
      <c r="B153" s="774" t="s">
        <v>736</v>
      </c>
      <c r="C153" s="749"/>
      <c r="D153" s="748"/>
      <c r="E153" s="749">
        <f t="shared" si="51"/>
        <v>0</v>
      </c>
      <c r="F153" s="750"/>
      <c r="G153" s="750">
        <f t="shared" si="53"/>
        <v>0</v>
      </c>
      <c r="H153" s="751">
        <f t="shared" si="54"/>
        <v>0</v>
      </c>
      <c r="I153" s="752" t="e">
        <f t="shared" si="44"/>
        <v>#DIV/0!</v>
      </c>
    </row>
    <row r="154" spans="1:9" x14ac:dyDescent="0.3">
      <c r="A154" s="746">
        <v>61425</v>
      </c>
      <c r="B154" s="772" t="s">
        <v>731</v>
      </c>
      <c r="C154" s="749">
        <v>170000000</v>
      </c>
      <c r="D154" s="748">
        <v>1227048.7199999988</v>
      </c>
      <c r="E154" s="749">
        <f>+C154+D154</f>
        <v>171227048.72</v>
      </c>
      <c r="F154" s="750">
        <v>1200444.29</v>
      </c>
      <c r="G154" s="750">
        <f t="shared" si="53"/>
        <v>1200444.29</v>
      </c>
      <c r="H154" s="751">
        <f t="shared" si="54"/>
        <v>170026604.43000001</v>
      </c>
      <c r="I154" s="752">
        <f t="shared" si="44"/>
        <v>7.0108332706419144E-3</v>
      </c>
    </row>
    <row r="155" spans="1:9" x14ac:dyDescent="0.3">
      <c r="A155" s="746">
        <v>61427</v>
      </c>
      <c r="B155" s="772" t="s">
        <v>737</v>
      </c>
      <c r="C155" s="749"/>
      <c r="D155" s="748"/>
      <c r="E155" s="749">
        <f t="shared" si="51"/>
        <v>0</v>
      </c>
      <c r="F155" s="750"/>
      <c r="G155" s="750">
        <f t="shared" si="53"/>
        <v>0</v>
      </c>
      <c r="H155" s="751">
        <f t="shared" si="54"/>
        <v>0</v>
      </c>
      <c r="I155" s="752" t="e">
        <f t="shared" si="44"/>
        <v>#DIV/0!</v>
      </c>
    </row>
    <row r="156" spans="1:9" x14ac:dyDescent="0.3">
      <c r="A156" s="757">
        <v>622</v>
      </c>
      <c r="B156" s="760" t="s">
        <v>719</v>
      </c>
      <c r="C156" s="742">
        <f>SUM(C157:C164)</f>
        <v>0</v>
      </c>
      <c r="D156" s="742">
        <f>SUM(D157:D164)</f>
        <v>0</v>
      </c>
      <c r="E156" s="742">
        <f t="shared" si="51"/>
        <v>0</v>
      </c>
      <c r="F156" s="743">
        <f t="shared" ref="F156" si="55">SUM(F157:F164)</f>
        <v>0</v>
      </c>
      <c r="G156" s="743">
        <f>+F156</f>
        <v>0</v>
      </c>
      <c r="H156" s="738">
        <f t="shared" si="54"/>
        <v>0</v>
      </c>
      <c r="I156" s="744" t="e">
        <f t="shared" si="44"/>
        <v>#DIV/0!</v>
      </c>
    </row>
    <row r="157" spans="1:9" x14ac:dyDescent="0.3">
      <c r="A157" s="746">
        <v>62201</v>
      </c>
      <c r="B157" s="772" t="s">
        <v>720</v>
      </c>
      <c r="C157" s="749"/>
      <c r="D157" s="748"/>
      <c r="E157" s="749">
        <f t="shared" si="51"/>
        <v>0</v>
      </c>
      <c r="F157" s="756"/>
      <c r="G157" s="750">
        <f t="shared" ref="G157:G164" si="56">+F157</f>
        <v>0</v>
      </c>
      <c r="H157" s="751">
        <f t="shared" si="54"/>
        <v>0</v>
      </c>
      <c r="I157" s="752" t="e">
        <f t="shared" si="44"/>
        <v>#DIV/0!</v>
      </c>
    </row>
    <row r="158" spans="1:9" x14ac:dyDescent="0.3">
      <c r="A158" s="746">
        <v>62202</v>
      </c>
      <c r="B158" s="772" t="s">
        <v>738</v>
      </c>
      <c r="C158" s="749"/>
      <c r="D158" s="748"/>
      <c r="E158" s="749">
        <f t="shared" si="51"/>
        <v>0</v>
      </c>
      <c r="F158" s="756"/>
      <c r="G158" s="750">
        <f t="shared" si="56"/>
        <v>0</v>
      </c>
      <c r="H158" s="751">
        <f t="shared" si="54"/>
        <v>0</v>
      </c>
      <c r="I158" s="752" t="e">
        <f t="shared" si="44"/>
        <v>#DIV/0!</v>
      </c>
    </row>
    <row r="159" spans="1:9" ht="22.5" x14ac:dyDescent="0.3">
      <c r="A159" s="746">
        <v>62211</v>
      </c>
      <c r="B159" s="772" t="s">
        <v>739</v>
      </c>
      <c r="C159" s="749"/>
      <c r="D159" s="748"/>
      <c r="E159" s="749">
        <f t="shared" si="51"/>
        <v>0</v>
      </c>
      <c r="F159" s="756"/>
      <c r="G159" s="750">
        <f t="shared" si="56"/>
        <v>0</v>
      </c>
      <c r="H159" s="751">
        <f t="shared" si="54"/>
        <v>0</v>
      </c>
      <c r="I159" s="752" t="e">
        <f t="shared" si="44"/>
        <v>#DIV/0!</v>
      </c>
    </row>
    <row r="160" spans="1:9" ht="22.5" x14ac:dyDescent="0.3">
      <c r="A160" s="746">
        <v>62213</v>
      </c>
      <c r="B160" s="772" t="s">
        <v>724</v>
      </c>
      <c r="C160" s="749"/>
      <c r="D160" s="748"/>
      <c r="E160" s="749">
        <f t="shared" si="51"/>
        <v>0</v>
      </c>
      <c r="F160" s="756"/>
      <c r="G160" s="750">
        <f t="shared" si="56"/>
        <v>0</v>
      </c>
      <c r="H160" s="751">
        <f t="shared" si="54"/>
        <v>0</v>
      </c>
      <c r="I160" s="752" t="e">
        <f t="shared" si="44"/>
        <v>#DIV/0!</v>
      </c>
    </row>
    <row r="161" spans="1:9" ht="22.5" x14ac:dyDescent="0.3">
      <c r="A161" s="746">
        <v>62214</v>
      </c>
      <c r="B161" s="772" t="s">
        <v>725</v>
      </c>
      <c r="C161" s="749"/>
      <c r="D161" s="748"/>
      <c r="E161" s="749">
        <f t="shared" si="51"/>
        <v>0</v>
      </c>
      <c r="F161" s="756"/>
      <c r="G161" s="750">
        <f t="shared" si="56"/>
        <v>0</v>
      </c>
      <c r="H161" s="751">
        <f t="shared" si="54"/>
        <v>0</v>
      </c>
      <c r="I161" s="752" t="e">
        <f t="shared" si="44"/>
        <v>#DIV/0!</v>
      </c>
    </row>
    <row r="162" spans="1:9" ht="22.5" x14ac:dyDescent="0.3">
      <c r="A162" s="746">
        <v>62215</v>
      </c>
      <c r="B162" s="772" t="s">
        <v>726</v>
      </c>
      <c r="C162" s="749"/>
      <c r="D162" s="748"/>
      <c r="E162" s="749">
        <f t="shared" si="51"/>
        <v>0</v>
      </c>
      <c r="F162" s="756"/>
      <c r="G162" s="750">
        <f t="shared" si="56"/>
        <v>0</v>
      </c>
      <c r="H162" s="751">
        <f t="shared" si="54"/>
        <v>0</v>
      </c>
      <c r="I162" s="752" t="e">
        <f t="shared" si="44"/>
        <v>#DIV/0!</v>
      </c>
    </row>
    <row r="163" spans="1:9" ht="22.5" x14ac:dyDescent="0.3">
      <c r="A163" s="746">
        <v>62217</v>
      </c>
      <c r="B163" s="772" t="s">
        <v>740</v>
      </c>
      <c r="C163" s="749"/>
      <c r="D163" s="748"/>
      <c r="E163" s="749">
        <f t="shared" si="51"/>
        <v>0</v>
      </c>
      <c r="F163" s="756"/>
      <c r="G163" s="750">
        <f t="shared" si="56"/>
        <v>0</v>
      </c>
      <c r="H163" s="751">
        <f t="shared" si="54"/>
        <v>0</v>
      </c>
      <c r="I163" s="752" t="e">
        <f t="shared" si="44"/>
        <v>#DIV/0!</v>
      </c>
    </row>
    <row r="164" spans="1:9" x14ac:dyDescent="0.3">
      <c r="A164" s="746">
        <v>62220</v>
      </c>
      <c r="B164" s="772" t="s">
        <v>741</v>
      </c>
      <c r="C164" s="749"/>
      <c r="D164" s="748"/>
      <c r="E164" s="749">
        <f t="shared" si="51"/>
        <v>0</v>
      </c>
      <c r="F164" s="756"/>
      <c r="G164" s="750">
        <f t="shared" si="56"/>
        <v>0</v>
      </c>
      <c r="H164" s="751">
        <f t="shared" si="54"/>
        <v>0</v>
      </c>
      <c r="I164" s="752" t="e">
        <f t="shared" si="44"/>
        <v>#DIV/0!</v>
      </c>
    </row>
    <row r="165" spans="1:9" ht="22.5" x14ac:dyDescent="0.3">
      <c r="A165" s="757">
        <v>624</v>
      </c>
      <c r="B165" s="760" t="s">
        <v>742</v>
      </c>
      <c r="C165" s="742">
        <f>SUM(C166)</f>
        <v>0</v>
      </c>
      <c r="D165" s="742">
        <f>SUM(D166:D168)</f>
        <v>0</v>
      </c>
      <c r="E165" s="775">
        <f>+C165+D165</f>
        <v>0</v>
      </c>
      <c r="F165" s="743">
        <f>SUM(F166)</f>
        <v>0</v>
      </c>
      <c r="G165" s="743">
        <f>+F165</f>
        <v>0</v>
      </c>
      <c r="H165" s="738">
        <f t="shared" si="54"/>
        <v>0</v>
      </c>
      <c r="I165" s="744" t="e">
        <f t="shared" si="44"/>
        <v>#DIV/0!</v>
      </c>
    </row>
    <row r="166" spans="1:9" x14ac:dyDescent="0.3">
      <c r="A166" s="746">
        <v>62420</v>
      </c>
      <c r="B166" s="772" t="s">
        <v>737</v>
      </c>
      <c r="C166" s="776"/>
      <c r="D166" s="776"/>
      <c r="E166" s="776"/>
      <c r="F166" s="776"/>
      <c r="G166" s="750">
        <f t="shared" ref="G166" si="57">+F166</f>
        <v>0</v>
      </c>
      <c r="H166" s="751">
        <f t="shared" si="54"/>
        <v>0</v>
      </c>
      <c r="I166" s="752" t="e">
        <f t="shared" si="44"/>
        <v>#DIV/0!</v>
      </c>
    </row>
    <row r="167" spans="1:9" ht="33.75" x14ac:dyDescent="0.3">
      <c r="A167" s="757">
        <v>632</v>
      </c>
      <c r="B167" s="760" t="s">
        <v>743</v>
      </c>
      <c r="C167" s="742">
        <f>SUM(C168)</f>
        <v>64175193</v>
      </c>
      <c r="D167" s="742">
        <f>SUM(D168:D168)</f>
        <v>0</v>
      </c>
      <c r="E167" s="775">
        <f>+C167+D167</f>
        <v>64175193</v>
      </c>
      <c r="F167" s="743">
        <f>SUM(F168:F168)</f>
        <v>10412156.189999999</v>
      </c>
      <c r="G167" s="743">
        <f>+F167</f>
        <v>10412156.189999999</v>
      </c>
      <c r="H167" s="738">
        <f t="shared" si="54"/>
        <v>53763036.810000002</v>
      </c>
      <c r="I167" s="744">
        <f t="shared" si="44"/>
        <v>0.16224581030866553</v>
      </c>
    </row>
    <row r="168" spans="1:9" ht="33.75" x14ac:dyDescent="0.3">
      <c r="A168" s="746">
        <v>63201</v>
      </c>
      <c r="B168" s="758" t="s">
        <v>743</v>
      </c>
      <c r="C168" s="776">
        <v>64175193</v>
      </c>
      <c r="D168" s="776">
        <v>0</v>
      </c>
      <c r="E168" s="777">
        <f>+C168+D168</f>
        <v>64175193</v>
      </c>
      <c r="F168" s="778">
        <v>10412156.189999999</v>
      </c>
      <c r="G168" s="750">
        <f t="shared" ref="G168" si="58">+F168</f>
        <v>10412156.189999999</v>
      </c>
      <c r="H168" s="751">
        <f t="shared" si="54"/>
        <v>53763036.810000002</v>
      </c>
      <c r="I168" s="752">
        <f t="shared" si="44"/>
        <v>0.16224581030866553</v>
      </c>
    </row>
    <row r="169" spans="1:9" ht="17.25" thickBot="1" x14ac:dyDescent="0.35">
      <c r="A169" s="779"/>
      <c r="B169" s="780" t="s">
        <v>383</v>
      </c>
      <c r="C169" s="781">
        <f>+C132+C122+C71+C39+C10</f>
        <v>351005907.46999997</v>
      </c>
      <c r="D169" s="781">
        <f>+D132+D122+D71+D39+D10</f>
        <v>283832069.66999996</v>
      </c>
      <c r="E169" s="781">
        <f>+C169+D169</f>
        <v>634837977.13999987</v>
      </c>
      <c r="F169" s="781">
        <f>+F132+F122+F71+F39+F10</f>
        <v>65254108.409999996</v>
      </c>
      <c r="G169" s="781">
        <f>+G132+G122+G71+G39+G10</f>
        <v>65254108.409999996</v>
      </c>
      <c r="H169" s="781">
        <f>+E169-F169</f>
        <v>569583868.7299999</v>
      </c>
      <c r="I169" s="782">
        <f>+F169/E169</f>
        <v>0.10278860238320242</v>
      </c>
    </row>
    <row r="174" spans="1:9" x14ac:dyDescent="0.3">
      <c r="B174" s="474" t="s">
        <v>1612</v>
      </c>
    </row>
    <row r="175" spans="1:9" x14ac:dyDescent="0.3">
      <c r="B175" s="474" t="s">
        <v>1613</v>
      </c>
    </row>
    <row r="176" spans="1:9" x14ac:dyDescent="0.3">
      <c r="B176" s="66"/>
    </row>
    <row r="177" spans="2:2" x14ac:dyDescent="0.3">
      <c r="B177" s="66"/>
    </row>
    <row r="178" spans="2:2" x14ac:dyDescent="0.3">
      <c r="B178" s="66"/>
    </row>
    <row r="179" spans="2:2" x14ac:dyDescent="0.3">
      <c r="B179" s="474" t="s">
        <v>1614</v>
      </c>
    </row>
    <row r="180" spans="2:2" x14ac:dyDescent="0.3">
      <c r="B180" s="474" t="s">
        <v>1615</v>
      </c>
    </row>
  </sheetData>
  <mergeCells count="8">
    <mergeCell ref="C6:E6"/>
    <mergeCell ref="H6:I6"/>
    <mergeCell ref="A7:B8"/>
    <mergeCell ref="A1:I1"/>
    <mergeCell ref="A2:I2"/>
    <mergeCell ref="A3:I3"/>
    <mergeCell ref="A4:I4"/>
    <mergeCell ref="A5:I5"/>
  </mergeCells>
  <pageMargins left="0.39370078740157483" right="0.39370078740157483" top="0.51181102362204722" bottom="0.19685039370078741" header="0.31496062992125984" footer="0.15748031496062992"/>
  <pageSetup scale="8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7" tint="-0.249977111117893"/>
  </sheetPr>
  <dimension ref="A1:J45"/>
  <sheetViews>
    <sheetView view="pageBreakPreview" zoomScaleNormal="100" zoomScaleSheetLayoutView="100" workbookViewId="0">
      <selection activeCell="A3" sqref="A3:E3"/>
    </sheetView>
  </sheetViews>
  <sheetFormatPr baseColWidth="10" defaultColWidth="11.42578125" defaultRowHeight="16.5" x14ac:dyDescent="0.3"/>
  <cols>
    <col min="1" max="1" width="4.28515625" style="158" customWidth="1"/>
    <col min="2" max="2" width="41.5703125" style="126" customWidth="1"/>
    <col min="3" max="5" width="16.7109375" style="126" customWidth="1"/>
    <col min="6" max="16384" width="11.42578125" style="126"/>
  </cols>
  <sheetData>
    <row r="1" spans="1:7" x14ac:dyDescent="0.3">
      <c r="A1" s="956" t="s">
        <v>76</v>
      </c>
      <c r="B1" s="956"/>
      <c r="C1" s="956"/>
      <c r="D1" s="956"/>
      <c r="E1" s="956"/>
    </row>
    <row r="2" spans="1:7" x14ac:dyDescent="0.3">
      <c r="A2" s="960" t="s">
        <v>1638</v>
      </c>
      <c r="B2" s="960"/>
      <c r="C2" s="960"/>
      <c r="D2" s="960"/>
      <c r="E2" s="960"/>
    </row>
    <row r="3" spans="1:7" x14ac:dyDescent="0.3">
      <c r="A3" s="884" t="s">
        <v>587</v>
      </c>
      <c r="B3" s="884"/>
      <c r="C3" s="884"/>
      <c r="D3" s="884"/>
      <c r="E3" s="884"/>
      <c r="G3" s="439"/>
    </row>
    <row r="4" spans="1:7" x14ac:dyDescent="0.3">
      <c r="A4" s="884" t="s">
        <v>591</v>
      </c>
      <c r="B4" s="884"/>
      <c r="C4" s="884"/>
      <c r="D4" s="884"/>
      <c r="E4" s="884"/>
    </row>
    <row r="5" spans="1:7" ht="17.25" thickBot="1" x14ac:dyDescent="0.35">
      <c r="A5" s="440"/>
      <c r="B5" s="960" t="s">
        <v>472</v>
      </c>
      <c r="C5" s="960"/>
      <c r="D5" s="68" t="s">
        <v>79</v>
      </c>
      <c r="E5" s="440" t="s">
        <v>589</v>
      </c>
    </row>
    <row r="6" spans="1:7" s="278" customFormat="1" ht="30" customHeight="1" x14ac:dyDescent="0.25">
      <c r="A6" s="961" t="s">
        <v>473</v>
      </c>
      <c r="B6" s="962"/>
      <c r="C6" s="441" t="s">
        <v>474</v>
      </c>
      <c r="D6" s="442" t="s">
        <v>475</v>
      </c>
      <c r="E6" s="443" t="s">
        <v>51</v>
      </c>
    </row>
    <row r="7" spans="1:7" s="278" customFormat="1" ht="30" customHeight="1" thickBot="1" x14ac:dyDescent="0.3">
      <c r="A7" s="963"/>
      <c r="B7" s="964"/>
      <c r="C7" s="444" t="s">
        <v>476</v>
      </c>
      <c r="D7" s="444" t="s">
        <v>477</v>
      </c>
      <c r="E7" s="445" t="s">
        <v>478</v>
      </c>
    </row>
    <row r="8" spans="1:7" s="278" customFormat="1" ht="21" customHeight="1" x14ac:dyDescent="0.25">
      <c r="A8" s="965" t="s">
        <v>479</v>
      </c>
      <c r="B8" s="966"/>
      <c r="C8" s="966"/>
      <c r="D8" s="966"/>
      <c r="E8" s="967"/>
    </row>
    <row r="9" spans="1:7" s="278" customFormat="1" ht="20.25" customHeight="1" x14ac:dyDescent="0.25">
      <c r="A9" s="446">
        <v>1</v>
      </c>
      <c r="B9" s="447"/>
      <c r="C9" s="448"/>
      <c r="D9" s="449"/>
      <c r="E9" s="459" t="str">
        <f>IF(B9="","",C9-D9)</f>
        <v/>
      </c>
    </row>
    <row r="10" spans="1:7" s="278" customFormat="1" ht="20.25" customHeight="1" x14ac:dyDescent="0.25">
      <c r="A10" s="446">
        <v>2</v>
      </c>
      <c r="B10" s="447"/>
      <c r="C10" s="448"/>
      <c r="D10" s="449"/>
      <c r="E10" s="459" t="str">
        <f t="shared" ref="E10:E18" si="0">IF(B10="","",C10-D10)</f>
        <v/>
      </c>
    </row>
    <row r="11" spans="1:7" s="278" customFormat="1" ht="20.25" customHeight="1" x14ac:dyDescent="0.25">
      <c r="A11" s="446">
        <v>3</v>
      </c>
      <c r="B11" s="447" t="s">
        <v>749</v>
      </c>
      <c r="C11" s="448"/>
      <c r="D11" s="449"/>
      <c r="E11" s="459">
        <f t="shared" si="0"/>
        <v>0</v>
      </c>
    </row>
    <row r="12" spans="1:7" s="278" customFormat="1" ht="20.25" customHeight="1" x14ac:dyDescent="0.25">
      <c r="A12" s="446">
        <v>4</v>
      </c>
      <c r="B12" s="447"/>
      <c r="C12" s="448"/>
      <c r="D12" s="449"/>
      <c r="E12" s="459" t="str">
        <f t="shared" si="0"/>
        <v/>
      </c>
    </row>
    <row r="13" spans="1:7" s="278" customFormat="1" ht="20.25" customHeight="1" x14ac:dyDescent="0.25">
      <c r="A13" s="446">
        <v>5</v>
      </c>
      <c r="B13" s="447"/>
      <c r="C13" s="448"/>
      <c r="D13" s="449"/>
      <c r="E13" s="459" t="str">
        <f t="shared" si="0"/>
        <v/>
      </c>
    </row>
    <row r="14" spans="1:7" s="278" customFormat="1" ht="20.25" customHeight="1" x14ac:dyDescent="0.25">
      <c r="A14" s="446">
        <v>6</v>
      </c>
      <c r="B14" s="447"/>
      <c r="C14" s="448"/>
      <c r="D14" s="449"/>
      <c r="E14" s="459" t="str">
        <f t="shared" si="0"/>
        <v/>
      </c>
    </row>
    <row r="15" spans="1:7" s="278" customFormat="1" ht="20.25" customHeight="1" x14ac:dyDescent="0.25">
      <c r="A15" s="446">
        <v>7</v>
      </c>
      <c r="B15" s="447"/>
      <c r="C15" s="448"/>
      <c r="D15" s="449"/>
      <c r="E15" s="459" t="str">
        <f t="shared" si="0"/>
        <v/>
      </c>
    </row>
    <row r="16" spans="1:7" s="278" customFormat="1" ht="20.25" customHeight="1" x14ac:dyDescent="0.25">
      <c r="A16" s="446">
        <v>8</v>
      </c>
      <c r="B16" s="447"/>
      <c r="C16" s="448"/>
      <c r="D16" s="449"/>
      <c r="E16" s="459" t="str">
        <f t="shared" si="0"/>
        <v/>
      </c>
    </row>
    <row r="17" spans="1:5" s="278" customFormat="1" ht="20.25" customHeight="1" x14ac:dyDescent="0.25">
      <c r="A17" s="446">
        <v>9</v>
      </c>
      <c r="B17" s="447"/>
      <c r="C17" s="448"/>
      <c r="D17" s="449"/>
      <c r="E17" s="459" t="str">
        <f t="shared" si="0"/>
        <v/>
      </c>
    </row>
    <row r="18" spans="1:5" s="278" customFormat="1" ht="20.25" customHeight="1" x14ac:dyDescent="0.25">
      <c r="A18" s="446">
        <v>10</v>
      </c>
      <c r="B18" s="447"/>
      <c r="C18" s="448"/>
      <c r="D18" s="449"/>
      <c r="E18" s="459" t="str">
        <f t="shared" si="0"/>
        <v/>
      </c>
    </row>
    <row r="19" spans="1:5" s="278" customFormat="1" ht="20.25" customHeight="1" x14ac:dyDescent="0.25">
      <c r="A19" s="446"/>
      <c r="B19" s="451" t="s">
        <v>480</v>
      </c>
      <c r="C19" s="457">
        <f>SUM(C9:C18)</f>
        <v>0</v>
      </c>
      <c r="D19" s="458">
        <f>SUM(D9:D18)</f>
        <v>0</v>
      </c>
      <c r="E19" s="459">
        <f>SUM(E9:E18)</f>
        <v>0</v>
      </c>
    </row>
    <row r="20" spans="1:5" s="278" customFormat="1" ht="21" customHeight="1" x14ac:dyDescent="0.25">
      <c r="A20" s="957" t="s">
        <v>481</v>
      </c>
      <c r="B20" s="958"/>
      <c r="C20" s="958"/>
      <c r="D20" s="958"/>
      <c r="E20" s="959"/>
    </row>
    <row r="21" spans="1:5" s="278" customFormat="1" ht="20.25" customHeight="1" x14ac:dyDescent="0.25">
      <c r="A21" s="446">
        <v>1</v>
      </c>
      <c r="B21" s="447"/>
      <c r="C21" s="448"/>
      <c r="D21" s="449"/>
      <c r="E21" s="459" t="str">
        <f>IF(B21="","",C21-D21)</f>
        <v/>
      </c>
    </row>
    <row r="22" spans="1:5" s="278" customFormat="1" ht="20.25" customHeight="1" x14ac:dyDescent="0.25">
      <c r="A22" s="446">
        <v>2</v>
      </c>
      <c r="B22" s="447"/>
      <c r="C22" s="448"/>
      <c r="D22" s="449"/>
      <c r="E22" s="459" t="str">
        <f t="shared" ref="E22:E30" si="1">IF(B22="","",C22-D22)</f>
        <v/>
      </c>
    </row>
    <row r="23" spans="1:5" s="278" customFormat="1" ht="20.25" customHeight="1" x14ac:dyDescent="0.25">
      <c r="A23" s="446">
        <v>3</v>
      </c>
      <c r="B23" s="447"/>
      <c r="C23" s="448"/>
      <c r="D23" s="449"/>
      <c r="E23" s="459" t="str">
        <f t="shared" si="1"/>
        <v/>
      </c>
    </row>
    <row r="24" spans="1:5" s="278" customFormat="1" ht="20.25" customHeight="1" x14ac:dyDescent="0.25">
      <c r="A24" s="446">
        <v>4</v>
      </c>
      <c r="B24" s="447"/>
      <c r="C24" s="448"/>
      <c r="D24" s="449"/>
      <c r="E24" s="459" t="str">
        <f t="shared" si="1"/>
        <v/>
      </c>
    </row>
    <row r="25" spans="1:5" s="278" customFormat="1" ht="20.25" customHeight="1" x14ac:dyDescent="0.25">
      <c r="A25" s="446">
        <v>5</v>
      </c>
      <c r="B25" s="447"/>
      <c r="C25" s="448"/>
      <c r="D25" s="449"/>
      <c r="E25" s="459" t="str">
        <f t="shared" si="1"/>
        <v/>
      </c>
    </row>
    <row r="26" spans="1:5" s="278" customFormat="1" ht="20.25" customHeight="1" x14ac:dyDescent="0.25">
      <c r="A26" s="446">
        <v>6</v>
      </c>
      <c r="B26" s="447"/>
      <c r="C26" s="448"/>
      <c r="D26" s="449"/>
      <c r="E26" s="459" t="str">
        <f t="shared" si="1"/>
        <v/>
      </c>
    </row>
    <row r="27" spans="1:5" s="278" customFormat="1" ht="20.25" customHeight="1" x14ac:dyDescent="0.25">
      <c r="A27" s="446">
        <v>7</v>
      </c>
      <c r="B27" s="447"/>
      <c r="C27" s="448"/>
      <c r="D27" s="449"/>
      <c r="E27" s="459" t="str">
        <f t="shared" si="1"/>
        <v/>
      </c>
    </row>
    <row r="28" spans="1:5" s="278" customFormat="1" ht="20.25" customHeight="1" x14ac:dyDescent="0.25">
      <c r="A28" s="446">
        <v>8</v>
      </c>
      <c r="B28" s="447"/>
      <c r="C28" s="448"/>
      <c r="D28" s="449"/>
      <c r="E28" s="459" t="str">
        <f>IF(B28="","",C28-D29)</f>
        <v/>
      </c>
    </row>
    <row r="29" spans="1:5" s="278" customFormat="1" ht="20.25" customHeight="1" x14ac:dyDescent="0.25">
      <c r="A29" s="446">
        <v>9</v>
      </c>
      <c r="B29" s="447"/>
      <c r="C29" s="448"/>
      <c r="D29" s="449"/>
      <c r="E29" s="459" t="str">
        <f>IF(B29="","",C29-#REF!)</f>
        <v/>
      </c>
    </row>
    <row r="30" spans="1:5" s="278" customFormat="1" ht="20.25" customHeight="1" x14ac:dyDescent="0.25">
      <c r="A30" s="446">
        <v>10</v>
      </c>
      <c r="B30" s="447"/>
      <c r="C30" s="448"/>
      <c r="D30" s="449"/>
      <c r="E30" s="459" t="str">
        <f t="shared" si="1"/>
        <v/>
      </c>
    </row>
    <row r="31" spans="1:5" s="453" customFormat="1" ht="39.950000000000003" customHeight="1" thickBot="1" x14ac:dyDescent="0.35">
      <c r="A31" s="446"/>
      <c r="B31" s="452" t="s">
        <v>482</v>
      </c>
      <c r="C31" s="457">
        <f>SUM(C21:C30)</f>
        <v>0</v>
      </c>
      <c r="D31" s="458">
        <f>SUM(D21:D30)</f>
        <v>0</v>
      </c>
      <c r="E31" s="459">
        <f>SUM(E21:E30)</f>
        <v>0</v>
      </c>
    </row>
    <row r="32" spans="1:5" ht="30" customHeight="1" thickBot="1" x14ac:dyDescent="0.35">
      <c r="A32" s="454"/>
      <c r="B32" s="455" t="s">
        <v>483</v>
      </c>
      <c r="C32" s="460">
        <f>SUM(C19,C31)</f>
        <v>0</v>
      </c>
      <c r="D32" s="460">
        <f t="shared" ref="D32:E32" si="2">SUM(D19,D31)</f>
        <v>0</v>
      </c>
      <c r="E32" s="461">
        <f t="shared" si="2"/>
        <v>0</v>
      </c>
    </row>
    <row r="33" spans="1:10" ht="17.100000000000001" customHeight="1" x14ac:dyDescent="0.3">
      <c r="A33" s="577" t="s">
        <v>138</v>
      </c>
    </row>
    <row r="34" spans="1:10" ht="17.100000000000001" customHeight="1" x14ac:dyDescent="0.3">
      <c r="A34" s="654"/>
      <c r="B34" s="655"/>
      <c r="C34" s="656"/>
      <c r="D34" s="656"/>
      <c r="E34" s="656"/>
    </row>
    <row r="35" spans="1:10" ht="17.100000000000001" customHeight="1" x14ac:dyDescent="0.3">
      <c r="A35" s="654"/>
      <c r="B35" s="655"/>
      <c r="C35" s="656"/>
      <c r="D35" s="656"/>
      <c r="E35" s="656"/>
    </row>
    <row r="36" spans="1:10" ht="17.100000000000001" customHeight="1" x14ac:dyDescent="0.3">
      <c r="A36" s="654"/>
      <c r="B36" s="655"/>
      <c r="C36" s="656"/>
      <c r="D36" s="656"/>
      <c r="E36" s="656"/>
    </row>
    <row r="37" spans="1:10" ht="17.100000000000001" customHeight="1" x14ac:dyDescent="0.3">
      <c r="A37" s="654"/>
      <c r="B37" s="655"/>
      <c r="C37" s="656"/>
      <c r="D37" s="656"/>
      <c r="E37" s="656"/>
    </row>
    <row r="38" spans="1:10" ht="17.100000000000001" customHeight="1" x14ac:dyDescent="0.3">
      <c r="A38" s="66" t="s">
        <v>143</v>
      </c>
      <c r="J38" s="456"/>
    </row>
    <row r="39" spans="1:10" x14ac:dyDescent="0.3">
      <c r="B39" s="474" t="s">
        <v>1612</v>
      </c>
    </row>
    <row r="40" spans="1:10" x14ac:dyDescent="0.3">
      <c r="B40" s="474" t="s">
        <v>1613</v>
      </c>
    </row>
    <row r="41" spans="1:10" x14ac:dyDescent="0.3">
      <c r="B41" s="66"/>
    </row>
    <row r="42" spans="1:10" x14ac:dyDescent="0.3">
      <c r="B42" s="66"/>
    </row>
    <row r="43" spans="1:10" x14ac:dyDescent="0.3">
      <c r="B43" s="66"/>
    </row>
    <row r="44" spans="1:10" x14ac:dyDescent="0.3">
      <c r="B44" s="474" t="s">
        <v>1614</v>
      </c>
    </row>
    <row r="45" spans="1:10" x14ac:dyDescent="0.3">
      <c r="B45" s="474" t="s">
        <v>1615</v>
      </c>
    </row>
  </sheetData>
  <sheetProtection algorithmName="SHA-512" hashValue="asFJ0dEyV9qIUkNO4JKmHhwQoOiVoNBXUvfo317sEZUO7oUpp9SnPrUcZbgOU6Se8bXyeCpXjSC07Tf4pOmb/Q==" saltValue="wpL7y+LYapOQuPI4FYpTYQ==" spinCount="100000" sheet="1" objects="1" scenarios="1" insertHyperlinks="0" selectLockedCells="1"/>
  <mergeCells count="8">
    <mergeCell ref="A1:E1"/>
    <mergeCell ref="A3:E3"/>
    <mergeCell ref="A4:E4"/>
    <mergeCell ref="A20:E20"/>
    <mergeCell ref="A2:E2"/>
    <mergeCell ref="A6:B7"/>
    <mergeCell ref="A8:E8"/>
    <mergeCell ref="B5:C5"/>
  </mergeCells>
  <printOptions horizontalCentered="1"/>
  <pageMargins left="0.39370078740157483" right="0.39370078740157483" top="0.74803149606299213" bottom="0.74803149606299213" header="0.31496062992125984" footer="0.31496062992125984"/>
  <pageSetup scale="7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7" tint="-0.249977111117893"/>
  </sheetPr>
  <dimension ref="A1:I46"/>
  <sheetViews>
    <sheetView view="pageBreakPreview" zoomScale="90" zoomScaleNormal="100" zoomScaleSheetLayoutView="90" workbookViewId="0">
      <selection activeCell="B5" sqref="B5:C5"/>
    </sheetView>
  </sheetViews>
  <sheetFormatPr baseColWidth="10" defaultColWidth="11.42578125" defaultRowHeight="16.5" x14ac:dyDescent="0.3"/>
  <cols>
    <col min="1" max="1" width="4.85546875" style="158" customWidth="1"/>
    <col min="2" max="2" width="41" style="126" customWidth="1"/>
    <col min="3" max="4" width="25.7109375" style="126" customWidth="1"/>
    <col min="5" max="16384" width="11.42578125" style="126"/>
  </cols>
  <sheetData>
    <row r="1" spans="1:6" x14ac:dyDescent="0.3">
      <c r="A1" s="462"/>
      <c r="B1" s="956" t="s">
        <v>76</v>
      </c>
      <c r="C1" s="956"/>
      <c r="D1" s="956"/>
    </row>
    <row r="2" spans="1:6" x14ac:dyDescent="0.3">
      <c r="A2" s="126"/>
      <c r="B2" s="960" t="s">
        <v>1639</v>
      </c>
      <c r="C2" s="960"/>
      <c r="D2" s="960"/>
      <c r="F2" s="439"/>
    </row>
    <row r="3" spans="1:6" x14ac:dyDescent="0.3">
      <c r="B3" s="884" t="s">
        <v>587</v>
      </c>
      <c r="C3" s="884"/>
      <c r="D3" s="884"/>
    </row>
    <row r="4" spans="1:6" x14ac:dyDescent="0.3">
      <c r="B4" s="884" t="s">
        <v>590</v>
      </c>
      <c r="C4" s="884"/>
      <c r="D4" s="884"/>
    </row>
    <row r="5" spans="1:6" x14ac:dyDescent="0.3">
      <c r="A5" s="712"/>
      <c r="B5" s="960" t="s">
        <v>484</v>
      </c>
      <c r="C5" s="960"/>
      <c r="D5" s="329" t="s">
        <v>79</v>
      </c>
    </row>
    <row r="6" spans="1:6" ht="6.75" customHeight="1" thickBot="1" x14ac:dyDescent="0.35"/>
    <row r="7" spans="1:6" s="278" customFormat="1" ht="27.95" customHeight="1" x14ac:dyDescent="0.25">
      <c r="A7" s="961" t="s">
        <v>473</v>
      </c>
      <c r="B7" s="962"/>
      <c r="C7" s="968" t="s">
        <v>485</v>
      </c>
      <c r="D7" s="970" t="s">
        <v>486</v>
      </c>
    </row>
    <row r="8" spans="1:6" s="278" customFormat="1" ht="4.5" customHeight="1" thickBot="1" x14ac:dyDescent="0.3">
      <c r="A8" s="963"/>
      <c r="B8" s="964"/>
      <c r="C8" s="969"/>
      <c r="D8" s="971"/>
    </row>
    <row r="9" spans="1:6" s="278" customFormat="1" ht="21" customHeight="1" x14ac:dyDescent="0.25">
      <c r="A9" s="965" t="s">
        <v>479</v>
      </c>
      <c r="B9" s="966"/>
      <c r="C9" s="966"/>
      <c r="D9" s="967"/>
    </row>
    <row r="10" spans="1:6" s="278" customFormat="1" ht="18" customHeight="1" x14ac:dyDescent="0.25">
      <c r="A10" s="446">
        <v>1</v>
      </c>
      <c r="B10" s="447"/>
      <c r="C10" s="463"/>
      <c r="D10" s="464"/>
    </row>
    <row r="11" spans="1:6" s="278" customFormat="1" ht="18" customHeight="1" x14ac:dyDescent="0.25">
      <c r="A11" s="446">
        <v>2</v>
      </c>
      <c r="B11" s="447"/>
      <c r="C11" s="463"/>
      <c r="D11" s="464"/>
    </row>
    <row r="12" spans="1:6" s="278" customFormat="1" ht="18" customHeight="1" x14ac:dyDescent="0.25">
      <c r="A12" s="446">
        <v>3</v>
      </c>
      <c r="B12" s="447"/>
      <c r="C12" s="463"/>
      <c r="D12" s="464"/>
    </row>
    <row r="13" spans="1:6" s="278" customFormat="1" ht="18" customHeight="1" x14ac:dyDescent="0.25">
      <c r="A13" s="446">
        <v>4</v>
      </c>
      <c r="B13" s="447" t="s">
        <v>749</v>
      </c>
      <c r="C13" s="463"/>
      <c r="D13" s="464"/>
    </row>
    <row r="14" spans="1:6" s="278" customFormat="1" ht="18" customHeight="1" x14ac:dyDescent="0.25">
      <c r="A14" s="446">
        <v>5</v>
      </c>
      <c r="B14" s="447"/>
      <c r="C14" s="463"/>
      <c r="D14" s="464"/>
    </row>
    <row r="15" spans="1:6" s="278" customFormat="1" ht="18" customHeight="1" x14ac:dyDescent="0.25">
      <c r="A15" s="446">
        <v>6</v>
      </c>
      <c r="B15" s="447"/>
      <c r="C15" s="463"/>
      <c r="D15" s="464"/>
    </row>
    <row r="16" spans="1:6" s="278" customFormat="1" ht="18" customHeight="1" x14ac:dyDescent="0.25">
      <c r="A16" s="446">
        <v>7</v>
      </c>
      <c r="B16" s="447"/>
      <c r="C16" s="463"/>
      <c r="D16" s="464"/>
    </row>
    <row r="17" spans="1:4" s="278" customFormat="1" ht="18" customHeight="1" x14ac:dyDescent="0.25">
      <c r="A17" s="446">
        <v>8</v>
      </c>
      <c r="B17" s="447"/>
      <c r="C17" s="463"/>
      <c r="D17" s="464"/>
    </row>
    <row r="18" spans="1:4" s="278" customFormat="1" ht="18" customHeight="1" x14ac:dyDescent="0.25">
      <c r="A18" s="446">
        <v>9</v>
      </c>
      <c r="B18" s="447"/>
      <c r="C18" s="463"/>
      <c r="D18" s="464"/>
    </row>
    <row r="19" spans="1:4" s="278" customFormat="1" ht="18" customHeight="1" x14ac:dyDescent="0.25">
      <c r="A19" s="446">
        <v>10</v>
      </c>
      <c r="B19" s="447"/>
      <c r="C19" s="463"/>
      <c r="D19" s="464"/>
    </row>
    <row r="20" spans="1:4" s="278" customFormat="1" ht="18" customHeight="1" x14ac:dyDescent="0.25">
      <c r="A20" s="446"/>
      <c r="B20" s="451" t="s">
        <v>487</v>
      </c>
      <c r="C20" s="457">
        <f>SUM(C10:C19)</f>
        <v>0</v>
      </c>
      <c r="D20" s="459">
        <f>SUM(D10:D19)</f>
        <v>0</v>
      </c>
    </row>
    <row r="21" spans="1:4" s="278" customFormat="1" ht="21" customHeight="1" x14ac:dyDescent="0.25">
      <c r="A21" s="957" t="s">
        <v>481</v>
      </c>
      <c r="B21" s="958"/>
      <c r="C21" s="958"/>
      <c r="D21" s="959"/>
    </row>
    <row r="22" spans="1:4" s="278" customFormat="1" ht="18" customHeight="1" x14ac:dyDescent="0.25">
      <c r="A22" s="446">
        <v>1</v>
      </c>
      <c r="B22" s="447"/>
      <c r="C22" s="463"/>
      <c r="D22" s="464"/>
    </row>
    <row r="23" spans="1:4" s="278" customFormat="1" ht="18" customHeight="1" x14ac:dyDescent="0.25">
      <c r="A23" s="446">
        <v>2</v>
      </c>
      <c r="B23" s="447"/>
      <c r="C23" s="463"/>
      <c r="D23" s="464"/>
    </row>
    <row r="24" spans="1:4" s="278" customFormat="1" ht="18" customHeight="1" x14ac:dyDescent="0.25">
      <c r="A24" s="446">
        <v>3</v>
      </c>
      <c r="B24" s="447"/>
      <c r="C24" s="463"/>
      <c r="D24" s="464"/>
    </row>
    <row r="25" spans="1:4" s="278" customFormat="1" ht="18" customHeight="1" x14ac:dyDescent="0.25">
      <c r="A25" s="446">
        <v>4</v>
      </c>
      <c r="B25" s="447"/>
      <c r="C25" s="463"/>
      <c r="D25" s="464"/>
    </row>
    <row r="26" spans="1:4" s="278" customFormat="1" ht="18" customHeight="1" x14ac:dyDescent="0.25">
      <c r="A26" s="446">
        <v>5</v>
      </c>
      <c r="B26" s="447"/>
      <c r="C26" s="463"/>
      <c r="D26" s="464"/>
    </row>
    <row r="27" spans="1:4" s="278" customFormat="1" ht="18" customHeight="1" x14ac:dyDescent="0.25">
      <c r="A27" s="446">
        <v>6</v>
      </c>
      <c r="B27" s="447"/>
      <c r="C27" s="463"/>
      <c r="D27" s="464"/>
    </row>
    <row r="28" spans="1:4" s="278" customFormat="1" ht="18" customHeight="1" x14ac:dyDescent="0.25">
      <c r="A28" s="446">
        <v>7</v>
      </c>
      <c r="B28" s="447"/>
      <c r="C28" s="463"/>
      <c r="D28" s="464"/>
    </row>
    <row r="29" spans="1:4" s="278" customFormat="1" ht="18" customHeight="1" x14ac:dyDescent="0.25">
      <c r="A29" s="446">
        <v>8</v>
      </c>
      <c r="B29" s="447"/>
      <c r="C29" s="463"/>
      <c r="D29" s="464"/>
    </row>
    <row r="30" spans="1:4" s="278" customFormat="1" ht="18" customHeight="1" x14ac:dyDescent="0.25">
      <c r="A30" s="446">
        <v>9</v>
      </c>
      <c r="B30" s="447"/>
      <c r="C30" s="463"/>
      <c r="D30" s="464"/>
    </row>
    <row r="31" spans="1:4" s="278" customFormat="1" ht="18" customHeight="1" x14ac:dyDescent="0.25">
      <c r="A31" s="446">
        <v>10</v>
      </c>
      <c r="B31" s="447"/>
      <c r="C31" s="463" t="s">
        <v>143</v>
      </c>
      <c r="D31" s="464"/>
    </row>
    <row r="32" spans="1:4" s="453" customFormat="1" ht="18" customHeight="1" thickBot="1" x14ac:dyDescent="0.35">
      <c r="A32" s="446"/>
      <c r="B32" s="452" t="s">
        <v>488</v>
      </c>
      <c r="C32" s="457">
        <f>SUM(C22:C31)</f>
        <v>0</v>
      </c>
      <c r="D32" s="459">
        <f>SUM(D22:D31)</f>
        <v>0</v>
      </c>
    </row>
    <row r="33" spans="1:9" ht="27.95" customHeight="1" thickBot="1" x14ac:dyDescent="0.35">
      <c r="A33" s="454"/>
      <c r="B33" s="455" t="s">
        <v>483</v>
      </c>
      <c r="C33" s="460">
        <f>SUM(C32,C20)</f>
        <v>0</v>
      </c>
      <c r="D33" s="465">
        <f>SUM(D32,D20)</f>
        <v>0</v>
      </c>
    </row>
    <row r="34" spans="1:9" s="657" customFormat="1" ht="18" customHeight="1" x14ac:dyDescent="0.3">
      <c r="A34" s="577" t="s">
        <v>138</v>
      </c>
      <c r="B34" s="126"/>
      <c r="C34" s="126"/>
      <c r="D34" s="126"/>
      <c r="E34" s="126"/>
    </row>
    <row r="35" spans="1:9" s="657" customFormat="1" ht="18" customHeight="1" x14ac:dyDescent="0.3">
      <c r="A35" s="66"/>
      <c r="B35" s="126"/>
      <c r="C35" s="126"/>
      <c r="D35" s="126"/>
      <c r="E35" s="126"/>
    </row>
    <row r="36" spans="1:9" s="657" customFormat="1" ht="18" customHeight="1" x14ac:dyDescent="0.3">
      <c r="A36" s="66"/>
      <c r="B36" s="126"/>
      <c r="C36" s="126"/>
      <c r="D36" s="126"/>
      <c r="E36" s="126"/>
    </row>
    <row r="37" spans="1:9" s="658" customFormat="1" ht="17.100000000000001" customHeight="1" x14ac:dyDescent="0.3">
      <c r="A37" s="654"/>
      <c r="B37" s="655"/>
      <c r="C37" s="656"/>
      <c r="D37" s="656"/>
    </row>
    <row r="38" spans="1:9" ht="17.100000000000001" customHeight="1" x14ac:dyDescent="0.3">
      <c r="A38" s="66"/>
      <c r="I38" s="456"/>
    </row>
    <row r="40" spans="1:9" x14ac:dyDescent="0.3">
      <c r="B40" s="474" t="s">
        <v>1612</v>
      </c>
    </row>
    <row r="41" spans="1:9" x14ac:dyDescent="0.3">
      <c r="B41" s="474" t="s">
        <v>1613</v>
      </c>
    </row>
    <row r="42" spans="1:9" x14ac:dyDescent="0.3">
      <c r="B42" s="66"/>
    </row>
    <row r="43" spans="1:9" x14ac:dyDescent="0.3">
      <c r="B43" s="66"/>
    </row>
    <row r="44" spans="1:9" x14ac:dyDescent="0.3">
      <c r="B44" s="66"/>
    </row>
    <row r="45" spans="1:9" x14ac:dyDescent="0.3">
      <c r="B45" s="474" t="s">
        <v>1614</v>
      </c>
    </row>
    <row r="46" spans="1:9" x14ac:dyDescent="0.3">
      <c r="B46" s="474" t="s">
        <v>1615</v>
      </c>
    </row>
  </sheetData>
  <sheetProtection algorithmName="SHA-512" hashValue="WblkR/rz8i3PbokF/OdZiEo6XM9t8kGmS1r0+I11R8HpBXU71yz96/IE2iXuEIuQraKdoJuqRUsoiqt+d6Z5PA==" saltValue="ytmbyXk4GZOg3sGKxE4wjA==" spinCount="100000" sheet="1" objects="1" scenarios="1" insertHyperlinks="0" selectLockedCells="1"/>
  <mergeCells count="10">
    <mergeCell ref="B1:D1"/>
    <mergeCell ref="B2:D2"/>
    <mergeCell ref="B3:D3"/>
    <mergeCell ref="B4:D4"/>
    <mergeCell ref="B5:C5"/>
    <mergeCell ref="A7:B8"/>
    <mergeCell ref="A9:D9"/>
    <mergeCell ref="A21:D21"/>
    <mergeCell ref="C7:C8"/>
    <mergeCell ref="D7:D8"/>
  </mergeCells>
  <printOptions horizontalCentered="1"/>
  <pageMargins left="0.39370078740157483" right="0.39370078740157483" top="0.74803149606299213" bottom="0.74803149606299213" header="0.31496062992125984" footer="0.31496062992125984"/>
  <pageSetup scale="8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H51"/>
  <sheetViews>
    <sheetView view="pageBreakPreview" zoomScaleNormal="100" zoomScaleSheetLayoutView="100" workbookViewId="0">
      <selection activeCell="A2" sqref="A2:G2"/>
    </sheetView>
  </sheetViews>
  <sheetFormatPr baseColWidth="10" defaultColWidth="11.42578125" defaultRowHeight="15" x14ac:dyDescent="0.25"/>
  <cols>
    <col min="1" max="1" width="47.5703125" style="476" bestFit="1" customWidth="1"/>
    <col min="2" max="2" width="11.42578125" style="466"/>
    <col min="3" max="3" width="12.28515625" style="466" customWidth="1"/>
    <col min="4" max="16384" width="11.42578125" style="466"/>
  </cols>
  <sheetData>
    <row r="1" spans="1:7" ht="16.5" customHeight="1" x14ac:dyDescent="0.25">
      <c r="A1" s="972" t="s">
        <v>76</v>
      </c>
      <c r="B1" s="972"/>
      <c r="C1" s="972"/>
      <c r="D1" s="972"/>
      <c r="E1" s="972"/>
      <c r="F1" s="972"/>
      <c r="G1" s="972"/>
    </row>
    <row r="2" spans="1:7" ht="16.5" customHeight="1" x14ac:dyDescent="0.25">
      <c r="A2" s="972" t="s">
        <v>1640</v>
      </c>
      <c r="B2" s="972"/>
      <c r="C2" s="972"/>
      <c r="D2" s="972"/>
      <c r="E2" s="972"/>
      <c r="F2" s="972"/>
      <c r="G2" s="972"/>
    </row>
    <row r="3" spans="1:7" ht="16.5" x14ac:dyDescent="0.25">
      <c r="A3" s="973" t="s">
        <v>587</v>
      </c>
      <c r="B3" s="973"/>
      <c r="C3" s="973"/>
      <c r="D3" s="973"/>
      <c r="E3" s="973"/>
      <c r="F3" s="973"/>
      <c r="G3" s="973"/>
    </row>
    <row r="4" spans="1:7" ht="16.5" x14ac:dyDescent="0.25">
      <c r="A4" s="973" t="s">
        <v>590</v>
      </c>
      <c r="B4" s="973"/>
      <c r="C4" s="973"/>
      <c r="D4" s="973"/>
      <c r="E4" s="973"/>
      <c r="F4" s="973"/>
      <c r="G4" s="973"/>
    </row>
    <row r="5" spans="1:7" ht="17.25" thickBot="1" x14ac:dyDescent="0.3">
      <c r="A5" s="467"/>
      <c r="B5" s="896" t="s">
        <v>78</v>
      </c>
      <c r="C5" s="896"/>
      <c r="D5" s="896"/>
      <c r="E5" s="221"/>
      <c r="F5" s="68" t="s">
        <v>594</v>
      </c>
      <c r="G5" s="663"/>
    </row>
    <row r="6" spans="1:7" ht="38.25" x14ac:dyDescent="0.25">
      <c r="A6" s="941" t="s">
        <v>197</v>
      </c>
      <c r="B6" s="275" t="s">
        <v>326</v>
      </c>
      <c r="C6" s="275" t="s">
        <v>327</v>
      </c>
      <c r="D6" s="275" t="s">
        <v>328</v>
      </c>
      <c r="E6" s="276" t="s">
        <v>489</v>
      </c>
      <c r="F6" s="276" t="s">
        <v>490</v>
      </c>
      <c r="G6" s="275" t="s">
        <v>331</v>
      </c>
    </row>
    <row r="7" spans="1:7" ht="15.75" thickBot="1" x14ac:dyDescent="0.3">
      <c r="A7" s="942"/>
      <c r="B7" s="384" t="s">
        <v>277</v>
      </c>
      <c r="C7" s="384" t="s">
        <v>278</v>
      </c>
      <c r="D7" s="384" t="s">
        <v>332</v>
      </c>
      <c r="E7" s="468" t="s">
        <v>280</v>
      </c>
      <c r="F7" s="468" t="s">
        <v>281</v>
      </c>
      <c r="G7" s="384" t="s">
        <v>333</v>
      </c>
    </row>
    <row r="8" spans="1:7" ht="16.5" x14ac:dyDescent="0.25">
      <c r="A8" s="477"/>
      <c r="B8" s="469"/>
      <c r="C8" s="469"/>
      <c r="D8" s="469"/>
      <c r="E8" s="469"/>
      <c r="F8" s="469"/>
      <c r="G8" s="469"/>
    </row>
    <row r="9" spans="1:7" s="472" customFormat="1" x14ac:dyDescent="0.25">
      <c r="A9" s="470" t="s">
        <v>491</v>
      </c>
      <c r="B9" s="471"/>
      <c r="C9" s="471"/>
      <c r="D9" s="471"/>
      <c r="E9" s="471"/>
      <c r="F9" s="471"/>
      <c r="G9" s="471"/>
    </row>
    <row r="10" spans="1:7" s="474" customFormat="1" x14ac:dyDescent="0.25">
      <c r="A10" s="473" t="s">
        <v>492</v>
      </c>
      <c r="B10" s="581">
        <f>B11+B12+B13</f>
        <v>351005907.46999997</v>
      </c>
      <c r="C10" s="581">
        <f>C11+C12+C13</f>
        <v>283832069.66999996</v>
      </c>
      <c r="D10" s="581">
        <f>SUM(D11:D13)</f>
        <v>634837977.13999987</v>
      </c>
      <c r="E10" s="581">
        <f>E11+E12+E13</f>
        <v>65254108.409999996</v>
      </c>
      <c r="F10" s="581">
        <f>F11+F12+F13</f>
        <v>65254108.409999996</v>
      </c>
      <c r="G10" s="581">
        <f>SUM(G11:G13)</f>
        <v>569583868.7299999</v>
      </c>
    </row>
    <row r="11" spans="1:7" s="475" customFormat="1" x14ac:dyDescent="0.25">
      <c r="A11" s="478" t="s">
        <v>493</v>
      </c>
      <c r="B11" s="582">
        <f>+'ETCA-II-11-E '!C169</f>
        <v>351005907.46999997</v>
      </c>
      <c r="C11" s="582">
        <f>+'ETCA-II-11-E '!D169</f>
        <v>283832069.66999996</v>
      </c>
      <c r="D11" s="583">
        <f t="shared" ref="D11:D13" si="0">B11+C11</f>
        <v>634837977.13999987</v>
      </c>
      <c r="E11" s="582">
        <f>+'ETCA-II-11-E '!F169</f>
        <v>65254108.409999996</v>
      </c>
      <c r="F11" s="582">
        <f>+E11</f>
        <v>65254108.409999996</v>
      </c>
      <c r="G11" s="583">
        <f>D11-E11</f>
        <v>569583868.7299999</v>
      </c>
    </row>
    <row r="12" spans="1:7" s="475" customFormat="1" x14ac:dyDescent="0.25">
      <c r="A12" s="478" t="s">
        <v>494</v>
      </c>
      <c r="B12" s="582"/>
      <c r="C12" s="582"/>
      <c r="D12" s="583">
        <f t="shared" si="0"/>
        <v>0</v>
      </c>
      <c r="E12" s="582"/>
      <c r="F12" s="582"/>
      <c r="G12" s="583">
        <f t="shared" ref="G12:G13" si="1">D12-E12</f>
        <v>0</v>
      </c>
    </row>
    <row r="13" spans="1:7" s="475" customFormat="1" x14ac:dyDescent="0.25">
      <c r="A13" s="478" t="s">
        <v>495</v>
      </c>
      <c r="B13" s="582"/>
      <c r="C13" s="582"/>
      <c r="D13" s="583">
        <f t="shared" si="0"/>
        <v>0</v>
      </c>
      <c r="E13" s="582"/>
      <c r="F13" s="582"/>
      <c r="G13" s="583">
        <f t="shared" si="1"/>
        <v>0</v>
      </c>
    </row>
    <row r="14" spans="1:7" s="474" customFormat="1" x14ac:dyDescent="0.25">
      <c r="A14" s="473" t="s">
        <v>496</v>
      </c>
      <c r="B14" s="581">
        <f t="shared" ref="B14:G14" si="2">SUM(B15:B22)</f>
        <v>0</v>
      </c>
      <c r="C14" s="581">
        <f t="shared" si="2"/>
        <v>0</v>
      </c>
      <c r="D14" s="581">
        <f t="shared" si="2"/>
        <v>0</v>
      </c>
      <c r="E14" s="581">
        <f t="shared" si="2"/>
        <v>0</v>
      </c>
      <c r="F14" s="581">
        <f t="shared" si="2"/>
        <v>0</v>
      </c>
      <c r="G14" s="581">
        <f t="shared" si="2"/>
        <v>0</v>
      </c>
    </row>
    <row r="15" spans="1:7" s="475" customFormat="1" x14ac:dyDescent="0.25">
      <c r="A15" s="478" t="s">
        <v>497</v>
      </c>
      <c r="B15" s="582"/>
      <c r="C15" s="582"/>
      <c r="D15" s="583">
        <f t="shared" ref="D15:D22" si="3">B15+C15</f>
        <v>0</v>
      </c>
      <c r="E15" s="582"/>
      <c r="F15" s="582"/>
      <c r="G15" s="583">
        <f>D15-E15</f>
        <v>0</v>
      </c>
    </row>
    <row r="16" spans="1:7" s="475" customFormat="1" x14ac:dyDescent="0.25">
      <c r="A16" s="478" t="s">
        <v>498</v>
      </c>
      <c r="B16" s="582"/>
      <c r="C16" s="582"/>
      <c r="D16" s="583">
        <f t="shared" si="3"/>
        <v>0</v>
      </c>
      <c r="E16" s="582"/>
      <c r="F16" s="582"/>
      <c r="G16" s="583">
        <f t="shared" ref="G16:G39" si="4">D16-E16</f>
        <v>0</v>
      </c>
    </row>
    <row r="17" spans="1:7" s="475" customFormat="1" x14ac:dyDescent="0.25">
      <c r="A17" s="478" t="s">
        <v>499</v>
      </c>
      <c r="B17" s="582"/>
      <c r="C17" s="582"/>
      <c r="D17" s="583">
        <f t="shared" si="3"/>
        <v>0</v>
      </c>
      <c r="E17" s="582"/>
      <c r="F17" s="582"/>
      <c r="G17" s="583">
        <f t="shared" si="4"/>
        <v>0</v>
      </c>
    </row>
    <row r="18" spans="1:7" s="475" customFormat="1" x14ac:dyDescent="0.25">
      <c r="A18" s="478" t="s">
        <v>500</v>
      </c>
      <c r="B18" s="582"/>
      <c r="C18" s="582"/>
      <c r="D18" s="583">
        <f t="shared" si="3"/>
        <v>0</v>
      </c>
      <c r="E18" s="582"/>
      <c r="F18" s="582"/>
      <c r="G18" s="583">
        <f t="shared" si="4"/>
        <v>0</v>
      </c>
    </row>
    <row r="19" spans="1:7" s="475" customFormat="1" x14ac:dyDescent="0.25">
      <c r="A19" s="478" t="s">
        <v>501</v>
      </c>
      <c r="B19" s="582"/>
      <c r="C19" s="582"/>
      <c r="D19" s="583">
        <f t="shared" si="3"/>
        <v>0</v>
      </c>
      <c r="E19" s="582"/>
      <c r="F19" s="582"/>
      <c r="G19" s="583">
        <f t="shared" si="4"/>
        <v>0</v>
      </c>
    </row>
    <row r="20" spans="1:7" s="475" customFormat="1" ht="27" x14ac:dyDescent="0.25">
      <c r="A20" s="478" t="s">
        <v>502</v>
      </c>
      <c r="B20" s="582"/>
      <c r="C20" s="582"/>
      <c r="D20" s="583">
        <f t="shared" si="3"/>
        <v>0</v>
      </c>
      <c r="E20" s="582"/>
      <c r="F20" s="582"/>
      <c r="G20" s="583">
        <f t="shared" si="4"/>
        <v>0</v>
      </c>
    </row>
    <row r="21" spans="1:7" s="475" customFormat="1" x14ac:dyDescent="0.25">
      <c r="A21" s="478" t="s">
        <v>503</v>
      </c>
      <c r="B21" s="582"/>
      <c r="C21" s="582"/>
      <c r="D21" s="583">
        <f t="shared" si="3"/>
        <v>0</v>
      </c>
      <c r="E21" s="582"/>
      <c r="F21" s="582"/>
      <c r="G21" s="583">
        <f t="shared" si="4"/>
        <v>0</v>
      </c>
    </row>
    <row r="22" spans="1:7" s="475" customFormat="1" x14ac:dyDescent="0.25">
      <c r="A22" s="478" t="s">
        <v>504</v>
      </c>
      <c r="B22" s="582"/>
      <c r="C22" s="582"/>
      <c r="D22" s="583">
        <f t="shared" si="3"/>
        <v>0</v>
      </c>
      <c r="E22" s="582"/>
      <c r="F22" s="582"/>
      <c r="G22" s="583">
        <f t="shared" si="4"/>
        <v>0</v>
      </c>
    </row>
    <row r="23" spans="1:7" s="474" customFormat="1" x14ac:dyDescent="0.25">
      <c r="A23" s="473" t="s">
        <v>505</v>
      </c>
      <c r="B23" s="581">
        <f t="shared" ref="B23:G23" si="5">SUM(B24:B26)</f>
        <v>0</v>
      </c>
      <c r="C23" s="581">
        <f t="shared" si="5"/>
        <v>0</v>
      </c>
      <c r="D23" s="581">
        <f t="shared" si="5"/>
        <v>0</v>
      </c>
      <c r="E23" s="581">
        <f t="shared" si="5"/>
        <v>0</v>
      </c>
      <c r="F23" s="581">
        <f t="shared" si="5"/>
        <v>0</v>
      </c>
      <c r="G23" s="581">
        <f t="shared" si="5"/>
        <v>0</v>
      </c>
    </row>
    <row r="24" spans="1:7" s="475" customFormat="1" ht="27" x14ac:dyDescent="0.25">
      <c r="A24" s="478" t="s">
        <v>506</v>
      </c>
      <c r="B24" s="582"/>
      <c r="C24" s="582"/>
      <c r="D24" s="583">
        <f t="shared" ref="D24:D26" si="6">B24+C24</f>
        <v>0</v>
      </c>
      <c r="E24" s="582"/>
      <c r="F24" s="582"/>
      <c r="G24" s="583">
        <f t="shared" si="4"/>
        <v>0</v>
      </c>
    </row>
    <row r="25" spans="1:7" s="475" customFormat="1" x14ac:dyDescent="0.25">
      <c r="A25" s="478" t="s">
        <v>507</v>
      </c>
      <c r="B25" s="582"/>
      <c r="C25" s="582"/>
      <c r="D25" s="583">
        <f t="shared" si="6"/>
        <v>0</v>
      </c>
      <c r="E25" s="582"/>
      <c r="F25" s="582"/>
      <c r="G25" s="583">
        <f t="shared" si="4"/>
        <v>0</v>
      </c>
    </row>
    <row r="26" spans="1:7" s="475" customFormat="1" x14ac:dyDescent="0.25">
      <c r="A26" s="478" t="s">
        <v>508</v>
      </c>
      <c r="B26" s="582"/>
      <c r="C26" s="582"/>
      <c r="D26" s="583">
        <f t="shared" si="6"/>
        <v>0</v>
      </c>
      <c r="E26" s="582"/>
      <c r="F26" s="582"/>
      <c r="G26" s="583">
        <f t="shared" si="4"/>
        <v>0</v>
      </c>
    </row>
    <row r="27" spans="1:7" s="474" customFormat="1" x14ac:dyDescent="0.25">
      <c r="A27" s="473" t="s">
        <v>509</v>
      </c>
      <c r="B27" s="581">
        <f>B28+B29</f>
        <v>0</v>
      </c>
      <c r="C27" s="581">
        <f>C28+C29</f>
        <v>0</v>
      </c>
      <c r="D27" s="581">
        <f>SUM(D28:D29)</f>
        <v>0</v>
      </c>
      <c r="E27" s="581">
        <f>E28+E29</f>
        <v>0</v>
      </c>
      <c r="F27" s="581">
        <f>F28+F29</f>
        <v>0</v>
      </c>
      <c r="G27" s="581">
        <f>SUM(G28:G29)</f>
        <v>0</v>
      </c>
    </row>
    <row r="28" spans="1:7" s="475" customFormat="1" x14ac:dyDescent="0.25">
      <c r="A28" s="478" t="s">
        <v>510</v>
      </c>
      <c r="B28" s="582"/>
      <c r="C28" s="582"/>
      <c r="D28" s="583">
        <f t="shared" ref="D28:D29" si="7">B28+C28</f>
        <v>0</v>
      </c>
      <c r="E28" s="582"/>
      <c r="F28" s="582"/>
      <c r="G28" s="583">
        <f t="shared" si="4"/>
        <v>0</v>
      </c>
    </row>
    <row r="29" spans="1:7" s="475" customFormat="1" x14ac:dyDescent="0.25">
      <c r="A29" s="478" t="s">
        <v>511</v>
      </c>
      <c r="B29" s="582"/>
      <c r="C29" s="582"/>
      <c r="D29" s="583">
        <f t="shared" si="7"/>
        <v>0</v>
      </c>
      <c r="E29" s="582"/>
      <c r="F29" s="582"/>
      <c r="G29" s="583">
        <f t="shared" si="4"/>
        <v>0</v>
      </c>
    </row>
    <row r="30" spans="1:7" s="474" customFormat="1" x14ac:dyDescent="0.25">
      <c r="A30" s="473" t="s">
        <v>512</v>
      </c>
      <c r="B30" s="581">
        <f>B31+B32+B33+B34</f>
        <v>0</v>
      </c>
      <c r="C30" s="581">
        <f>C31+C32+C33+C34</f>
        <v>0</v>
      </c>
      <c r="D30" s="581">
        <f>SUM(D31:D34)</f>
        <v>0</v>
      </c>
      <c r="E30" s="581">
        <f>E31+E32+E33+E34</f>
        <v>0</v>
      </c>
      <c r="F30" s="581">
        <f>F31+F32+F33+F34</f>
        <v>0</v>
      </c>
      <c r="G30" s="581">
        <f>SUM(G31:G34)</f>
        <v>0</v>
      </c>
    </row>
    <row r="31" spans="1:7" s="475" customFormat="1" x14ac:dyDescent="0.25">
      <c r="A31" s="478" t="s">
        <v>170</v>
      </c>
      <c r="B31" s="582"/>
      <c r="C31" s="582"/>
      <c r="D31" s="583">
        <f t="shared" ref="D31:D33" si="8">B31+C31</f>
        <v>0</v>
      </c>
      <c r="E31" s="582"/>
      <c r="F31" s="582"/>
      <c r="G31" s="583">
        <f t="shared" si="4"/>
        <v>0</v>
      </c>
    </row>
    <row r="32" spans="1:7" s="475" customFormat="1" x14ac:dyDescent="0.25">
      <c r="A32" s="478" t="s">
        <v>513</v>
      </c>
      <c r="B32" s="582"/>
      <c r="C32" s="582"/>
      <c r="D32" s="583">
        <f t="shared" si="8"/>
        <v>0</v>
      </c>
      <c r="E32" s="582"/>
      <c r="F32" s="582"/>
      <c r="G32" s="583">
        <f t="shared" si="4"/>
        <v>0</v>
      </c>
    </row>
    <row r="33" spans="1:8" s="475" customFormat="1" x14ac:dyDescent="0.25">
      <c r="A33" s="478" t="s">
        <v>514</v>
      </c>
      <c r="B33" s="582"/>
      <c r="C33" s="582"/>
      <c r="D33" s="583">
        <f t="shared" si="8"/>
        <v>0</v>
      </c>
      <c r="E33" s="582"/>
      <c r="F33" s="582"/>
      <c r="G33" s="583">
        <f t="shared" si="4"/>
        <v>0</v>
      </c>
    </row>
    <row r="34" spans="1:8" s="475" customFormat="1" x14ac:dyDescent="0.25">
      <c r="A34" s="478" t="s">
        <v>515</v>
      </c>
      <c r="B34" s="582"/>
      <c r="C34" s="582"/>
      <c r="D34" s="583">
        <f>B34+C34</f>
        <v>0</v>
      </c>
      <c r="E34" s="582"/>
      <c r="F34" s="582"/>
      <c r="G34" s="583">
        <f t="shared" si="4"/>
        <v>0</v>
      </c>
    </row>
    <row r="35" spans="1:8" s="474" customFormat="1" x14ac:dyDescent="0.25">
      <c r="A35" s="473" t="s">
        <v>516</v>
      </c>
      <c r="B35" s="581">
        <f t="shared" ref="B35:G35" si="9">B36</f>
        <v>0</v>
      </c>
      <c r="C35" s="581">
        <f t="shared" si="9"/>
        <v>0</v>
      </c>
      <c r="D35" s="581">
        <f t="shared" si="9"/>
        <v>0</v>
      </c>
      <c r="E35" s="581">
        <f t="shared" si="9"/>
        <v>0</v>
      </c>
      <c r="F35" s="581">
        <f t="shared" si="9"/>
        <v>0</v>
      </c>
      <c r="G35" s="581">
        <f t="shared" si="9"/>
        <v>0</v>
      </c>
    </row>
    <row r="36" spans="1:8" s="475" customFormat="1" x14ac:dyDescent="0.25">
      <c r="A36" s="478" t="s">
        <v>517</v>
      </c>
      <c r="B36" s="582"/>
      <c r="C36" s="582"/>
      <c r="D36" s="583">
        <f>B36+C36</f>
        <v>0</v>
      </c>
      <c r="E36" s="582"/>
      <c r="F36" s="582"/>
      <c r="G36" s="583">
        <f t="shared" si="4"/>
        <v>0</v>
      </c>
    </row>
    <row r="37" spans="1:8" s="474" customFormat="1" x14ac:dyDescent="0.25">
      <c r="A37" s="473" t="s">
        <v>518</v>
      </c>
      <c r="B37" s="584"/>
      <c r="C37" s="584"/>
      <c r="D37" s="581">
        <f>B37+C37</f>
        <v>0</v>
      </c>
      <c r="E37" s="584"/>
      <c r="F37" s="584"/>
      <c r="G37" s="581">
        <f t="shared" si="4"/>
        <v>0</v>
      </c>
    </row>
    <row r="38" spans="1:8" s="474" customFormat="1" ht="27" x14ac:dyDescent="0.25">
      <c r="A38" s="473" t="s">
        <v>519</v>
      </c>
      <c r="B38" s="584"/>
      <c r="C38" s="584"/>
      <c r="D38" s="581">
        <f>B38+C38</f>
        <v>0</v>
      </c>
      <c r="E38" s="584"/>
      <c r="F38" s="584"/>
      <c r="G38" s="581">
        <f t="shared" si="4"/>
        <v>0</v>
      </c>
    </row>
    <row r="39" spans="1:8" s="474" customFormat="1" ht="15.75" thickBot="1" x14ac:dyDescent="0.3">
      <c r="A39" s="473" t="s">
        <v>520</v>
      </c>
      <c r="B39" s="584"/>
      <c r="C39" s="584"/>
      <c r="D39" s="581">
        <f>B39+C39</f>
        <v>0</v>
      </c>
      <c r="E39" s="584"/>
      <c r="F39" s="584"/>
      <c r="G39" s="581">
        <f t="shared" si="4"/>
        <v>0</v>
      </c>
    </row>
    <row r="40" spans="1:8" ht="32.25" customHeight="1" thickBot="1" x14ac:dyDescent="0.3">
      <c r="A40" s="479" t="s">
        <v>383</v>
      </c>
      <c r="B40" s="585">
        <f t="shared" ref="B40:G40" si="10">SUM(B$10,B$14,B$23,B$27,B$30,B$35,B$37,B$38,B$39)</f>
        <v>351005907.46999997</v>
      </c>
      <c r="C40" s="585">
        <f t="shared" si="10"/>
        <v>283832069.66999996</v>
      </c>
      <c r="D40" s="585">
        <f t="shared" si="10"/>
        <v>634837977.13999987</v>
      </c>
      <c r="E40" s="585">
        <f t="shared" si="10"/>
        <v>65254108.409999996</v>
      </c>
      <c r="F40" s="585">
        <f t="shared" si="10"/>
        <v>65254108.409999996</v>
      </c>
      <c r="G40" s="585">
        <f t="shared" si="10"/>
        <v>569583868.7299999</v>
      </c>
      <c r="H40" s="661" t="str">
        <f>IF(B40&lt;&gt;'ETCA-II-11 '!B81,"ERROR!!!!! EL MONTO NO COINCIDE CON LO REPORTADO EN EL FORMATO ETCA-II-11 EN EL TOTAL APROBADO ANUAL DEL ANALÍTICO DE EGRESOS","")</f>
        <v/>
      </c>
    </row>
    <row r="41" spans="1:8" ht="18" customHeight="1" x14ac:dyDescent="0.25">
      <c r="A41" s="659"/>
      <c r="B41" s="662"/>
      <c r="C41" s="662"/>
      <c r="D41" s="662"/>
      <c r="E41" s="662"/>
      <c r="F41" s="662"/>
      <c r="G41" s="662"/>
      <c r="H41" s="661" t="str">
        <f>IF(C40&lt;&gt;'ETCA-II-11 '!C81,"ERROR!!!!! EL MONTO NO COINCIDE CON LO REPORTADO EN EL FORMATO ETCA-II-11 EN EL TOTAL DE AMPLIACIONES/REDUCCIONES PRESENTADO EN EL ANALÍTICO DE EGRESOS","")</f>
        <v/>
      </c>
    </row>
    <row r="42" spans="1:8" ht="18" customHeight="1" x14ac:dyDescent="0.25">
      <c r="A42" s="659"/>
      <c r="B42" s="662"/>
      <c r="C42" s="662"/>
      <c r="D42" s="662"/>
      <c r="E42" s="662"/>
      <c r="F42" s="662"/>
      <c r="G42" s="662"/>
      <c r="H42" s="661" t="str">
        <f>IF(D40&lt;&gt;'ETCA-II-11 '!D81,"ERROR!!!!! EL MONTO NO COINCIDE CON LO REPORTADO EN EL FORMATO ETCA-II-11 EN EL TOTAL MODIFICADO ANUAL PRESENTADO EN EL ANALÍTICO DE EGRESOS","")</f>
        <v/>
      </c>
    </row>
    <row r="43" spans="1:8" ht="18" customHeight="1" x14ac:dyDescent="0.25">
      <c r="A43" s="659"/>
      <c r="B43" s="662"/>
      <c r="C43" s="662"/>
      <c r="D43" s="662"/>
      <c r="E43" s="662"/>
      <c r="F43" s="662"/>
      <c r="G43" s="662"/>
      <c r="H43" s="661" t="str">
        <f>IF(E40&lt;&gt;'ETCA-II-11 '!E40,"ERROR!!!!! EL MONTO NO COINCIDE CON LO REPORTADO EN EL FORMATO ETCA-II-11 EN EL TOTAL DEVENGADO ANUAL PRESENTADO EN EL ANALÍTICO DE EGRESOS","")</f>
        <v>ERROR!!!!! EL MONTO NO COINCIDE CON LO REPORTADO EN EL FORMATO ETCA-II-11 EN EL TOTAL DEVENGADO ANUAL PRESENTADO EN EL ANALÍTICO DE EGRESOS</v>
      </c>
    </row>
    <row r="44" spans="1:8" ht="18" customHeight="1" x14ac:dyDescent="0.25">
      <c r="A44" s="659"/>
      <c r="B44" s="662"/>
      <c r="C44" s="662"/>
      <c r="D44" s="662"/>
      <c r="E44" s="662"/>
      <c r="F44" s="662"/>
      <c r="G44" s="662"/>
      <c r="H44" s="661" t="str">
        <f>IF(F40&lt;&gt;'ETCA-II-11 '!F81,"ERROR!!!!! EL MONTO NO COINCIDE CON LO REPORTADO EN EL FORMATO ETCA-II-11 EN EL TOTAL PAGADO ANUAL PRESENTADO EN EL ANALÍTICO DE EGRESOS","")</f>
        <v/>
      </c>
    </row>
    <row r="45" spans="1:8" ht="18" customHeight="1" x14ac:dyDescent="0.25">
      <c r="A45" s="474" t="s">
        <v>1612</v>
      </c>
      <c r="H45" s="661" t="str">
        <f>IF(G40&lt;&gt;'ETCA-II-11 '!G81,"ERROR!!!!! EL MONTO NO COINCIDE CON LO REPORTADO EN EL FORMATO ETCA-II-11 EN EL TOTAL SUBEJERCICIO PRESENTADO EN EL ANALÍTICO DE EGRESOS","")</f>
        <v/>
      </c>
    </row>
    <row r="46" spans="1:8" x14ac:dyDescent="0.25">
      <c r="A46" s="474" t="s">
        <v>1613</v>
      </c>
    </row>
    <row r="47" spans="1:8" ht="16.5" x14ac:dyDescent="0.3">
      <c r="A47" s="66"/>
    </row>
    <row r="48" spans="1:8" ht="16.5" x14ac:dyDescent="0.3">
      <c r="A48" s="66"/>
    </row>
    <row r="49" spans="1:1" ht="16.5" x14ac:dyDescent="0.3">
      <c r="A49" s="66"/>
    </row>
    <row r="50" spans="1:1" x14ac:dyDescent="0.25">
      <c r="A50" s="474" t="s">
        <v>1614</v>
      </c>
    </row>
    <row r="51" spans="1:1" x14ac:dyDescent="0.25">
      <c r="A51" s="474" t="s">
        <v>1615</v>
      </c>
    </row>
  </sheetData>
  <sheetProtection algorithmName="SHA-512" hashValue="4RpKYV91vlBL0d37zX+mcqKlp0O+Udu1o9ug2uKnAD/OZnbBeQ1Wd/BAZhgItpy+YjCHCt0VPsjp8vRt96WhyA==" saltValue="twqu92OG72KJImkCiNARGg==" spinCount="100000" sheet="1" objects="1" scenarios="1"/>
  <mergeCells count="6">
    <mergeCell ref="A1:G1"/>
    <mergeCell ref="A2:G2"/>
    <mergeCell ref="A4:G4"/>
    <mergeCell ref="A3:G3"/>
    <mergeCell ref="A6:A7"/>
    <mergeCell ref="B5:D5"/>
  </mergeCells>
  <printOptions horizontalCentered="1"/>
  <pageMargins left="0.39370078740157483" right="0.39370078740157483" top="0.74803149606299213" bottom="0.74803149606299213" header="0.31496062992125984" footer="0.31496062992125984"/>
  <pageSetup scale="8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
  <sheetViews>
    <sheetView workbookViewId="0">
      <selection activeCell="H29" sqref="H29"/>
    </sheetView>
  </sheetViews>
  <sheetFormatPr baseColWidth="10" defaultColWidth="11.42578125" defaultRowHeight="15" x14ac:dyDescent="0.25"/>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Y37"/>
  <sheetViews>
    <sheetView showRuler="0" zoomScale="120" zoomScaleNormal="120" zoomScalePageLayoutView="120" workbookViewId="0">
      <selection activeCell="A38" sqref="A38"/>
    </sheetView>
  </sheetViews>
  <sheetFormatPr baseColWidth="10" defaultColWidth="11.42578125" defaultRowHeight="15" x14ac:dyDescent="0.25"/>
  <cols>
    <col min="1" max="1" width="3.7109375" style="675" customWidth="1"/>
    <col min="2" max="7" width="2.85546875" style="675" customWidth="1"/>
    <col min="8" max="8" width="20.7109375" style="696" customWidth="1"/>
    <col min="9" max="9" width="7.42578125" customWidth="1"/>
    <col min="10" max="10" width="7.5703125" customWidth="1"/>
    <col min="11" max="11" width="6.42578125" customWidth="1"/>
    <col min="12" max="23" width="5.85546875" customWidth="1"/>
    <col min="24" max="24" width="6.7109375" customWidth="1"/>
    <col min="25" max="25" width="6.5703125" customWidth="1"/>
  </cols>
  <sheetData>
    <row r="1" spans="1:25" ht="24" customHeight="1" thickBot="1" x14ac:dyDescent="0.3">
      <c r="A1" s="667" t="s">
        <v>521</v>
      </c>
      <c r="B1" s="668"/>
      <c r="C1" s="669"/>
      <c r="D1" s="670"/>
      <c r="E1" s="671"/>
      <c r="F1" s="671"/>
      <c r="G1" s="672"/>
      <c r="H1" s="984"/>
      <c r="I1" s="985"/>
      <c r="J1" s="985"/>
      <c r="K1" s="985"/>
      <c r="L1" s="985"/>
      <c r="M1" s="985"/>
      <c r="N1" s="985"/>
      <c r="O1" s="985"/>
      <c r="P1" s="985"/>
      <c r="Q1" s="985"/>
      <c r="R1" s="985"/>
      <c r="S1" s="985"/>
      <c r="T1" s="985"/>
      <c r="U1" s="985"/>
      <c r="V1" s="986"/>
      <c r="W1" s="673" t="s">
        <v>522</v>
      </c>
      <c r="X1" s="674"/>
      <c r="Y1" s="673" t="s">
        <v>523</v>
      </c>
    </row>
    <row r="2" spans="1:25" x14ac:dyDescent="0.25">
      <c r="A2" s="675" t="s">
        <v>524</v>
      </c>
      <c r="B2" s="676"/>
      <c r="C2" s="676"/>
      <c r="D2" s="676"/>
      <c r="E2" s="676"/>
      <c r="F2" s="676"/>
      <c r="G2" s="676"/>
      <c r="H2" s="676"/>
      <c r="K2" s="677"/>
      <c r="L2" s="677"/>
      <c r="M2" s="677"/>
      <c r="N2" s="677"/>
      <c r="T2" s="677"/>
      <c r="U2" s="677"/>
      <c r="V2" s="677"/>
      <c r="W2" s="677"/>
      <c r="X2" s="678"/>
      <c r="Y2" s="678"/>
    </row>
    <row r="3" spans="1:25" ht="16.5" customHeight="1" x14ac:dyDescent="0.25">
      <c r="A3" s="978" t="s">
        <v>525</v>
      </c>
      <c r="B3" s="978" t="s">
        <v>526</v>
      </c>
      <c r="C3" s="987" t="s">
        <v>527</v>
      </c>
      <c r="D3" s="987" t="s">
        <v>528</v>
      </c>
      <c r="E3" s="978" t="s">
        <v>529</v>
      </c>
      <c r="F3" s="987" t="s">
        <v>530</v>
      </c>
      <c r="G3" s="987" t="s">
        <v>531</v>
      </c>
      <c r="H3" s="988" t="s">
        <v>9</v>
      </c>
      <c r="I3" s="978" t="s">
        <v>532</v>
      </c>
      <c r="J3" s="978" t="s">
        <v>533</v>
      </c>
      <c r="K3" s="979" t="s">
        <v>534</v>
      </c>
      <c r="L3" s="979"/>
      <c r="M3" s="979"/>
      <c r="N3" s="979"/>
      <c r="O3" s="979"/>
      <c r="P3" s="980" t="s">
        <v>535</v>
      </c>
      <c r="Q3" s="981"/>
      <c r="R3" s="981"/>
      <c r="S3" s="982"/>
      <c r="T3" s="979" t="s">
        <v>536</v>
      </c>
      <c r="U3" s="979"/>
      <c r="V3" s="979"/>
      <c r="W3" s="979"/>
      <c r="X3" s="978" t="s">
        <v>537</v>
      </c>
      <c r="Y3" s="978" t="s">
        <v>470</v>
      </c>
    </row>
    <row r="4" spans="1:25" s="677" customFormat="1" ht="36" customHeight="1" x14ac:dyDescent="0.25">
      <c r="A4" s="978"/>
      <c r="B4" s="978"/>
      <c r="C4" s="987"/>
      <c r="D4" s="987"/>
      <c r="E4" s="978"/>
      <c r="F4" s="987"/>
      <c r="G4" s="987"/>
      <c r="H4" s="988"/>
      <c r="I4" s="978"/>
      <c r="J4" s="978"/>
      <c r="K4" s="719" t="s">
        <v>538</v>
      </c>
      <c r="L4" s="718" t="s">
        <v>539</v>
      </c>
      <c r="M4" s="718" t="s">
        <v>540</v>
      </c>
      <c r="N4" s="718" t="s">
        <v>541</v>
      </c>
      <c r="O4" s="718" t="s">
        <v>542</v>
      </c>
      <c r="P4" s="718" t="s">
        <v>539</v>
      </c>
      <c r="Q4" s="718" t="s">
        <v>540</v>
      </c>
      <c r="R4" s="718" t="s">
        <v>541</v>
      </c>
      <c r="S4" s="718" t="s">
        <v>542</v>
      </c>
      <c r="T4" s="718" t="s">
        <v>539</v>
      </c>
      <c r="U4" s="718" t="s">
        <v>540</v>
      </c>
      <c r="V4" s="718" t="s">
        <v>541</v>
      </c>
      <c r="W4" s="718" t="s">
        <v>542</v>
      </c>
      <c r="X4" s="983"/>
      <c r="Y4" s="983"/>
    </row>
    <row r="5" spans="1:25" s="675" customFormat="1" ht="11.25" x14ac:dyDescent="0.2">
      <c r="A5" s="679"/>
      <c r="B5" s="679"/>
      <c r="C5" s="679"/>
      <c r="D5" s="679"/>
      <c r="E5" s="679"/>
      <c r="F5" s="679"/>
      <c r="G5" s="679"/>
      <c r="H5" s="680"/>
      <c r="I5" s="681"/>
      <c r="J5" s="681"/>
      <c r="K5" s="679">
        <f>L5+M5+N5+O5</f>
        <v>0</v>
      </c>
      <c r="L5" s="679"/>
      <c r="M5" s="679"/>
      <c r="N5" s="679"/>
      <c r="O5" s="679"/>
      <c r="P5" s="679"/>
      <c r="Q5" s="679"/>
      <c r="R5" s="679"/>
      <c r="S5" s="679"/>
      <c r="T5" s="679"/>
      <c r="U5" s="679"/>
      <c r="V5" s="679"/>
      <c r="W5" s="682"/>
      <c r="X5" s="679">
        <f>T5+U5+V5+W5</f>
        <v>0</v>
      </c>
      <c r="Y5" s="683" t="str">
        <f>IF(K5=0,"",(T5+U5+V5+W5)/K5)</f>
        <v/>
      </c>
    </row>
    <row r="6" spans="1:25" s="675" customFormat="1" ht="11.25" x14ac:dyDescent="0.2">
      <c r="A6" s="684"/>
      <c r="B6" s="684"/>
      <c r="C6" s="684"/>
      <c r="D6" s="684"/>
      <c r="E6" s="684"/>
      <c r="F6" s="684"/>
      <c r="G6" s="684"/>
      <c r="H6" s="685"/>
      <c r="I6" s="685"/>
      <c r="J6" s="685"/>
      <c r="K6" s="684">
        <f t="shared" ref="K6:K34" si="0">L6+M6+N6+O6</f>
        <v>0</v>
      </c>
      <c r="L6" s="684"/>
      <c r="M6" s="684"/>
      <c r="N6" s="684"/>
      <c r="O6" s="684"/>
      <c r="P6" s="684"/>
      <c r="Q6" s="684"/>
      <c r="R6" s="684"/>
      <c r="S6" s="684"/>
      <c r="T6" s="684"/>
      <c r="U6" s="684"/>
      <c r="V6" s="684"/>
      <c r="W6" s="686"/>
      <c r="X6" s="684">
        <f t="shared" ref="X6:X34" si="1">T6+U6+V6+W6</f>
        <v>0</v>
      </c>
      <c r="Y6" s="687" t="str">
        <f t="shared" ref="Y6:Y34" si="2">IF(K6=0,"",(T6+U6+V6+W6)/K6)</f>
        <v/>
      </c>
    </row>
    <row r="7" spans="1:25" s="675" customFormat="1" ht="11.25" x14ac:dyDescent="0.2">
      <c r="A7" s="684"/>
      <c r="B7" s="684"/>
      <c r="C7" s="684"/>
      <c r="D7" s="684"/>
      <c r="E7" s="684"/>
      <c r="F7" s="684"/>
      <c r="G7" s="684"/>
      <c r="H7" s="685"/>
      <c r="I7" s="685"/>
      <c r="J7" s="685"/>
      <c r="K7" s="684">
        <f t="shared" si="0"/>
        <v>0</v>
      </c>
      <c r="L7" s="684"/>
      <c r="M7" s="684"/>
      <c r="N7" s="684"/>
      <c r="O7" s="684"/>
      <c r="P7" s="684"/>
      <c r="Q7" s="684"/>
      <c r="R7" s="684"/>
      <c r="S7" s="684"/>
      <c r="T7" s="684"/>
      <c r="U7" s="684"/>
      <c r="V7" s="684"/>
      <c r="W7" s="686"/>
      <c r="X7" s="684">
        <f t="shared" si="1"/>
        <v>0</v>
      </c>
      <c r="Y7" s="687" t="str">
        <f t="shared" si="2"/>
        <v/>
      </c>
    </row>
    <row r="8" spans="1:25" s="675" customFormat="1" ht="11.25" x14ac:dyDescent="0.2">
      <c r="A8" s="684"/>
      <c r="B8" s="684"/>
      <c r="C8" s="684"/>
      <c r="D8" s="684"/>
      <c r="E8" s="688"/>
      <c r="F8" s="684"/>
      <c r="G8" s="684"/>
      <c r="H8" s="685"/>
      <c r="I8" s="684"/>
      <c r="J8" s="684"/>
      <c r="K8" s="684">
        <f t="shared" si="0"/>
        <v>0</v>
      </c>
      <c r="L8" s="684"/>
      <c r="M8" s="684"/>
      <c r="N8" s="684"/>
      <c r="O8" s="684"/>
      <c r="P8" s="684"/>
      <c r="Q8" s="684"/>
      <c r="R8" s="684"/>
      <c r="S8" s="684"/>
      <c r="T8" s="684"/>
      <c r="U8" s="684"/>
      <c r="V8" s="684"/>
      <c r="W8" s="686"/>
      <c r="X8" s="684">
        <f t="shared" si="1"/>
        <v>0</v>
      </c>
      <c r="Y8" s="687" t="str">
        <f t="shared" si="2"/>
        <v/>
      </c>
    </row>
    <row r="9" spans="1:25" s="675" customFormat="1" ht="11.25" x14ac:dyDescent="0.2">
      <c r="A9" s="684"/>
      <c r="B9" s="684"/>
      <c r="C9" s="684"/>
      <c r="D9" s="684"/>
      <c r="E9" s="684"/>
      <c r="F9" s="684"/>
      <c r="G9" s="684"/>
      <c r="H9" s="685"/>
      <c r="I9" s="684"/>
      <c r="J9" s="684"/>
      <c r="K9" s="684">
        <f t="shared" si="0"/>
        <v>0</v>
      </c>
      <c r="L9" s="684"/>
      <c r="M9" s="684"/>
      <c r="N9" s="684"/>
      <c r="O9" s="684"/>
      <c r="P9" s="684"/>
      <c r="Q9" s="684"/>
      <c r="R9" s="684"/>
      <c r="S9" s="684"/>
      <c r="T9" s="684"/>
      <c r="U9" s="684"/>
      <c r="V9" s="684"/>
      <c r="W9" s="686"/>
      <c r="X9" s="684">
        <f t="shared" si="1"/>
        <v>0</v>
      </c>
      <c r="Y9" s="687" t="str">
        <f t="shared" si="2"/>
        <v/>
      </c>
    </row>
    <row r="10" spans="1:25" s="675" customFormat="1" ht="11.25" x14ac:dyDescent="0.2">
      <c r="A10" s="684"/>
      <c r="B10" s="684"/>
      <c r="C10" s="684"/>
      <c r="D10" s="684"/>
      <c r="E10" s="684"/>
      <c r="F10" s="684"/>
      <c r="G10" s="684"/>
      <c r="H10" s="685"/>
      <c r="I10" s="684"/>
      <c r="J10" s="684"/>
      <c r="K10" s="684">
        <f t="shared" si="0"/>
        <v>0</v>
      </c>
      <c r="L10" s="684"/>
      <c r="M10" s="684"/>
      <c r="N10" s="684"/>
      <c r="O10" s="684"/>
      <c r="P10" s="684"/>
      <c r="Q10" s="684"/>
      <c r="R10" s="684"/>
      <c r="S10" s="684"/>
      <c r="T10" s="684"/>
      <c r="U10" s="684"/>
      <c r="V10" s="684"/>
      <c r="W10" s="686"/>
      <c r="X10" s="684">
        <f t="shared" si="1"/>
        <v>0</v>
      </c>
      <c r="Y10" s="687" t="str">
        <f t="shared" si="2"/>
        <v/>
      </c>
    </row>
    <row r="11" spans="1:25" s="675" customFormat="1" ht="11.25" x14ac:dyDescent="0.2">
      <c r="A11" s="684"/>
      <c r="B11" s="684"/>
      <c r="C11" s="684"/>
      <c r="D11" s="684"/>
      <c r="E11" s="684"/>
      <c r="F11" s="684"/>
      <c r="G11" s="684"/>
      <c r="H11" s="685"/>
      <c r="I11" s="684"/>
      <c r="J11" s="684"/>
      <c r="K11" s="684">
        <f t="shared" si="0"/>
        <v>0</v>
      </c>
      <c r="L11" s="684"/>
      <c r="M11" s="684"/>
      <c r="N11" s="684"/>
      <c r="O11" s="684"/>
      <c r="P11" s="684"/>
      <c r="Q11" s="684"/>
      <c r="R11" s="684"/>
      <c r="S11" s="684"/>
      <c r="T11" s="689"/>
      <c r="U11" s="684"/>
      <c r="V11" s="684"/>
      <c r="W11" s="686"/>
      <c r="X11" s="684">
        <f t="shared" si="1"/>
        <v>0</v>
      </c>
      <c r="Y11" s="687" t="str">
        <f t="shared" si="2"/>
        <v/>
      </c>
    </row>
    <row r="12" spans="1:25" s="675" customFormat="1" ht="11.25" x14ac:dyDescent="0.2">
      <c r="A12" s="684"/>
      <c r="B12" s="684"/>
      <c r="C12" s="684"/>
      <c r="D12" s="684"/>
      <c r="E12" s="684"/>
      <c r="F12" s="684"/>
      <c r="G12" s="684"/>
      <c r="H12" s="685"/>
      <c r="I12" s="684"/>
      <c r="J12" s="684"/>
      <c r="K12" s="684">
        <f t="shared" si="0"/>
        <v>0</v>
      </c>
      <c r="L12" s="684"/>
      <c r="M12" s="684"/>
      <c r="N12" s="684"/>
      <c r="O12" s="684"/>
      <c r="P12" s="684"/>
      <c r="Q12" s="684"/>
      <c r="R12" s="684"/>
      <c r="S12" s="684"/>
      <c r="T12" s="684"/>
      <c r="U12" s="684"/>
      <c r="V12" s="684"/>
      <c r="W12" s="686"/>
      <c r="X12" s="684">
        <f t="shared" si="1"/>
        <v>0</v>
      </c>
      <c r="Y12" s="687" t="str">
        <f t="shared" si="2"/>
        <v/>
      </c>
    </row>
    <row r="13" spans="1:25" s="675" customFormat="1" ht="11.25" x14ac:dyDescent="0.2">
      <c r="A13" s="684"/>
      <c r="B13" s="690"/>
      <c r="C13" s="690"/>
      <c r="D13" s="690"/>
      <c r="E13" s="690"/>
      <c r="F13" s="690"/>
      <c r="G13" s="690"/>
      <c r="H13" s="691"/>
      <c r="I13" s="684"/>
      <c r="J13" s="684"/>
      <c r="K13" s="684">
        <f t="shared" si="0"/>
        <v>0</v>
      </c>
      <c r="L13" s="684"/>
      <c r="M13" s="684"/>
      <c r="N13" s="684"/>
      <c r="O13" s="684"/>
      <c r="P13" s="684"/>
      <c r="Q13" s="684"/>
      <c r="R13" s="684"/>
      <c r="S13" s="684"/>
      <c r="T13" s="684"/>
      <c r="U13" s="684"/>
      <c r="V13" s="684"/>
      <c r="W13" s="686"/>
      <c r="X13" s="684">
        <f t="shared" si="1"/>
        <v>0</v>
      </c>
      <c r="Y13" s="687" t="str">
        <f t="shared" si="2"/>
        <v/>
      </c>
    </row>
    <row r="14" spans="1:25" s="675" customFormat="1" ht="11.25" x14ac:dyDescent="0.2">
      <c r="A14" s="684"/>
      <c r="B14" s="690"/>
      <c r="C14" s="690"/>
      <c r="D14" s="690"/>
      <c r="E14" s="690"/>
      <c r="F14" s="690"/>
      <c r="G14" s="690"/>
      <c r="H14" s="691"/>
      <c r="I14" s="684"/>
      <c r="J14" s="684"/>
      <c r="K14" s="684">
        <f t="shared" si="0"/>
        <v>0</v>
      </c>
      <c r="L14" s="684"/>
      <c r="M14" s="684"/>
      <c r="N14" s="684"/>
      <c r="O14" s="684"/>
      <c r="P14" s="684"/>
      <c r="Q14" s="684"/>
      <c r="R14" s="684"/>
      <c r="S14" s="684"/>
      <c r="T14" s="684"/>
      <c r="U14" s="684"/>
      <c r="V14" s="684"/>
      <c r="W14" s="686"/>
      <c r="X14" s="684">
        <f t="shared" si="1"/>
        <v>0</v>
      </c>
      <c r="Y14" s="687" t="str">
        <f t="shared" si="2"/>
        <v/>
      </c>
    </row>
    <row r="15" spans="1:25" s="675" customFormat="1" ht="11.25" x14ac:dyDescent="0.2">
      <c r="A15" s="684"/>
      <c r="B15" s="690"/>
      <c r="C15" s="690"/>
      <c r="D15" s="690"/>
      <c r="E15" s="690"/>
      <c r="F15" s="690"/>
      <c r="G15" s="690"/>
      <c r="H15" s="691"/>
      <c r="I15" s="684"/>
      <c r="J15" s="684"/>
      <c r="K15" s="684">
        <f t="shared" si="0"/>
        <v>0</v>
      </c>
      <c r="L15" s="684"/>
      <c r="M15" s="684"/>
      <c r="N15" s="684"/>
      <c r="O15" s="684"/>
      <c r="P15" s="684"/>
      <c r="Q15" s="684"/>
      <c r="R15" s="684"/>
      <c r="S15" s="684"/>
      <c r="T15" s="684"/>
      <c r="U15" s="684"/>
      <c r="V15" s="684"/>
      <c r="W15" s="686"/>
      <c r="X15" s="684">
        <f t="shared" si="1"/>
        <v>0</v>
      </c>
      <c r="Y15" s="687" t="str">
        <f t="shared" si="2"/>
        <v/>
      </c>
    </row>
    <row r="16" spans="1:25" s="675" customFormat="1" ht="11.25" x14ac:dyDescent="0.2">
      <c r="A16" s="684"/>
      <c r="B16" s="690"/>
      <c r="C16" s="690"/>
      <c r="D16" s="690"/>
      <c r="E16" s="684"/>
      <c r="F16" s="684"/>
      <c r="G16" s="684"/>
      <c r="H16" s="685"/>
      <c r="I16" s="684"/>
      <c r="J16" s="684"/>
      <c r="K16" s="684">
        <f t="shared" si="0"/>
        <v>0</v>
      </c>
      <c r="L16" s="684"/>
      <c r="M16" s="684"/>
      <c r="N16" s="684"/>
      <c r="O16" s="684"/>
      <c r="P16" s="684"/>
      <c r="Q16" s="684"/>
      <c r="R16" s="684"/>
      <c r="S16" s="684"/>
      <c r="T16" s="684"/>
      <c r="U16" s="684"/>
      <c r="V16" s="684"/>
      <c r="W16" s="686"/>
      <c r="X16" s="684">
        <f t="shared" si="1"/>
        <v>0</v>
      </c>
      <c r="Y16" s="687" t="str">
        <f t="shared" si="2"/>
        <v/>
      </c>
    </row>
    <row r="17" spans="1:25" s="675" customFormat="1" ht="11.25" x14ac:dyDescent="0.2">
      <c r="A17" s="684"/>
      <c r="B17" s="684"/>
      <c r="C17" s="684"/>
      <c r="D17" s="684"/>
      <c r="E17" s="684"/>
      <c r="F17" s="684"/>
      <c r="G17" s="684"/>
      <c r="H17" s="685"/>
      <c r="I17" s="684"/>
      <c r="J17" s="684"/>
      <c r="K17" s="684">
        <f t="shared" si="0"/>
        <v>0</v>
      </c>
      <c r="L17" s="684"/>
      <c r="M17" s="684"/>
      <c r="N17" s="684"/>
      <c r="O17" s="684"/>
      <c r="P17" s="684"/>
      <c r="Q17" s="684"/>
      <c r="R17" s="684"/>
      <c r="S17" s="684"/>
      <c r="T17" s="684"/>
      <c r="U17" s="684"/>
      <c r="V17" s="684"/>
      <c r="W17" s="686"/>
      <c r="X17" s="684">
        <f t="shared" si="1"/>
        <v>0</v>
      </c>
      <c r="Y17" s="687" t="str">
        <f t="shared" si="2"/>
        <v/>
      </c>
    </row>
    <row r="18" spans="1:25" s="675" customFormat="1" ht="11.25" x14ac:dyDescent="0.2">
      <c r="A18" s="684"/>
      <c r="B18" s="684"/>
      <c r="C18" s="684"/>
      <c r="D18" s="684"/>
      <c r="E18" s="684"/>
      <c r="F18" s="684"/>
      <c r="G18" s="684"/>
      <c r="H18" s="685"/>
      <c r="I18" s="684"/>
      <c r="J18" s="684"/>
      <c r="K18" s="684">
        <f t="shared" si="0"/>
        <v>0</v>
      </c>
      <c r="L18" s="684"/>
      <c r="M18" s="684"/>
      <c r="N18" s="684"/>
      <c r="O18" s="684"/>
      <c r="P18" s="684"/>
      <c r="Q18" s="684"/>
      <c r="R18" s="684"/>
      <c r="S18" s="684"/>
      <c r="T18" s="684"/>
      <c r="U18" s="684"/>
      <c r="V18" s="684"/>
      <c r="W18" s="686"/>
      <c r="X18" s="684">
        <f t="shared" si="1"/>
        <v>0</v>
      </c>
      <c r="Y18" s="687" t="str">
        <f t="shared" si="2"/>
        <v/>
      </c>
    </row>
    <row r="19" spans="1:25" s="675" customFormat="1" ht="11.25" x14ac:dyDescent="0.2">
      <c r="A19" s="684"/>
      <c r="B19" s="684"/>
      <c r="C19" s="684"/>
      <c r="D19" s="684"/>
      <c r="E19" s="684"/>
      <c r="F19" s="684"/>
      <c r="G19" s="684"/>
      <c r="H19" s="685"/>
      <c r="I19" s="684"/>
      <c r="J19" s="684"/>
      <c r="K19" s="684">
        <f t="shared" si="0"/>
        <v>0</v>
      </c>
      <c r="L19" s="684"/>
      <c r="M19" s="684"/>
      <c r="N19" s="684"/>
      <c r="O19" s="684"/>
      <c r="P19" s="684"/>
      <c r="Q19" s="684"/>
      <c r="R19" s="684"/>
      <c r="S19" s="684"/>
      <c r="T19" s="684"/>
      <c r="U19" s="684"/>
      <c r="V19" s="684"/>
      <c r="W19" s="686"/>
      <c r="X19" s="684">
        <f t="shared" si="1"/>
        <v>0</v>
      </c>
      <c r="Y19" s="687" t="str">
        <f t="shared" si="2"/>
        <v/>
      </c>
    </row>
    <row r="20" spans="1:25" s="675" customFormat="1" ht="11.25" x14ac:dyDescent="0.2">
      <c r="A20" s="684"/>
      <c r="B20" s="684"/>
      <c r="C20" s="684"/>
      <c r="D20" s="684"/>
      <c r="E20" s="684"/>
      <c r="F20" s="684"/>
      <c r="G20" s="684"/>
      <c r="H20" s="685"/>
      <c r="I20" s="684"/>
      <c r="J20" s="684"/>
      <c r="K20" s="684">
        <f t="shared" si="0"/>
        <v>0</v>
      </c>
      <c r="L20" s="684"/>
      <c r="M20" s="684"/>
      <c r="N20" s="684"/>
      <c r="O20" s="684"/>
      <c r="P20" s="684"/>
      <c r="Q20" s="684"/>
      <c r="R20" s="684"/>
      <c r="S20" s="684"/>
      <c r="T20" s="684"/>
      <c r="U20" s="684"/>
      <c r="V20" s="684"/>
      <c r="W20" s="686"/>
      <c r="X20" s="684">
        <f t="shared" si="1"/>
        <v>0</v>
      </c>
      <c r="Y20" s="687" t="str">
        <f t="shared" si="2"/>
        <v/>
      </c>
    </row>
    <row r="21" spans="1:25" s="675" customFormat="1" ht="11.25" x14ac:dyDescent="0.2">
      <c r="A21" s="684"/>
      <c r="B21" s="684"/>
      <c r="C21" s="684"/>
      <c r="D21" s="684"/>
      <c r="E21" s="684"/>
      <c r="F21" s="684"/>
      <c r="G21" s="684"/>
      <c r="H21" s="685"/>
      <c r="I21" s="684"/>
      <c r="J21" s="684"/>
      <c r="K21" s="684">
        <f t="shared" si="0"/>
        <v>0</v>
      </c>
      <c r="L21" s="684"/>
      <c r="M21" s="684"/>
      <c r="N21" s="684"/>
      <c r="O21" s="684"/>
      <c r="P21" s="684"/>
      <c r="Q21" s="684"/>
      <c r="R21" s="684"/>
      <c r="S21" s="684"/>
      <c r="T21" s="684"/>
      <c r="U21" s="684"/>
      <c r="V21" s="684"/>
      <c r="W21" s="686"/>
      <c r="X21" s="684">
        <f t="shared" si="1"/>
        <v>0</v>
      </c>
      <c r="Y21" s="687" t="str">
        <f t="shared" si="2"/>
        <v/>
      </c>
    </row>
    <row r="22" spans="1:25" s="675" customFormat="1" ht="11.25" x14ac:dyDescent="0.2">
      <c r="A22" s="684"/>
      <c r="B22" s="684"/>
      <c r="C22" s="684"/>
      <c r="D22" s="684"/>
      <c r="E22" s="684"/>
      <c r="F22" s="684"/>
      <c r="G22" s="684"/>
      <c r="H22" s="685"/>
      <c r="I22" s="684"/>
      <c r="J22" s="684"/>
      <c r="K22" s="684">
        <f t="shared" si="0"/>
        <v>0</v>
      </c>
      <c r="L22" s="684"/>
      <c r="M22" s="684"/>
      <c r="N22" s="684"/>
      <c r="O22" s="684"/>
      <c r="P22" s="684"/>
      <c r="Q22" s="684"/>
      <c r="R22" s="684"/>
      <c r="S22" s="684"/>
      <c r="T22" s="684"/>
      <c r="U22" s="684"/>
      <c r="V22" s="684"/>
      <c r="W22" s="686"/>
      <c r="X22" s="684">
        <f t="shared" si="1"/>
        <v>0</v>
      </c>
      <c r="Y22" s="687" t="str">
        <f t="shared" si="2"/>
        <v/>
      </c>
    </row>
    <row r="23" spans="1:25" s="675" customFormat="1" ht="11.25" x14ac:dyDescent="0.2">
      <c r="A23" s="684"/>
      <c r="B23" s="684"/>
      <c r="C23" s="684"/>
      <c r="D23" s="684"/>
      <c r="E23" s="684"/>
      <c r="F23" s="684"/>
      <c r="G23" s="684"/>
      <c r="H23" s="685"/>
      <c r="I23" s="684"/>
      <c r="J23" s="684"/>
      <c r="K23" s="684">
        <f t="shared" si="0"/>
        <v>0</v>
      </c>
      <c r="L23" s="684"/>
      <c r="M23" s="684"/>
      <c r="N23" s="684"/>
      <c r="O23" s="684"/>
      <c r="P23" s="684"/>
      <c r="Q23" s="684"/>
      <c r="R23" s="684"/>
      <c r="S23" s="684"/>
      <c r="T23" s="684"/>
      <c r="U23" s="684"/>
      <c r="V23" s="684"/>
      <c r="W23" s="686"/>
      <c r="X23" s="684">
        <f t="shared" si="1"/>
        <v>0</v>
      </c>
      <c r="Y23" s="687" t="str">
        <f t="shared" si="2"/>
        <v/>
      </c>
    </row>
    <row r="24" spans="1:25" s="675" customFormat="1" ht="11.25" x14ac:dyDescent="0.2">
      <c r="A24" s="684"/>
      <c r="B24" s="684"/>
      <c r="C24" s="684"/>
      <c r="D24" s="684"/>
      <c r="E24" s="684"/>
      <c r="F24" s="684"/>
      <c r="G24" s="684"/>
      <c r="H24" s="685"/>
      <c r="I24" s="684"/>
      <c r="J24" s="684"/>
      <c r="K24" s="684">
        <f t="shared" si="0"/>
        <v>0</v>
      </c>
      <c r="L24" s="684"/>
      <c r="M24" s="684"/>
      <c r="N24" s="684"/>
      <c r="O24" s="684"/>
      <c r="P24" s="684"/>
      <c r="Q24" s="684"/>
      <c r="R24" s="684"/>
      <c r="S24" s="684"/>
      <c r="T24" s="684"/>
      <c r="U24" s="684"/>
      <c r="V24" s="684"/>
      <c r="W24" s="686"/>
      <c r="X24" s="684">
        <f t="shared" si="1"/>
        <v>0</v>
      </c>
      <c r="Y24" s="687" t="str">
        <f t="shared" si="2"/>
        <v/>
      </c>
    </row>
    <row r="25" spans="1:25" s="675" customFormat="1" ht="11.25" x14ac:dyDescent="0.2">
      <c r="A25" s="684"/>
      <c r="B25" s="684"/>
      <c r="C25" s="684"/>
      <c r="D25" s="684"/>
      <c r="E25" s="684"/>
      <c r="F25" s="684"/>
      <c r="G25" s="684"/>
      <c r="H25" s="685"/>
      <c r="I25" s="684"/>
      <c r="J25" s="684"/>
      <c r="K25" s="684">
        <f t="shared" si="0"/>
        <v>0</v>
      </c>
      <c r="L25" s="684"/>
      <c r="M25" s="684"/>
      <c r="N25" s="684"/>
      <c r="O25" s="684"/>
      <c r="P25" s="684"/>
      <c r="Q25" s="684"/>
      <c r="R25" s="684"/>
      <c r="S25" s="684"/>
      <c r="T25" s="684"/>
      <c r="U25" s="684"/>
      <c r="V25" s="684"/>
      <c r="W25" s="686"/>
      <c r="X25" s="684">
        <f t="shared" si="1"/>
        <v>0</v>
      </c>
      <c r="Y25" s="687" t="str">
        <f t="shared" si="2"/>
        <v/>
      </c>
    </row>
    <row r="26" spans="1:25" s="675" customFormat="1" ht="11.25" x14ac:dyDescent="0.2">
      <c r="A26" s="684"/>
      <c r="B26" s="684"/>
      <c r="C26" s="684"/>
      <c r="D26" s="684"/>
      <c r="E26" s="684"/>
      <c r="F26" s="684"/>
      <c r="G26" s="684"/>
      <c r="H26" s="685"/>
      <c r="I26" s="684"/>
      <c r="J26" s="684"/>
      <c r="K26" s="684">
        <f t="shared" si="0"/>
        <v>0</v>
      </c>
      <c r="L26" s="684"/>
      <c r="M26" s="684"/>
      <c r="N26" s="684"/>
      <c r="O26" s="684"/>
      <c r="P26" s="684"/>
      <c r="Q26" s="684"/>
      <c r="R26" s="684"/>
      <c r="S26" s="684"/>
      <c r="T26" s="684"/>
      <c r="U26" s="684"/>
      <c r="V26" s="684"/>
      <c r="W26" s="686"/>
      <c r="X26" s="684">
        <f t="shared" si="1"/>
        <v>0</v>
      </c>
      <c r="Y26" s="687" t="str">
        <f t="shared" si="2"/>
        <v/>
      </c>
    </row>
    <row r="27" spans="1:25" s="675" customFormat="1" ht="11.25" x14ac:dyDescent="0.2">
      <c r="A27" s="684"/>
      <c r="B27" s="684"/>
      <c r="C27" s="684"/>
      <c r="D27" s="684"/>
      <c r="E27" s="684"/>
      <c r="F27" s="684"/>
      <c r="G27" s="684"/>
      <c r="H27" s="685"/>
      <c r="I27" s="684"/>
      <c r="J27" s="684"/>
      <c r="K27" s="684">
        <f t="shared" si="0"/>
        <v>0</v>
      </c>
      <c r="L27" s="684"/>
      <c r="M27" s="684"/>
      <c r="N27" s="684"/>
      <c r="O27" s="684"/>
      <c r="P27" s="684"/>
      <c r="Q27" s="684"/>
      <c r="R27" s="684"/>
      <c r="S27" s="684"/>
      <c r="T27" s="684"/>
      <c r="U27" s="684"/>
      <c r="V27" s="684"/>
      <c r="W27" s="686"/>
      <c r="X27" s="684">
        <f t="shared" si="1"/>
        <v>0</v>
      </c>
      <c r="Y27" s="687" t="str">
        <f t="shared" si="2"/>
        <v/>
      </c>
    </row>
    <row r="28" spans="1:25" s="675" customFormat="1" ht="11.25" x14ac:dyDescent="0.2">
      <c r="A28" s="684"/>
      <c r="B28" s="684"/>
      <c r="C28" s="684"/>
      <c r="D28" s="684"/>
      <c r="E28" s="684"/>
      <c r="F28" s="684"/>
      <c r="G28" s="684"/>
      <c r="H28" s="685"/>
      <c r="I28" s="684"/>
      <c r="J28" s="684"/>
      <c r="K28" s="684">
        <f t="shared" si="0"/>
        <v>0</v>
      </c>
      <c r="L28" s="684"/>
      <c r="M28" s="684"/>
      <c r="N28" s="684"/>
      <c r="O28" s="684"/>
      <c r="P28" s="684"/>
      <c r="Q28" s="684"/>
      <c r="R28" s="684"/>
      <c r="S28" s="684"/>
      <c r="T28" s="684"/>
      <c r="U28" s="684"/>
      <c r="V28" s="684"/>
      <c r="W28" s="686"/>
      <c r="X28" s="684">
        <f t="shared" si="1"/>
        <v>0</v>
      </c>
      <c r="Y28" s="687" t="str">
        <f t="shared" si="2"/>
        <v/>
      </c>
    </row>
    <row r="29" spans="1:25" s="675" customFormat="1" ht="11.25" x14ac:dyDescent="0.2">
      <c r="A29" s="684"/>
      <c r="B29" s="684"/>
      <c r="C29" s="684"/>
      <c r="D29" s="684"/>
      <c r="E29" s="684"/>
      <c r="F29" s="684"/>
      <c r="G29" s="684"/>
      <c r="H29" s="685"/>
      <c r="I29" s="684"/>
      <c r="J29" s="684"/>
      <c r="K29" s="684">
        <f t="shared" si="0"/>
        <v>0</v>
      </c>
      <c r="L29" s="684"/>
      <c r="M29" s="684"/>
      <c r="N29" s="684"/>
      <c r="O29" s="684"/>
      <c r="P29" s="684"/>
      <c r="Q29" s="684"/>
      <c r="R29" s="684"/>
      <c r="S29" s="684"/>
      <c r="T29" s="684"/>
      <c r="U29" s="684"/>
      <c r="V29" s="684"/>
      <c r="W29" s="686"/>
      <c r="X29" s="684">
        <f t="shared" si="1"/>
        <v>0</v>
      </c>
      <c r="Y29" s="687" t="str">
        <f t="shared" si="2"/>
        <v/>
      </c>
    </row>
    <row r="30" spans="1:25" s="675" customFormat="1" ht="11.25" x14ac:dyDescent="0.2">
      <c r="A30" s="684"/>
      <c r="B30" s="684"/>
      <c r="C30" s="684"/>
      <c r="D30" s="684"/>
      <c r="E30" s="684"/>
      <c r="F30" s="684"/>
      <c r="G30" s="684"/>
      <c r="H30" s="685"/>
      <c r="I30" s="684"/>
      <c r="J30" s="684"/>
      <c r="K30" s="684">
        <f t="shared" si="0"/>
        <v>0</v>
      </c>
      <c r="L30" s="684"/>
      <c r="M30" s="684"/>
      <c r="N30" s="684"/>
      <c r="O30" s="684"/>
      <c r="P30" s="684"/>
      <c r="Q30" s="684"/>
      <c r="R30" s="684"/>
      <c r="S30" s="684"/>
      <c r="T30" s="685"/>
      <c r="U30" s="684"/>
      <c r="V30" s="684"/>
      <c r="W30" s="686"/>
      <c r="X30" s="684">
        <f t="shared" si="1"/>
        <v>0</v>
      </c>
      <c r="Y30" s="687" t="str">
        <f t="shared" si="2"/>
        <v/>
      </c>
    </row>
    <row r="31" spans="1:25" s="675" customFormat="1" ht="11.25" x14ac:dyDescent="0.2">
      <c r="A31" s="684"/>
      <c r="B31" s="684"/>
      <c r="C31" s="684"/>
      <c r="D31" s="684"/>
      <c r="E31" s="684"/>
      <c r="F31" s="684"/>
      <c r="G31" s="684"/>
      <c r="H31" s="685"/>
      <c r="I31" s="684"/>
      <c r="J31" s="684"/>
      <c r="K31" s="684">
        <f t="shared" si="0"/>
        <v>0</v>
      </c>
      <c r="L31" s="684"/>
      <c r="M31" s="684"/>
      <c r="N31" s="684"/>
      <c r="O31" s="684"/>
      <c r="P31" s="684"/>
      <c r="Q31" s="684"/>
      <c r="R31" s="684"/>
      <c r="S31" s="684"/>
      <c r="T31" s="684"/>
      <c r="U31" s="684"/>
      <c r="V31" s="684"/>
      <c r="W31" s="686"/>
      <c r="X31" s="684">
        <f t="shared" si="1"/>
        <v>0</v>
      </c>
      <c r="Y31" s="687" t="str">
        <f t="shared" si="2"/>
        <v/>
      </c>
    </row>
    <row r="32" spans="1:25" s="675" customFormat="1" ht="11.25" x14ac:dyDescent="0.2">
      <c r="A32" s="684"/>
      <c r="B32" s="684"/>
      <c r="C32" s="684"/>
      <c r="D32" s="684"/>
      <c r="E32" s="684"/>
      <c r="F32" s="684"/>
      <c r="G32" s="684"/>
      <c r="H32" s="685"/>
      <c r="I32" s="684"/>
      <c r="J32" s="684"/>
      <c r="K32" s="684">
        <f t="shared" si="0"/>
        <v>0</v>
      </c>
      <c r="L32" s="684"/>
      <c r="M32" s="684"/>
      <c r="N32" s="684"/>
      <c r="O32" s="684"/>
      <c r="P32" s="684"/>
      <c r="Q32" s="684"/>
      <c r="R32" s="684"/>
      <c r="S32" s="684"/>
      <c r="T32" s="684"/>
      <c r="U32" s="684"/>
      <c r="V32" s="684"/>
      <c r="W32" s="686"/>
      <c r="X32" s="684">
        <f t="shared" si="1"/>
        <v>0</v>
      </c>
      <c r="Y32" s="687" t="str">
        <f t="shared" si="2"/>
        <v/>
      </c>
    </row>
    <row r="33" spans="1:25" s="675" customFormat="1" ht="11.25" x14ac:dyDescent="0.2">
      <c r="A33" s="684"/>
      <c r="B33" s="684"/>
      <c r="C33" s="684"/>
      <c r="D33" s="690"/>
      <c r="E33" s="690"/>
      <c r="F33" s="690"/>
      <c r="G33" s="690"/>
      <c r="H33" s="691"/>
      <c r="I33" s="684"/>
      <c r="J33" s="684"/>
      <c r="K33" s="684">
        <f t="shared" si="0"/>
        <v>0</v>
      </c>
      <c r="L33" s="684"/>
      <c r="M33" s="684"/>
      <c r="N33" s="684"/>
      <c r="O33" s="684"/>
      <c r="P33" s="684"/>
      <c r="Q33" s="684"/>
      <c r="R33" s="684"/>
      <c r="S33" s="684"/>
      <c r="T33" s="684"/>
      <c r="U33" s="684"/>
      <c r="V33" s="684"/>
      <c r="W33" s="686"/>
      <c r="X33" s="684">
        <f t="shared" si="1"/>
        <v>0</v>
      </c>
      <c r="Y33" s="687" t="str">
        <f t="shared" si="2"/>
        <v/>
      </c>
    </row>
    <row r="34" spans="1:25" s="675" customFormat="1" ht="11.25" x14ac:dyDescent="0.2">
      <c r="A34" s="692"/>
      <c r="B34" s="692"/>
      <c r="C34" s="692"/>
      <c r="D34" s="692"/>
      <c r="E34" s="692"/>
      <c r="F34" s="692"/>
      <c r="G34" s="692"/>
      <c r="H34" s="693"/>
      <c r="I34" s="692"/>
      <c r="J34" s="692"/>
      <c r="K34" s="692">
        <f t="shared" si="0"/>
        <v>0</v>
      </c>
      <c r="L34" s="692"/>
      <c r="M34" s="692"/>
      <c r="N34" s="692"/>
      <c r="O34" s="692"/>
      <c r="P34" s="692"/>
      <c r="Q34" s="692"/>
      <c r="R34" s="692"/>
      <c r="S34" s="692"/>
      <c r="T34" s="692"/>
      <c r="U34" s="692"/>
      <c r="V34" s="692"/>
      <c r="W34" s="694"/>
      <c r="X34" s="692">
        <f t="shared" si="1"/>
        <v>0</v>
      </c>
      <c r="Y34" s="695" t="str">
        <f t="shared" si="2"/>
        <v/>
      </c>
    </row>
    <row r="35" spans="1:25" ht="15" customHeight="1" x14ac:dyDescent="0.25">
      <c r="D35" s="974" t="s">
        <v>543</v>
      </c>
      <c r="E35" s="974"/>
      <c r="F35" s="974"/>
      <c r="G35" s="976">
        <f>(COUNT(G5:G34))</f>
        <v>0</v>
      </c>
    </row>
    <row r="36" spans="1:25" x14ac:dyDescent="0.25">
      <c r="D36" s="975"/>
      <c r="E36" s="975"/>
      <c r="F36" s="975"/>
      <c r="G36" s="977"/>
    </row>
    <row r="37" spans="1:25" x14ac:dyDescent="0.25">
      <c r="A37" s="675" t="s">
        <v>544</v>
      </c>
    </row>
  </sheetData>
  <sheetProtection selectLockedCells="1"/>
  <mergeCells count="18">
    <mergeCell ref="T3:W3"/>
    <mergeCell ref="X3:X4"/>
    <mergeCell ref="Y3:Y4"/>
    <mergeCell ref="H1:V1"/>
    <mergeCell ref="A3:A4"/>
    <mergeCell ref="B3:B4"/>
    <mergeCell ref="C3:C4"/>
    <mergeCell ref="D3:D4"/>
    <mergeCell ref="E3:E4"/>
    <mergeCell ref="F3:F4"/>
    <mergeCell ref="G3:G4"/>
    <mergeCell ref="H3:H4"/>
    <mergeCell ref="I3:I4"/>
    <mergeCell ref="D35:F36"/>
    <mergeCell ref="G35:G36"/>
    <mergeCell ref="J3:J4"/>
    <mergeCell ref="K3:O3"/>
    <mergeCell ref="P3:S3"/>
  </mergeCells>
  <pageMargins left="3.937007874015748E-2" right="0.23622047244094491" top="0.74803149606299213" bottom="0.74803149606299213" header="0.31496062992125984" footer="0.31496062992125984"/>
  <pageSetup scale="92" fitToHeight="10" orientation="landscape" r:id="rId1"/>
  <headerFooter scaleWithDoc="0" alignWithMargins="0">
    <oddHeader>&amp;C&amp;"-,Negrita"&amp;13SISTEMA ESTATAL DE EVALUACIÓN
&amp;12PROGRAMA OPERATIVO ANUAL 2016&amp;R&amp;"-,Negrita"ETCA III-15-A
POA - 2016</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G56"/>
  <sheetViews>
    <sheetView view="pageBreakPreview" zoomScale="90" zoomScaleNormal="100" zoomScaleSheetLayoutView="90" workbookViewId="0">
      <selection activeCell="A4" sqref="A4:E4"/>
    </sheetView>
  </sheetViews>
  <sheetFormatPr baseColWidth="10" defaultColWidth="11.42578125" defaultRowHeight="16.5" x14ac:dyDescent="0.3"/>
  <cols>
    <col min="1" max="1" width="1.85546875" style="482" customWidth="1"/>
    <col min="2" max="2" width="34.7109375" style="41" customWidth="1"/>
    <col min="3" max="3" width="20.85546875" style="41" customWidth="1"/>
    <col min="4" max="4" width="25.5703125" style="41" customWidth="1"/>
    <col min="5" max="5" width="19.85546875" style="41" customWidth="1"/>
    <col min="6" max="16384" width="11.42578125" style="41"/>
  </cols>
  <sheetData>
    <row r="1" spans="1:7" ht="16.5" customHeight="1" x14ac:dyDescent="0.3">
      <c r="A1" s="989" t="s">
        <v>545</v>
      </c>
      <c r="B1" s="989"/>
      <c r="C1" s="989"/>
      <c r="D1" s="989"/>
      <c r="E1" s="989"/>
    </row>
    <row r="2" spans="1:7" x14ac:dyDescent="0.3">
      <c r="A2" s="990" t="s">
        <v>1641</v>
      </c>
      <c r="B2" s="990"/>
      <c r="C2" s="990"/>
      <c r="D2" s="990"/>
      <c r="E2" s="990"/>
    </row>
    <row r="3" spans="1:7" x14ac:dyDescent="0.3">
      <c r="A3" s="919" t="s">
        <v>587</v>
      </c>
      <c r="B3" s="919"/>
      <c r="C3" s="919"/>
      <c r="D3" s="919"/>
      <c r="E3" s="919"/>
      <c r="G3" s="480"/>
    </row>
    <row r="4" spans="1:7" x14ac:dyDescent="0.3">
      <c r="A4" s="990" t="s">
        <v>590</v>
      </c>
      <c r="B4" s="990"/>
      <c r="C4" s="990"/>
      <c r="D4" s="990"/>
      <c r="E4" s="990"/>
    </row>
    <row r="5" spans="1:7" x14ac:dyDescent="0.3">
      <c r="A5" s="720"/>
      <c r="B5" s="720"/>
      <c r="C5" s="720" t="s">
        <v>546</v>
      </c>
      <c r="D5" s="4" t="s">
        <v>79</v>
      </c>
      <c r="E5" s="481" t="s">
        <v>589</v>
      </c>
    </row>
    <row r="6" spans="1:7" ht="6.75" customHeight="1" thickBot="1" x14ac:dyDescent="0.35"/>
    <row r="7" spans="1:7" s="483" customFormat="1" ht="17.25" customHeight="1" x14ac:dyDescent="0.25">
      <c r="A7" s="991"/>
      <c r="B7" s="992"/>
      <c r="C7" s="721"/>
      <c r="D7" s="721"/>
      <c r="E7" s="497"/>
    </row>
    <row r="8" spans="1:7" s="483" customFormat="1" ht="20.25" customHeight="1" x14ac:dyDescent="0.25">
      <c r="A8" s="485"/>
      <c r="B8" s="484"/>
      <c r="C8" s="484"/>
      <c r="D8" s="484"/>
      <c r="E8" s="486"/>
      <c r="F8" s="487"/>
    </row>
    <row r="9" spans="1:7" s="483" customFormat="1" ht="20.25" customHeight="1" x14ac:dyDescent="0.25">
      <c r="A9" s="488"/>
      <c r="B9" s="496" t="s">
        <v>547</v>
      </c>
      <c r="C9" s="484"/>
      <c r="D9" s="484"/>
      <c r="E9" s="486"/>
      <c r="F9" s="487"/>
    </row>
    <row r="10" spans="1:7" s="483" customFormat="1" ht="20.25" customHeight="1" x14ac:dyDescent="0.25">
      <c r="A10" s="488"/>
      <c r="B10" s="496" t="s">
        <v>548</v>
      </c>
      <c r="C10" s="484"/>
      <c r="D10" s="484" t="s">
        <v>549</v>
      </c>
      <c r="E10" s="484" t="s">
        <v>550</v>
      </c>
      <c r="F10" s="487"/>
    </row>
    <row r="11" spans="1:7" s="483" customFormat="1" ht="20.25" customHeight="1" x14ac:dyDescent="0.25">
      <c r="A11" s="485"/>
      <c r="E11" s="486"/>
      <c r="F11" s="487"/>
    </row>
    <row r="12" spans="1:7" s="483" customFormat="1" ht="20.25" customHeight="1" x14ac:dyDescent="0.25">
      <c r="A12" s="488"/>
      <c r="B12" s="874" t="s">
        <v>1619</v>
      </c>
      <c r="C12" s="875"/>
      <c r="D12" s="875"/>
      <c r="E12" s="486"/>
      <c r="F12" s="487"/>
    </row>
    <row r="13" spans="1:7" x14ac:dyDescent="0.3">
      <c r="A13" s="489"/>
      <c r="E13" s="490"/>
      <c r="F13" s="18"/>
    </row>
    <row r="14" spans="1:7" x14ac:dyDescent="0.3">
      <c r="A14" s="489"/>
      <c r="B14" s="18"/>
      <c r="C14" s="18"/>
      <c r="D14" s="18"/>
      <c r="E14" s="490"/>
      <c r="F14" s="18"/>
    </row>
    <row r="15" spans="1:7" x14ac:dyDescent="0.3">
      <c r="A15" s="489"/>
      <c r="B15" s="18"/>
      <c r="C15" s="18"/>
      <c r="D15" s="18"/>
      <c r="E15" s="490"/>
      <c r="F15" s="18"/>
    </row>
    <row r="16" spans="1:7" x14ac:dyDescent="0.3">
      <c r="A16" s="489"/>
      <c r="B16" s="18"/>
      <c r="C16" s="18"/>
      <c r="D16" s="18"/>
      <c r="E16" s="490"/>
      <c r="F16" s="18"/>
    </row>
    <row r="17" spans="1:6" x14ac:dyDescent="0.3">
      <c r="A17" s="489"/>
      <c r="B17" s="18"/>
      <c r="C17" s="18"/>
      <c r="D17" s="18"/>
      <c r="E17" s="490"/>
      <c r="F17" s="18"/>
    </row>
    <row r="18" spans="1:6" x14ac:dyDescent="0.3">
      <c r="A18" s="489"/>
      <c r="B18" s="18"/>
      <c r="C18" s="18"/>
      <c r="D18" s="18"/>
      <c r="E18" s="490"/>
      <c r="F18" s="18"/>
    </row>
    <row r="19" spans="1:6" x14ac:dyDescent="0.3">
      <c r="A19" s="489"/>
      <c r="B19" s="18"/>
      <c r="C19" s="18"/>
      <c r="D19" s="18"/>
      <c r="E19" s="490"/>
      <c r="F19" s="18"/>
    </row>
    <row r="20" spans="1:6" x14ac:dyDescent="0.3">
      <c r="A20" s="489"/>
      <c r="B20" s="18"/>
      <c r="C20" s="18"/>
      <c r="D20" s="18"/>
      <c r="E20" s="490"/>
      <c r="F20" s="18"/>
    </row>
    <row r="21" spans="1:6" x14ac:dyDescent="0.3">
      <c r="A21" s="489"/>
      <c r="B21" s="18"/>
      <c r="C21" s="18"/>
      <c r="D21" s="18"/>
      <c r="E21" s="490"/>
      <c r="F21" s="18"/>
    </row>
    <row r="22" spans="1:6" x14ac:dyDescent="0.3">
      <c r="A22" s="489"/>
      <c r="B22" s="18"/>
      <c r="C22" s="18"/>
      <c r="D22" s="18"/>
      <c r="E22" s="490"/>
      <c r="F22" s="18"/>
    </row>
    <row r="23" spans="1:6" x14ac:dyDescent="0.3">
      <c r="A23" s="489"/>
      <c r="B23" s="18"/>
      <c r="C23" s="18"/>
      <c r="D23" s="18"/>
      <c r="E23" s="490"/>
      <c r="F23" s="18"/>
    </row>
    <row r="24" spans="1:6" x14ac:dyDescent="0.3">
      <c r="A24" s="489"/>
      <c r="B24" s="18"/>
      <c r="C24" s="18"/>
      <c r="D24" s="18"/>
      <c r="E24" s="490"/>
      <c r="F24" s="18"/>
    </row>
    <row r="25" spans="1:6" x14ac:dyDescent="0.3">
      <c r="A25" s="489"/>
      <c r="B25" s="18"/>
      <c r="C25" s="18"/>
      <c r="D25" s="18"/>
      <c r="E25" s="490"/>
      <c r="F25" s="18"/>
    </row>
    <row r="26" spans="1:6" x14ac:dyDescent="0.3">
      <c r="A26" s="489"/>
      <c r="B26" s="18"/>
      <c r="C26" s="18"/>
      <c r="D26" s="18"/>
      <c r="E26" s="490"/>
      <c r="F26" s="18"/>
    </row>
    <row r="27" spans="1:6" x14ac:dyDescent="0.3">
      <c r="A27" s="489"/>
      <c r="B27" s="18"/>
      <c r="C27" s="18"/>
      <c r="D27" s="18"/>
      <c r="E27" s="490"/>
      <c r="F27" s="18"/>
    </row>
    <row r="28" spans="1:6" x14ac:dyDescent="0.3">
      <c r="A28" s="489"/>
      <c r="B28" s="18"/>
      <c r="C28" s="18"/>
      <c r="D28" s="18"/>
      <c r="E28" s="490"/>
      <c r="F28" s="18"/>
    </row>
    <row r="29" spans="1:6" x14ac:dyDescent="0.3">
      <c r="A29" s="489"/>
      <c r="B29" s="18"/>
      <c r="C29" s="18"/>
      <c r="D29" s="18"/>
      <c r="E29" s="490"/>
      <c r="F29" s="18"/>
    </row>
    <row r="30" spans="1:6" x14ac:dyDescent="0.3">
      <c r="A30" s="489"/>
      <c r="B30" s="18"/>
      <c r="C30" s="18"/>
      <c r="D30" s="18"/>
      <c r="E30" s="490"/>
      <c r="F30" s="18"/>
    </row>
    <row r="31" spans="1:6" x14ac:dyDescent="0.3">
      <c r="A31" s="489"/>
      <c r="B31" s="18"/>
      <c r="C31" s="18"/>
      <c r="D31" s="18"/>
      <c r="E31" s="490"/>
      <c r="F31" s="18"/>
    </row>
    <row r="32" spans="1:6" x14ac:dyDescent="0.3">
      <c r="A32" s="489"/>
      <c r="B32" s="18"/>
      <c r="C32" s="18"/>
      <c r="D32" s="18"/>
      <c r="E32" s="490"/>
      <c r="F32" s="18"/>
    </row>
    <row r="33" spans="1:6" x14ac:dyDescent="0.3">
      <c r="A33" s="489"/>
      <c r="B33" s="18"/>
      <c r="C33" s="18"/>
      <c r="D33" s="18"/>
      <c r="E33" s="490"/>
      <c r="F33" s="18"/>
    </row>
    <row r="34" spans="1:6" x14ac:dyDescent="0.3">
      <c r="A34" s="489"/>
      <c r="B34" s="18"/>
      <c r="C34" s="18"/>
      <c r="D34" s="18"/>
      <c r="E34" s="490"/>
      <c r="F34" s="18"/>
    </row>
    <row r="35" spans="1:6" x14ac:dyDescent="0.3">
      <c r="A35" s="489"/>
      <c r="B35" s="18"/>
      <c r="C35" s="18"/>
      <c r="D35" s="18"/>
      <c r="E35" s="490"/>
      <c r="F35" s="18"/>
    </row>
    <row r="36" spans="1:6" x14ac:dyDescent="0.3">
      <c r="A36" s="489"/>
      <c r="B36" s="18"/>
      <c r="C36" s="18"/>
      <c r="D36" s="18"/>
      <c r="E36" s="490"/>
      <c r="F36" s="18"/>
    </row>
    <row r="37" spans="1:6" x14ac:dyDescent="0.3">
      <c r="A37" s="489"/>
      <c r="B37" s="18"/>
      <c r="C37" s="18"/>
      <c r="D37" s="18"/>
      <c r="E37" s="490"/>
      <c r="F37" s="18"/>
    </row>
    <row r="38" spans="1:6" x14ac:dyDescent="0.3">
      <c r="A38" s="489"/>
      <c r="B38" s="495"/>
      <c r="C38" s="495"/>
      <c r="D38" s="495"/>
      <c r="E38" s="490"/>
      <c r="F38" s="18"/>
    </row>
    <row r="39" spans="1:6" x14ac:dyDescent="0.3">
      <c r="A39" s="489"/>
      <c r="B39" s="495"/>
      <c r="C39" s="495"/>
      <c r="D39" s="495"/>
      <c r="E39" s="490"/>
    </row>
    <row r="40" spans="1:6" x14ac:dyDescent="0.3">
      <c r="A40" s="489"/>
      <c r="B40" s="495"/>
      <c r="C40" s="495"/>
      <c r="D40" s="495"/>
      <c r="E40" s="490"/>
    </row>
    <row r="41" spans="1:6" x14ac:dyDescent="0.3">
      <c r="A41" s="489"/>
      <c r="B41" s="18"/>
      <c r="C41" s="18"/>
      <c r="D41" s="18"/>
      <c r="E41" s="490"/>
    </row>
    <row r="42" spans="1:6" ht="17.25" thickBot="1" x14ac:dyDescent="0.35">
      <c r="A42" s="491"/>
      <c r="B42" s="492"/>
      <c r="C42" s="492"/>
      <c r="D42" s="492"/>
      <c r="E42" s="493"/>
    </row>
    <row r="43" spans="1:6" x14ac:dyDescent="0.3">
      <c r="A43" s="580" t="s">
        <v>138</v>
      </c>
    </row>
    <row r="45" spans="1:6" ht="25.5" x14ac:dyDescent="0.35">
      <c r="A45" s="494" t="s">
        <v>551</v>
      </c>
      <c r="B45" s="41" t="s">
        <v>552</v>
      </c>
    </row>
    <row r="46" spans="1:6" x14ac:dyDescent="0.3">
      <c r="B46" s="41" t="s">
        <v>553</v>
      </c>
    </row>
    <row r="50" spans="2:2" x14ac:dyDescent="0.3">
      <c r="B50" s="474" t="s">
        <v>1612</v>
      </c>
    </row>
    <row r="51" spans="2:2" x14ac:dyDescent="0.3">
      <c r="B51" s="474" t="s">
        <v>1613</v>
      </c>
    </row>
    <row r="52" spans="2:2" x14ac:dyDescent="0.3">
      <c r="B52" s="66"/>
    </row>
    <row r="53" spans="2:2" x14ac:dyDescent="0.3">
      <c r="B53" s="66"/>
    </row>
    <row r="54" spans="2:2" x14ac:dyDescent="0.3">
      <c r="B54" s="66"/>
    </row>
    <row r="55" spans="2:2" x14ac:dyDescent="0.3">
      <c r="B55" s="474" t="s">
        <v>1614</v>
      </c>
    </row>
    <row r="56" spans="2:2" x14ac:dyDescent="0.3">
      <c r="B56" s="474" t="s">
        <v>1615</v>
      </c>
    </row>
  </sheetData>
  <mergeCells count="5">
    <mergeCell ref="A1:E1"/>
    <mergeCell ref="A2:E2"/>
    <mergeCell ref="A3:E3"/>
    <mergeCell ref="A4:E4"/>
    <mergeCell ref="A7:B7"/>
  </mergeCells>
  <printOptions horizontalCentered="1"/>
  <pageMargins left="0.39370078740157483" right="0.39370078740157483" top="0.74803149606299213" bottom="0.74803149606299213" header="0.31496062992125984" footer="0.31496062992125984"/>
  <pageSetup scale="7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7030A0"/>
  </sheetPr>
  <dimension ref="A1:J38"/>
  <sheetViews>
    <sheetView view="pageBreakPreview" zoomScaleNormal="100" zoomScaleSheetLayoutView="100" workbookViewId="0">
      <selection activeCell="D5" sqref="D5"/>
    </sheetView>
  </sheetViews>
  <sheetFormatPr baseColWidth="10" defaultColWidth="11.42578125" defaultRowHeight="16.5" x14ac:dyDescent="0.3"/>
  <cols>
    <col min="1" max="1" width="4.28515625" style="158" customWidth="1"/>
    <col min="2" max="2" width="41" style="126" customWidth="1"/>
    <col min="3" max="5" width="15.7109375" style="126" customWidth="1"/>
    <col min="6" max="16384" width="11.42578125" style="126"/>
  </cols>
  <sheetData>
    <row r="1" spans="1:7" x14ac:dyDescent="0.3">
      <c r="B1" s="1004" t="s">
        <v>76</v>
      </c>
      <c r="C1" s="1004"/>
      <c r="D1" s="1004"/>
      <c r="E1" s="1004"/>
    </row>
    <row r="2" spans="1:7" x14ac:dyDescent="0.3">
      <c r="A2" s="440"/>
      <c r="B2" s="960" t="s">
        <v>1642</v>
      </c>
      <c r="C2" s="960"/>
      <c r="D2" s="960"/>
      <c r="E2" s="960"/>
    </row>
    <row r="3" spans="1:7" x14ac:dyDescent="0.3">
      <c r="B3" s="884" t="s">
        <v>587</v>
      </c>
      <c r="C3" s="884"/>
      <c r="D3" s="884"/>
      <c r="E3" s="884"/>
      <c r="G3" s="498"/>
    </row>
    <row r="4" spans="1:7" x14ac:dyDescent="0.3">
      <c r="B4" s="884" t="s">
        <v>590</v>
      </c>
      <c r="C4" s="884"/>
      <c r="D4" s="884"/>
      <c r="E4" s="884"/>
    </row>
    <row r="5" spans="1:7" x14ac:dyDescent="0.3">
      <c r="A5" s="712"/>
      <c r="B5" s="960" t="s">
        <v>554</v>
      </c>
      <c r="C5" s="960"/>
      <c r="D5" s="68" t="s">
        <v>594</v>
      </c>
      <c r="E5" s="440"/>
    </row>
    <row r="6" spans="1:7" ht="6.75" customHeight="1" thickBot="1" x14ac:dyDescent="0.35"/>
    <row r="7" spans="1:7" s="278" customFormat="1" x14ac:dyDescent="0.25">
      <c r="A7" s="993" t="s">
        <v>197</v>
      </c>
      <c r="B7" s="994"/>
      <c r="C7" s="997" t="s">
        <v>555</v>
      </c>
      <c r="D7" s="997" t="s">
        <v>485</v>
      </c>
      <c r="E7" s="999" t="s">
        <v>556</v>
      </c>
    </row>
    <row r="8" spans="1:7" s="278" customFormat="1" ht="17.25" thickBot="1" x14ac:dyDescent="0.3">
      <c r="A8" s="995"/>
      <c r="B8" s="996"/>
      <c r="C8" s="998"/>
      <c r="D8" s="998"/>
      <c r="E8" s="1000"/>
    </row>
    <row r="9" spans="1:7" s="278" customFormat="1" ht="20.25" customHeight="1" x14ac:dyDescent="0.25">
      <c r="A9" s="499" t="s">
        <v>557</v>
      </c>
      <c r="B9" s="447"/>
      <c r="C9" s="457">
        <f>C10+C11</f>
        <v>351005907</v>
      </c>
      <c r="D9" s="457">
        <f>D10+D11</f>
        <v>232253640</v>
      </c>
      <c r="E9" s="507">
        <f>E10+E11</f>
        <v>232253640</v>
      </c>
      <c r="F9" s="549" t="str">
        <f>IF(C9&lt;&gt;'ETCA-II-10 '!C51,"ERROR!!!!! EL MONTO NO COINCIDE CON LO REPORTADO EN EL FORMATO ETCA-II-10 EN EL TOTAL DEVENGADO DEL ANALÍTICO DE INGRESOS","")</f>
        <v>ERROR!!!!! EL MONTO NO COINCIDE CON LO REPORTADO EN EL FORMATO ETCA-II-10 EN EL TOTAL DEVENGADO DEL ANALÍTICO DE INGRESOS</v>
      </c>
    </row>
    <row r="10" spans="1:7" s="278" customFormat="1" ht="20.25" customHeight="1" x14ac:dyDescent="0.25">
      <c r="A10" s="446"/>
      <c r="B10" s="501" t="s">
        <v>558</v>
      </c>
      <c r="C10" s="448"/>
      <c r="D10" s="448"/>
      <c r="E10" s="500"/>
    </row>
    <row r="11" spans="1:7" s="278" customFormat="1" ht="20.25" customHeight="1" x14ac:dyDescent="0.25">
      <c r="A11" s="446"/>
      <c r="B11" s="501" t="s">
        <v>559</v>
      </c>
      <c r="C11" s="448">
        <v>351005907</v>
      </c>
      <c r="D11" s="448">
        <v>232253640</v>
      </c>
      <c r="E11" s="500">
        <v>232253640</v>
      </c>
    </row>
    <row r="12" spans="1:7" s="278" customFormat="1" ht="20.25" customHeight="1" x14ac:dyDescent="0.25">
      <c r="A12" s="499" t="s">
        <v>560</v>
      </c>
      <c r="B12" s="501"/>
      <c r="C12" s="457">
        <f>C13+C14</f>
        <v>0</v>
      </c>
      <c r="D12" s="457">
        <f>D13+D14</f>
        <v>65254108</v>
      </c>
      <c r="E12" s="507">
        <f>E13+E14</f>
        <v>65254108</v>
      </c>
      <c r="F12" s="549" t="str">
        <f>IF(C12&lt;&gt;'ETCA-II-11 '!B81,"ERROR!!!!! EL MONTO NO COINCIDE CON LO REPORTADO EN EL FORMATO ETCA-II-10 EN EL TOTAL DEVENGADO DEL ANALÍTICO DE INGRESOS","")</f>
        <v>ERROR!!!!! EL MONTO NO COINCIDE CON LO REPORTADO EN EL FORMATO ETCA-II-10 EN EL TOTAL DEVENGADO DEL ANALÍTICO DE INGRESOS</v>
      </c>
    </row>
    <row r="13" spans="1:7" s="278" customFormat="1" ht="20.25" customHeight="1" x14ac:dyDescent="0.25">
      <c r="A13" s="446"/>
      <c r="B13" s="501" t="s">
        <v>561</v>
      </c>
      <c r="C13" s="448"/>
      <c r="D13" s="448"/>
      <c r="E13" s="500"/>
    </row>
    <row r="14" spans="1:7" s="278" customFormat="1" ht="20.25" customHeight="1" x14ac:dyDescent="0.25">
      <c r="A14" s="446"/>
      <c r="B14" s="501" t="s">
        <v>562</v>
      </c>
      <c r="C14" s="448"/>
      <c r="D14" s="448">
        <v>65254108</v>
      </c>
      <c r="E14" s="500">
        <v>65254108</v>
      </c>
    </row>
    <row r="15" spans="1:7" s="278" customFormat="1" ht="20.25" customHeight="1" x14ac:dyDescent="0.25">
      <c r="A15" s="499" t="s">
        <v>563</v>
      </c>
      <c r="B15" s="501"/>
      <c r="C15" s="457">
        <f>C9-C12</f>
        <v>351005907</v>
      </c>
      <c r="D15" s="457">
        <f>D9-D12</f>
        <v>166999532</v>
      </c>
      <c r="E15" s="507">
        <f>E9-E12</f>
        <v>166999532</v>
      </c>
    </row>
    <row r="16" spans="1:7" s="278" customFormat="1" ht="20.25" customHeight="1" thickBot="1" x14ac:dyDescent="0.3">
      <c r="A16" s="446"/>
      <c r="B16" s="447"/>
      <c r="C16" s="448"/>
      <c r="D16" s="448"/>
      <c r="E16" s="450"/>
    </row>
    <row r="17" spans="1:6" s="278" customFormat="1" x14ac:dyDescent="0.25">
      <c r="A17" s="993" t="s">
        <v>197</v>
      </c>
      <c r="B17" s="994"/>
      <c r="C17" s="997" t="s">
        <v>555</v>
      </c>
      <c r="D17" s="997" t="s">
        <v>485</v>
      </c>
      <c r="E17" s="1001" t="s">
        <v>556</v>
      </c>
    </row>
    <row r="18" spans="1:6" s="278" customFormat="1" ht="12" customHeight="1" thickBot="1" x14ac:dyDescent="0.3">
      <c r="A18" s="995"/>
      <c r="B18" s="996"/>
      <c r="C18" s="998"/>
      <c r="D18" s="998"/>
      <c r="E18" s="1002"/>
    </row>
    <row r="19" spans="1:6" s="278" customFormat="1" ht="20.25" customHeight="1" x14ac:dyDescent="0.25">
      <c r="A19" s="499" t="s">
        <v>564</v>
      </c>
      <c r="B19" s="447"/>
      <c r="C19" s="457">
        <f>C15</f>
        <v>351005907</v>
      </c>
      <c r="D19" s="457">
        <f t="shared" ref="D19:E19" si="0">D15</f>
        <v>166999532</v>
      </c>
      <c r="E19" s="457">
        <f t="shared" si="0"/>
        <v>166999532</v>
      </c>
    </row>
    <row r="20" spans="1:6" s="278" customFormat="1" ht="20.25" customHeight="1" x14ac:dyDescent="0.25">
      <c r="A20" s="499" t="s">
        <v>565</v>
      </c>
      <c r="B20" s="447"/>
      <c r="C20" s="448"/>
      <c r="D20" s="448"/>
      <c r="E20" s="450"/>
      <c r="F20" s="549" t="str">
        <f>IF(D20&lt;&gt;'ETCA-I-02'!C48,"ERROR!!!!! EL MONTO NO COINCIDE CON LO REPORTADO EN EL FORMATO ETCA-I-02 POR CONCEPTO DE INTERESES, COMISIONES Y GASTOS DE LA DEUDA","")</f>
        <v/>
      </c>
    </row>
    <row r="21" spans="1:6" s="278" customFormat="1" ht="20.25" customHeight="1" x14ac:dyDescent="0.25">
      <c r="A21" s="499" t="s">
        <v>566</v>
      </c>
      <c r="B21" s="447"/>
      <c r="C21" s="457">
        <f>C19-C20</f>
        <v>351005907</v>
      </c>
      <c r="D21" s="457">
        <f>D19-D20</f>
        <v>166999532</v>
      </c>
      <c r="E21" s="507">
        <f>E19-E20</f>
        <v>166999532</v>
      </c>
    </row>
    <row r="22" spans="1:6" s="278" customFormat="1" ht="20.25" customHeight="1" thickBot="1" x14ac:dyDescent="0.3">
      <c r="A22" s="446"/>
      <c r="B22" s="447"/>
      <c r="C22" s="463"/>
      <c r="D22" s="463"/>
      <c r="E22" s="464"/>
    </row>
    <row r="23" spans="1:6" s="278" customFormat="1" ht="28.5" customHeight="1" x14ac:dyDescent="0.25">
      <c r="A23" s="993" t="s">
        <v>197</v>
      </c>
      <c r="B23" s="994"/>
      <c r="C23" s="997" t="s">
        <v>555</v>
      </c>
      <c r="D23" s="502" t="s">
        <v>485</v>
      </c>
      <c r="E23" s="1001" t="s">
        <v>556</v>
      </c>
    </row>
    <row r="24" spans="1:6" s="278" customFormat="1" ht="0.75" customHeight="1" thickBot="1" x14ac:dyDescent="0.3">
      <c r="A24" s="995"/>
      <c r="B24" s="996"/>
      <c r="C24" s="998"/>
      <c r="D24" s="503"/>
      <c r="E24" s="1002"/>
    </row>
    <row r="25" spans="1:6" s="278" customFormat="1" ht="20.25" customHeight="1" x14ac:dyDescent="0.25">
      <c r="A25" s="499" t="s">
        <v>567</v>
      </c>
      <c r="B25" s="447"/>
      <c r="C25" s="448"/>
      <c r="D25" s="448"/>
      <c r="E25" s="450"/>
    </row>
    <row r="26" spans="1:6" s="278" customFormat="1" ht="20.25" customHeight="1" x14ac:dyDescent="0.25">
      <c r="A26" s="499" t="s">
        <v>568</v>
      </c>
      <c r="B26" s="447"/>
      <c r="C26" s="448"/>
      <c r="D26" s="448"/>
      <c r="E26" s="450"/>
    </row>
    <row r="27" spans="1:6" s="278" customFormat="1" ht="20.25" customHeight="1" x14ac:dyDescent="0.25">
      <c r="A27" s="499" t="s">
        <v>569</v>
      </c>
      <c r="B27" s="447"/>
      <c r="C27" s="457">
        <f>C25-C26</f>
        <v>0</v>
      </c>
      <c r="D27" s="457">
        <f>D25-D26</f>
        <v>0</v>
      </c>
      <c r="E27" s="507">
        <f>E25-E26</f>
        <v>0</v>
      </c>
    </row>
    <row r="28" spans="1:6" s="278" customFormat="1" ht="20.25" customHeight="1" thickBot="1" x14ac:dyDescent="0.3">
      <c r="A28" s="713"/>
      <c r="B28" s="714"/>
      <c r="C28" s="716"/>
      <c r="D28" s="716"/>
      <c r="E28" s="504"/>
    </row>
    <row r="29" spans="1:6" s="278" customFormat="1" ht="18" customHeight="1" x14ac:dyDescent="0.25">
      <c r="A29" s="577" t="s">
        <v>138</v>
      </c>
      <c r="B29" s="506"/>
      <c r="C29" s="506"/>
      <c r="D29" s="506"/>
      <c r="E29" s="506"/>
    </row>
    <row r="30" spans="1:6" s="278" customFormat="1" ht="18" customHeight="1" x14ac:dyDescent="0.25">
      <c r="A30" s="654"/>
      <c r="B30" s="654"/>
      <c r="C30" s="654"/>
      <c r="D30" s="654"/>
      <c r="E30" s="654"/>
    </row>
    <row r="31" spans="1:6" s="278" customFormat="1" ht="18" customHeight="1" x14ac:dyDescent="0.25">
      <c r="A31" s="654"/>
      <c r="B31" s="654"/>
      <c r="C31" s="654"/>
      <c r="D31" s="654"/>
      <c r="E31" s="654"/>
    </row>
    <row r="32" spans="1:6" s="278" customFormat="1" ht="18" customHeight="1" x14ac:dyDescent="0.25">
      <c r="A32" s="654"/>
      <c r="B32" s="654"/>
      <c r="C32" s="654"/>
      <c r="D32" s="654"/>
      <c r="E32" s="654"/>
    </row>
    <row r="33" spans="1:10" ht="18" customHeight="1" x14ac:dyDescent="0.3">
      <c r="A33" s="577" t="s">
        <v>143</v>
      </c>
      <c r="B33" s="506"/>
      <c r="C33" s="506"/>
      <c r="D33" s="506"/>
      <c r="E33" s="506"/>
      <c r="J33" s="456"/>
    </row>
    <row r="34" spans="1:10" ht="49.5" customHeight="1" x14ac:dyDescent="0.3">
      <c r="A34" s="1003" t="s">
        <v>570</v>
      </c>
      <c r="B34" s="1003"/>
      <c r="C34" s="1003"/>
      <c r="D34" s="1003"/>
      <c r="E34" s="1003"/>
    </row>
    <row r="35" spans="1:10" x14ac:dyDescent="0.3">
      <c r="A35" s="505"/>
      <c r="B35" s="506"/>
      <c r="C35" s="506"/>
      <c r="D35" s="506"/>
      <c r="E35" s="506"/>
    </row>
    <row r="36" spans="1:10" ht="75" customHeight="1" x14ac:dyDescent="0.3">
      <c r="A36" s="1003" t="s">
        <v>571</v>
      </c>
      <c r="B36" s="1003"/>
      <c r="C36" s="1003"/>
      <c r="D36" s="1003"/>
      <c r="E36" s="1003"/>
    </row>
    <row r="37" spans="1:10" x14ac:dyDescent="0.3">
      <c r="A37" s="505"/>
      <c r="B37" s="506"/>
      <c r="C37" s="506"/>
      <c r="D37" s="506"/>
      <c r="E37" s="506"/>
    </row>
    <row r="38" spans="1:10" ht="44.25" customHeight="1" x14ac:dyDescent="0.3">
      <c r="A38" s="1003" t="s">
        <v>572</v>
      </c>
      <c r="B38" s="1003"/>
      <c r="C38" s="1003"/>
      <c r="D38" s="1003"/>
      <c r="E38" s="1003"/>
    </row>
  </sheetData>
  <sheetProtection algorithmName="SHA-512" hashValue="xAXoD8+swDkrQIFGuA0Xo8aXSRbJmpA4XMWUAoAkHcqYB9pSau1knz6pgYpeXFoweJSIUr1kzDc1lVbjh3iRPw==" saltValue="E86eYNq0LHSdF1KyvQJn5Q==" spinCount="100000" sheet="1" objects="1" scenarios="1"/>
  <mergeCells count="19">
    <mergeCell ref="B1:E1"/>
    <mergeCell ref="B2:E2"/>
    <mergeCell ref="B3:E3"/>
    <mergeCell ref="B4:E4"/>
    <mergeCell ref="B5:C5"/>
    <mergeCell ref="A34:E34"/>
    <mergeCell ref="A36:E36"/>
    <mergeCell ref="A38:E38"/>
    <mergeCell ref="A23:B24"/>
    <mergeCell ref="C23:C24"/>
    <mergeCell ref="E23:E24"/>
    <mergeCell ref="A7:B8"/>
    <mergeCell ref="C7:C8"/>
    <mergeCell ref="E7:E8"/>
    <mergeCell ref="C17:C18"/>
    <mergeCell ref="E17:E18"/>
    <mergeCell ref="A17:B18"/>
    <mergeCell ref="D7:D8"/>
    <mergeCell ref="D17:D18"/>
  </mergeCells>
  <printOptions horizontalCentered="1"/>
  <pageMargins left="0.39370078740157483" right="0.39370078740157483" top="0.74803149606299213" bottom="0.74803149606299213" header="0.31496062992125984" footer="0.31496062992125984"/>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7"/>
  </sheetPr>
  <dimension ref="A1:D549"/>
  <sheetViews>
    <sheetView zoomScaleNormal="100" zoomScaleSheetLayoutView="100" workbookViewId="0">
      <selection activeCell="A3" sqref="A3:D3"/>
    </sheetView>
  </sheetViews>
  <sheetFormatPr baseColWidth="10" defaultColWidth="11.42578125" defaultRowHeight="16.5" x14ac:dyDescent="0.3"/>
  <cols>
    <col min="1" max="1" width="2.7109375" style="7" bestFit="1" customWidth="1"/>
    <col min="2" max="2" width="37" style="3" customWidth="1"/>
    <col min="3" max="3" width="47.140625" style="3" customWidth="1"/>
    <col min="4" max="4" width="21.42578125" style="3" customWidth="1"/>
    <col min="5" max="16384" width="11.42578125" style="3"/>
  </cols>
  <sheetData>
    <row r="1" spans="1:4" x14ac:dyDescent="0.3">
      <c r="A1" s="878" t="s">
        <v>76</v>
      </c>
      <c r="B1" s="878"/>
      <c r="C1" s="878"/>
      <c r="D1" s="878"/>
    </row>
    <row r="2" spans="1:4" x14ac:dyDescent="0.3">
      <c r="A2" s="1008" t="s">
        <v>1643</v>
      </c>
      <c r="B2" s="1008"/>
      <c r="C2" s="1008"/>
      <c r="D2" s="1008"/>
    </row>
    <row r="3" spans="1:4" x14ac:dyDescent="0.3">
      <c r="A3" s="879" t="s">
        <v>587</v>
      </c>
      <c r="B3" s="879"/>
      <c r="C3" s="879"/>
      <c r="D3" s="879"/>
    </row>
    <row r="4" spans="1:4" x14ac:dyDescent="0.3">
      <c r="A4" s="1008" t="s">
        <v>588</v>
      </c>
      <c r="B4" s="1008"/>
      <c r="C4" s="1008"/>
      <c r="D4" s="1008"/>
    </row>
    <row r="5" spans="1:4" x14ac:dyDescent="0.3">
      <c r="A5" s="30"/>
      <c r="B5" s="1008" t="s">
        <v>573</v>
      </c>
      <c r="C5" s="1008"/>
      <c r="D5" s="60" t="s">
        <v>594</v>
      </c>
    </row>
    <row r="6" spans="1:4" ht="6.75" customHeight="1" x14ac:dyDescent="0.3"/>
    <row r="7" spans="1:4" s="26" customFormat="1" ht="30" customHeight="1" x14ac:dyDescent="0.25">
      <c r="A7" s="1006" t="s">
        <v>574</v>
      </c>
      <c r="B7" s="1006"/>
      <c r="C7" s="1006" t="s">
        <v>575</v>
      </c>
      <c r="D7" s="1006" t="s">
        <v>576</v>
      </c>
    </row>
    <row r="8" spans="1:4" s="26" customFormat="1" ht="32.25" customHeight="1" x14ac:dyDescent="0.25">
      <c r="A8" s="1007"/>
      <c r="B8" s="1007"/>
      <c r="C8" s="1007"/>
      <c r="D8" s="1007"/>
    </row>
    <row r="9" spans="1:4" s="26" customFormat="1" ht="24" customHeight="1" x14ac:dyDescent="0.25">
      <c r="A9" s="31"/>
      <c r="B9" s="40" t="s">
        <v>577</v>
      </c>
      <c r="C9" s="32"/>
      <c r="D9" s="33"/>
    </row>
    <row r="10" spans="1:4" s="26" customFormat="1" x14ac:dyDescent="0.2">
      <c r="A10" s="783"/>
      <c r="B10" s="784" t="s">
        <v>750</v>
      </c>
      <c r="C10" s="785" t="s">
        <v>751</v>
      </c>
      <c r="D10" s="786">
        <v>260136.43</v>
      </c>
    </row>
    <row r="11" spans="1:4" s="26" customFormat="1" x14ac:dyDescent="0.2">
      <c r="A11" s="783"/>
      <c r="B11" s="784" t="s">
        <v>752</v>
      </c>
      <c r="C11" s="785" t="s">
        <v>753</v>
      </c>
      <c r="D11" s="786">
        <v>221700</v>
      </c>
    </row>
    <row r="12" spans="1:4" s="26" customFormat="1" x14ac:dyDescent="0.2">
      <c r="A12" s="783"/>
      <c r="B12" s="784" t="s">
        <v>754</v>
      </c>
      <c r="C12" s="785" t="s">
        <v>755</v>
      </c>
      <c r="D12" s="786">
        <v>157500</v>
      </c>
    </row>
    <row r="13" spans="1:4" s="26" customFormat="1" x14ac:dyDescent="0.2">
      <c r="A13" s="783"/>
      <c r="B13" s="784" t="s">
        <v>756</v>
      </c>
      <c r="C13" s="785" t="s">
        <v>757</v>
      </c>
      <c r="D13" s="786">
        <v>157500</v>
      </c>
    </row>
    <row r="14" spans="1:4" s="26" customFormat="1" x14ac:dyDescent="0.2">
      <c r="A14" s="783"/>
      <c r="B14" s="784" t="s">
        <v>758</v>
      </c>
      <c r="C14" s="785" t="s">
        <v>759</v>
      </c>
      <c r="D14" s="786">
        <v>149000</v>
      </c>
    </row>
    <row r="15" spans="1:4" s="26" customFormat="1" x14ac:dyDescent="0.2">
      <c r="A15" s="783"/>
      <c r="B15" s="784" t="s">
        <v>760</v>
      </c>
      <c r="C15" s="787" t="s">
        <v>761</v>
      </c>
      <c r="D15" s="786">
        <v>165500</v>
      </c>
    </row>
    <row r="16" spans="1:4" s="26" customFormat="1" x14ac:dyDescent="0.2">
      <c r="A16" s="783"/>
      <c r="B16" s="784" t="s">
        <v>762</v>
      </c>
      <c r="C16" s="787" t="s">
        <v>763</v>
      </c>
      <c r="D16" s="786">
        <v>310000</v>
      </c>
    </row>
    <row r="17" spans="1:4" s="26" customFormat="1" x14ac:dyDescent="0.2">
      <c r="A17" s="783"/>
      <c r="B17" s="784" t="s">
        <v>764</v>
      </c>
      <c r="C17" s="787" t="s">
        <v>765</v>
      </c>
      <c r="D17" s="786">
        <v>569890</v>
      </c>
    </row>
    <row r="18" spans="1:4" s="26" customFormat="1" x14ac:dyDescent="0.2">
      <c r="A18" s="783"/>
      <c r="B18" s="784" t="s">
        <v>766</v>
      </c>
      <c r="C18" s="787" t="s">
        <v>767</v>
      </c>
      <c r="D18" s="786">
        <v>119000</v>
      </c>
    </row>
    <row r="19" spans="1:4" s="26" customFormat="1" x14ac:dyDescent="0.2">
      <c r="A19" s="783"/>
      <c r="B19" s="784" t="s">
        <v>768</v>
      </c>
      <c r="C19" s="787" t="s">
        <v>767</v>
      </c>
      <c r="D19" s="786">
        <v>119000</v>
      </c>
    </row>
    <row r="20" spans="1:4" s="26" customFormat="1" x14ac:dyDescent="0.2">
      <c r="A20" s="783"/>
      <c r="B20" s="784" t="s">
        <v>769</v>
      </c>
      <c r="C20" s="787" t="s">
        <v>767</v>
      </c>
      <c r="D20" s="786">
        <v>119000</v>
      </c>
    </row>
    <row r="21" spans="1:4" s="26" customFormat="1" x14ac:dyDescent="0.2">
      <c r="A21" s="783"/>
      <c r="B21" s="788" t="s">
        <v>770</v>
      </c>
      <c r="C21" s="785" t="s">
        <v>771</v>
      </c>
      <c r="D21" s="786">
        <v>123446</v>
      </c>
    </row>
    <row r="22" spans="1:4" s="26" customFormat="1" x14ac:dyDescent="0.2">
      <c r="A22" s="783"/>
      <c r="B22" s="784" t="s">
        <v>772</v>
      </c>
      <c r="C22" s="787" t="s">
        <v>771</v>
      </c>
      <c r="D22" s="786">
        <v>129300</v>
      </c>
    </row>
    <row r="23" spans="1:4" s="26" customFormat="1" x14ac:dyDescent="0.2">
      <c r="A23" s="783"/>
      <c r="B23" s="784" t="s">
        <v>773</v>
      </c>
      <c r="C23" s="785" t="s">
        <v>771</v>
      </c>
      <c r="D23" s="786">
        <v>129300</v>
      </c>
    </row>
    <row r="24" spans="1:4" s="26" customFormat="1" x14ac:dyDescent="0.2">
      <c r="A24" s="783"/>
      <c r="B24" s="784" t="s">
        <v>774</v>
      </c>
      <c r="C24" s="789" t="s">
        <v>775</v>
      </c>
      <c r="D24" s="790">
        <v>6820</v>
      </c>
    </row>
    <row r="25" spans="1:4" s="26" customFormat="1" x14ac:dyDescent="0.2">
      <c r="A25" s="783"/>
      <c r="B25" s="788" t="s">
        <v>776</v>
      </c>
      <c r="C25" s="791" t="s">
        <v>777</v>
      </c>
      <c r="D25" s="792">
        <v>14892.5</v>
      </c>
    </row>
    <row r="26" spans="1:4" s="26" customFormat="1" x14ac:dyDescent="0.2">
      <c r="A26" s="783"/>
      <c r="B26" s="788" t="s">
        <v>778</v>
      </c>
      <c r="C26" s="791" t="s">
        <v>779</v>
      </c>
      <c r="D26" s="792">
        <v>2748.5</v>
      </c>
    </row>
    <row r="27" spans="1:4" s="26" customFormat="1" x14ac:dyDescent="0.2">
      <c r="A27" s="783"/>
      <c r="B27" s="788" t="s">
        <v>780</v>
      </c>
      <c r="C27" s="791" t="s">
        <v>781</v>
      </c>
      <c r="D27" s="792">
        <v>425</v>
      </c>
    </row>
    <row r="28" spans="1:4" s="26" customFormat="1" x14ac:dyDescent="0.2">
      <c r="A28" s="783"/>
      <c r="B28" s="788" t="s">
        <v>782</v>
      </c>
      <c r="C28" s="791" t="s">
        <v>781</v>
      </c>
      <c r="D28" s="792">
        <v>425</v>
      </c>
    </row>
    <row r="29" spans="1:4" s="26" customFormat="1" x14ac:dyDescent="0.2">
      <c r="A29" s="783"/>
      <c r="B29" s="788" t="s">
        <v>783</v>
      </c>
      <c r="C29" s="791" t="s">
        <v>781</v>
      </c>
      <c r="D29" s="792">
        <v>425</v>
      </c>
    </row>
    <row r="30" spans="1:4" s="26" customFormat="1" x14ac:dyDescent="0.2">
      <c r="A30" s="783"/>
      <c r="B30" s="788" t="s">
        <v>784</v>
      </c>
      <c r="C30" s="791" t="s">
        <v>781</v>
      </c>
      <c r="D30" s="792">
        <v>425</v>
      </c>
    </row>
    <row r="31" spans="1:4" s="26" customFormat="1" x14ac:dyDescent="0.2">
      <c r="A31" s="783"/>
      <c r="B31" s="788" t="s">
        <v>785</v>
      </c>
      <c r="C31" s="791" t="s">
        <v>781</v>
      </c>
      <c r="D31" s="792">
        <v>425</v>
      </c>
    </row>
    <row r="32" spans="1:4" s="26" customFormat="1" x14ac:dyDescent="0.2">
      <c r="A32" s="783"/>
      <c r="B32" s="788" t="s">
        <v>786</v>
      </c>
      <c r="C32" s="791" t="s">
        <v>787</v>
      </c>
      <c r="D32" s="792">
        <v>1380</v>
      </c>
    </row>
    <row r="33" spans="1:4" s="26" customFormat="1" x14ac:dyDescent="0.2">
      <c r="A33" s="783"/>
      <c r="B33" s="788" t="s">
        <v>788</v>
      </c>
      <c r="C33" s="791" t="s">
        <v>789</v>
      </c>
      <c r="D33" s="792">
        <v>5571.75</v>
      </c>
    </row>
    <row r="34" spans="1:4" s="26" customFormat="1" x14ac:dyDescent="0.2">
      <c r="A34" s="783"/>
      <c r="B34" s="788" t="s">
        <v>790</v>
      </c>
      <c r="C34" s="791" t="s">
        <v>791</v>
      </c>
      <c r="D34" s="792">
        <v>1483.5</v>
      </c>
    </row>
    <row r="35" spans="1:4" s="26" customFormat="1" x14ac:dyDescent="0.2">
      <c r="A35" s="783"/>
      <c r="B35" s="788" t="s">
        <v>792</v>
      </c>
      <c r="C35" s="793" t="s">
        <v>793</v>
      </c>
      <c r="D35" s="792">
        <v>13386</v>
      </c>
    </row>
    <row r="36" spans="1:4" s="26" customFormat="1" x14ac:dyDescent="0.2">
      <c r="A36" s="783"/>
      <c r="B36" s="788" t="s">
        <v>794</v>
      </c>
      <c r="C36" s="793" t="s">
        <v>795</v>
      </c>
      <c r="D36" s="794">
        <v>1923.6279999999999</v>
      </c>
    </row>
    <row r="37" spans="1:4" s="26" customFormat="1" x14ac:dyDescent="0.2">
      <c r="A37" s="783"/>
      <c r="B37" s="788" t="s">
        <v>796</v>
      </c>
      <c r="C37" s="793" t="s">
        <v>797</v>
      </c>
      <c r="D37" s="792">
        <v>9289.2800000000007</v>
      </c>
    </row>
    <row r="38" spans="1:4" s="26" customFormat="1" x14ac:dyDescent="0.2">
      <c r="A38" s="783"/>
      <c r="B38" s="788" t="s">
        <v>798</v>
      </c>
      <c r="C38" s="795" t="s">
        <v>799</v>
      </c>
      <c r="D38" s="792">
        <v>1455.9970000000001</v>
      </c>
    </row>
    <row r="39" spans="1:4" s="26" customFormat="1" x14ac:dyDescent="0.2">
      <c r="A39" s="783"/>
      <c r="B39" s="788" t="s">
        <v>800</v>
      </c>
      <c r="C39" s="795" t="s">
        <v>801</v>
      </c>
      <c r="D39" s="792">
        <v>3507.5</v>
      </c>
    </row>
    <row r="40" spans="1:4" s="26" customFormat="1" x14ac:dyDescent="0.2">
      <c r="A40" s="783"/>
      <c r="B40" s="788" t="s">
        <v>802</v>
      </c>
      <c r="C40" s="795" t="s">
        <v>803</v>
      </c>
      <c r="D40" s="792">
        <v>425</v>
      </c>
    </row>
    <row r="41" spans="1:4" s="26" customFormat="1" x14ac:dyDescent="0.2">
      <c r="A41" s="783"/>
      <c r="B41" s="788" t="s">
        <v>804</v>
      </c>
      <c r="C41" s="795" t="s">
        <v>805</v>
      </c>
      <c r="D41" s="792">
        <v>11582.19</v>
      </c>
    </row>
    <row r="42" spans="1:4" s="26" customFormat="1" x14ac:dyDescent="0.2">
      <c r="A42" s="783"/>
      <c r="B42" s="788" t="s">
        <v>806</v>
      </c>
      <c r="C42" s="793" t="s">
        <v>807</v>
      </c>
      <c r="D42" s="792">
        <v>2900</v>
      </c>
    </row>
    <row r="43" spans="1:4" s="26" customFormat="1" x14ac:dyDescent="0.2">
      <c r="A43" s="783"/>
      <c r="B43" s="788" t="s">
        <v>808</v>
      </c>
      <c r="C43" s="791" t="s">
        <v>809</v>
      </c>
      <c r="D43" s="792">
        <v>1380</v>
      </c>
    </row>
    <row r="44" spans="1:4" s="26" customFormat="1" x14ac:dyDescent="0.2">
      <c r="A44" s="783"/>
      <c r="B44" s="788" t="s">
        <v>810</v>
      </c>
      <c r="C44" s="791" t="s">
        <v>811</v>
      </c>
      <c r="D44" s="792">
        <v>4025</v>
      </c>
    </row>
    <row r="45" spans="1:4" s="26" customFormat="1" x14ac:dyDescent="0.2">
      <c r="A45" s="783"/>
      <c r="B45" s="788" t="s">
        <v>812</v>
      </c>
      <c r="C45" s="793" t="s">
        <v>795</v>
      </c>
      <c r="D45" s="794">
        <v>1923.6279999999999</v>
      </c>
    </row>
    <row r="46" spans="1:4" s="26" customFormat="1" x14ac:dyDescent="0.2">
      <c r="A46" s="783"/>
      <c r="B46" s="788" t="s">
        <v>813</v>
      </c>
      <c r="C46" s="793" t="s">
        <v>814</v>
      </c>
      <c r="D46" s="792">
        <v>6842.5</v>
      </c>
    </row>
    <row r="47" spans="1:4" s="26" customFormat="1" x14ac:dyDescent="0.2">
      <c r="A47" s="783"/>
      <c r="B47" s="788" t="s">
        <v>815</v>
      </c>
      <c r="C47" s="795" t="s">
        <v>816</v>
      </c>
      <c r="D47" s="792">
        <v>1455.9970000000001</v>
      </c>
    </row>
    <row r="48" spans="1:4" s="26" customFormat="1" x14ac:dyDescent="0.2">
      <c r="A48" s="783"/>
      <c r="B48" s="788" t="s">
        <v>817</v>
      </c>
      <c r="C48" s="793" t="s">
        <v>795</v>
      </c>
      <c r="D48" s="794">
        <v>1923.6279999999999</v>
      </c>
    </row>
    <row r="49" spans="1:4" s="26" customFormat="1" x14ac:dyDescent="0.2">
      <c r="A49" s="783"/>
      <c r="B49" s="788" t="s">
        <v>818</v>
      </c>
      <c r="C49" s="791" t="s">
        <v>819</v>
      </c>
      <c r="D49" s="792">
        <v>3622.5</v>
      </c>
    </row>
    <row r="50" spans="1:4" s="26" customFormat="1" x14ac:dyDescent="0.2">
      <c r="A50" s="783"/>
      <c r="B50" s="788" t="s">
        <v>820</v>
      </c>
      <c r="C50" s="793" t="s">
        <v>795</v>
      </c>
      <c r="D50" s="794">
        <v>1923.6279999999999</v>
      </c>
    </row>
    <row r="51" spans="1:4" s="26" customFormat="1" x14ac:dyDescent="0.2">
      <c r="A51" s="783"/>
      <c r="B51" s="788" t="s">
        <v>821</v>
      </c>
      <c r="C51" s="791" t="s">
        <v>822</v>
      </c>
      <c r="D51" s="790">
        <v>14630.88</v>
      </c>
    </row>
    <row r="52" spans="1:4" s="26" customFormat="1" x14ac:dyDescent="0.2">
      <c r="A52" s="783"/>
      <c r="B52" s="788" t="s">
        <v>823</v>
      </c>
      <c r="C52" s="791" t="s">
        <v>824</v>
      </c>
      <c r="D52" s="790">
        <v>5393.5</v>
      </c>
    </row>
    <row r="53" spans="1:4" s="26" customFormat="1" x14ac:dyDescent="0.2">
      <c r="A53" s="783"/>
      <c r="B53" s="788" t="s">
        <v>825</v>
      </c>
      <c r="C53" s="791" t="s">
        <v>826</v>
      </c>
      <c r="D53" s="792">
        <v>1023.5</v>
      </c>
    </row>
    <row r="54" spans="1:4" s="26" customFormat="1" x14ac:dyDescent="0.2">
      <c r="A54" s="783"/>
      <c r="B54" s="788" t="s">
        <v>827</v>
      </c>
      <c r="C54" s="791" t="s">
        <v>828</v>
      </c>
      <c r="D54" s="790">
        <v>2978.5</v>
      </c>
    </row>
    <row r="55" spans="1:4" s="26" customFormat="1" x14ac:dyDescent="0.2">
      <c r="A55" s="783"/>
      <c r="B55" s="788" t="s">
        <v>829</v>
      </c>
      <c r="C55" s="791" t="s">
        <v>830</v>
      </c>
      <c r="D55" s="790">
        <v>2530</v>
      </c>
    </row>
    <row r="56" spans="1:4" s="26" customFormat="1" x14ac:dyDescent="0.2">
      <c r="A56" s="783"/>
      <c r="B56" s="788" t="s">
        <v>831</v>
      </c>
      <c r="C56" s="785" t="s">
        <v>832</v>
      </c>
      <c r="D56" s="796">
        <v>1937.75</v>
      </c>
    </row>
    <row r="57" spans="1:4" s="26" customFormat="1" x14ac:dyDescent="0.2">
      <c r="A57" s="783"/>
      <c r="B57" s="788" t="s">
        <v>833</v>
      </c>
      <c r="C57" s="791" t="s">
        <v>834</v>
      </c>
      <c r="D57" s="792">
        <v>1932</v>
      </c>
    </row>
    <row r="58" spans="1:4" s="26" customFormat="1" x14ac:dyDescent="0.2">
      <c r="A58" s="783"/>
      <c r="B58" s="788" t="s">
        <v>835</v>
      </c>
      <c r="C58" s="793" t="s">
        <v>836</v>
      </c>
      <c r="D58" s="792">
        <v>18285</v>
      </c>
    </row>
    <row r="59" spans="1:4" s="26" customFormat="1" x14ac:dyDescent="0.2">
      <c r="A59" s="783"/>
      <c r="B59" s="788" t="s">
        <v>837</v>
      </c>
      <c r="C59" s="793" t="s">
        <v>822</v>
      </c>
      <c r="D59" s="792">
        <v>11300</v>
      </c>
    </row>
    <row r="60" spans="1:4" s="26" customFormat="1" x14ac:dyDescent="0.2">
      <c r="A60" s="783"/>
      <c r="B60" s="788" t="s">
        <v>838</v>
      </c>
      <c r="C60" s="793" t="s">
        <v>839</v>
      </c>
      <c r="D60" s="792">
        <v>943</v>
      </c>
    </row>
    <row r="61" spans="1:4" s="26" customFormat="1" x14ac:dyDescent="0.2">
      <c r="A61" s="783"/>
      <c r="B61" s="788" t="s">
        <v>840</v>
      </c>
      <c r="C61" s="793" t="s">
        <v>839</v>
      </c>
      <c r="D61" s="792">
        <v>943</v>
      </c>
    </row>
    <row r="62" spans="1:4" s="26" customFormat="1" x14ac:dyDescent="0.2">
      <c r="A62" s="783"/>
      <c r="B62" s="788" t="s">
        <v>841</v>
      </c>
      <c r="C62" s="797" t="s">
        <v>842</v>
      </c>
      <c r="D62" s="790">
        <v>3438.5</v>
      </c>
    </row>
    <row r="63" spans="1:4" s="26" customFormat="1" x14ac:dyDescent="0.2">
      <c r="A63" s="783"/>
      <c r="B63" s="788" t="s">
        <v>843</v>
      </c>
      <c r="C63" s="797" t="s">
        <v>844</v>
      </c>
      <c r="D63" s="790">
        <v>9878.5</v>
      </c>
    </row>
    <row r="64" spans="1:4" s="26" customFormat="1" x14ac:dyDescent="0.2">
      <c r="A64" s="783"/>
      <c r="B64" s="788" t="s">
        <v>845</v>
      </c>
      <c r="C64" s="795" t="s">
        <v>822</v>
      </c>
      <c r="D64" s="790">
        <v>11300</v>
      </c>
    </row>
    <row r="65" spans="1:4" s="26" customFormat="1" x14ac:dyDescent="0.2">
      <c r="A65" s="783"/>
      <c r="B65" s="788" t="s">
        <v>846</v>
      </c>
      <c r="C65" s="795" t="s">
        <v>847</v>
      </c>
      <c r="D65" s="790">
        <v>943</v>
      </c>
    </row>
    <row r="66" spans="1:4" s="26" customFormat="1" x14ac:dyDescent="0.2">
      <c r="A66" s="783"/>
      <c r="B66" s="788" t="s">
        <v>848</v>
      </c>
      <c r="C66" s="798" t="s">
        <v>849</v>
      </c>
      <c r="D66" s="796">
        <v>5175</v>
      </c>
    </row>
    <row r="67" spans="1:4" s="26" customFormat="1" x14ac:dyDescent="0.2">
      <c r="A67" s="783"/>
      <c r="B67" s="788" t="s">
        <v>850</v>
      </c>
      <c r="C67" s="798" t="s">
        <v>851</v>
      </c>
      <c r="D67" s="796">
        <v>9442.42</v>
      </c>
    </row>
    <row r="68" spans="1:4" s="26" customFormat="1" x14ac:dyDescent="0.2">
      <c r="A68" s="783"/>
      <c r="B68" s="788" t="s">
        <v>852</v>
      </c>
      <c r="C68" s="798" t="s">
        <v>853</v>
      </c>
      <c r="D68" s="796">
        <v>3306.02</v>
      </c>
    </row>
    <row r="69" spans="1:4" s="26" customFormat="1" x14ac:dyDescent="0.2">
      <c r="A69" s="783"/>
      <c r="B69" s="788" t="s">
        <v>854</v>
      </c>
      <c r="C69" s="791" t="s">
        <v>855</v>
      </c>
      <c r="D69" s="792">
        <v>4025</v>
      </c>
    </row>
    <row r="70" spans="1:4" s="26" customFormat="1" x14ac:dyDescent="0.2">
      <c r="A70" s="783"/>
      <c r="B70" s="788" t="s">
        <v>856</v>
      </c>
      <c r="C70" s="798" t="s">
        <v>857</v>
      </c>
      <c r="D70" s="796">
        <v>3783.5</v>
      </c>
    </row>
    <row r="71" spans="1:4" s="26" customFormat="1" x14ac:dyDescent="0.2">
      <c r="A71" s="783"/>
      <c r="B71" s="788" t="s">
        <v>858</v>
      </c>
      <c r="C71" s="791" t="s">
        <v>859</v>
      </c>
      <c r="D71" s="790">
        <v>4582</v>
      </c>
    </row>
    <row r="72" spans="1:4" s="26" customFormat="1" x14ac:dyDescent="0.2">
      <c r="A72" s="783"/>
      <c r="B72" s="788" t="s">
        <v>860</v>
      </c>
      <c r="C72" s="791" t="s">
        <v>861</v>
      </c>
      <c r="D72" s="790">
        <v>1943.5</v>
      </c>
    </row>
    <row r="73" spans="1:4" s="26" customFormat="1" x14ac:dyDescent="0.2">
      <c r="A73" s="783"/>
      <c r="B73" s="788" t="s">
        <v>862</v>
      </c>
      <c r="C73" s="797" t="s">
        <v>863</v>
      </c>
      <c r="D73" s="790">
        <v>1485</v>
      </c>
    </row>
    <row r="74" spans="1:4" s="26" customFormat="1" x14ac:dyDescent="0.2">
      <c r="A74" s="783"/>
      <c r="B74" s="788" t="s">
        <v>864</v>
      </c>
      <c r="C74" s="797" t="s">
        <v>865</v>
      </c>
      <c r="D74" s="790">
        <v>2748.5</v>
      </c>
    </row>
    <row r="75" spans="1:4" s="26" customFormat="1" x14ac:dyDescent="0.2">
      <c r="A75" s="783"/>
      <c r="B75" s="788" t="s">
        <v>866</v>
      </c>
      <c r="C75" s="795" t="s">
        <v>822</v>
      </c>
      <c r="D75" s="790">
        <v>7055.58</v>
      </c>
    </row>
    <row r="76" spans="1:4" s="26" customFormat="1" x14ac:dyDescent="0.2">
      <c r="A76" s="783"/>
      <c r="B76" s="788" t="s">
        <v>867</v>
      </c>
      <c r="C76" s="795" t="s">
        <v>868</v>
      </c>
      <c r="D76" s="790">
        <v>2250.15</v>
      </c>
    </row>
    <row r="77" spans="1:4" s="26" customFormat="1" x14ac:dyDescent="0.2">
      <c r="A77" s="783"/>
      <c r="B77" s="788" t="s">
        <v>869</v>
      </c>
      <c r="C77" s="795" t="s">
        <v>870</v>
      </c>
      <c r="D77" s="790">
        <v>1943.5</v>
      </c>
    </row>
    <row r="78" spans="1:4" s="26" customFormat="1" x14ac:dyDescent="0.2">
      <c r="A78" s="783"/>
      <c r="B78" s="788" t="s">
        <v>871</v>
      </c>
      <c r="C78" s="795" t="s">
        <v>870</v>
      </c>
      <c r="D78" s="792">
        <v>1943.5</v>
      </c>
    </row>
    <row r="79" spans="1:4" s="26" customFormat="1" x14ac:dyDescent="0.2">
      <c r="A79" s="783"/>
      <c r="B79" s="788" t="s">
        <v>872</v>
      </c>
      <c r="C79" s="797" t="s">
        <v>873</v>
      </c>
      <c r="D79" s="792">
        <v>3461.5</v>
      </c>
    </row>
    <row r="80" spans="1:4" s="26" customFormat="1" x14ac:dyDescent="0.2">
      <c r="A80" s="783"/>
      <c r="B80" s="788" t="s">
        <v>874</v>
      </c>
      <c r="C80" s="795" t="s">
        <v>875</v>
      </c>
      <c r="D80" s="790">
        <v>1483.5</v>
      </c>
    </row>
    <row r="81" spans="1:4" s="26" customFormat="1" x14ac:dyDescent="0.2">
      <c r="A81" s="783"/>
      <c r="B81" s="788" t="s">
        <v>876</v>
      </c>
      <c r="C81" s="795" t="s">
        <v>877</v>
      </c>
      <c r="D81" s="790">
        <v>2127.5</v>
      </c>
    </row>
    <row r="82" spans="1:4" s="26" customFormat="1" x14ac:dyDescent="0.2">
      <c r="A82" s="783"/>
      <c r="B82" s="788" t="s">
        <v>878</v>
      </c>
      <c r="C82" s="797" t="s">
        <v>879</v>
      </c>
      <c r="D82" s="792">
        <v>16164.6</v>
      </c>
    </row>
    <row r="83" spans="1:4" s="26" customFormat="1" x14ac:dyDescent="0.2">
      <c r="A83" s="783"/>
      <c r="B83" s="788" t="s">
        <v>880</v>
      </c>
      <c r="C83" s="791" t="s">
        <v>881</v>
      </c>
      <c r="D83" s="792">
        <v>4784</v>
      </c>
    </row>
    <row r="84" spans="1:4" s="26" customFormat="1" x14ac:dyDescent="0.2">
      <c r="A84" s="783"/>
      <c r="B84" s="788" t="s">
        <v>882</v>
      </c>
      <c r="C84" s="791" t="s">
        <v>883</v>
      </c>
      <c r="D84" s="792">
        <v>3507.5</v>
      </c>
    </row>
    <row r="85" spans="1:4" s="26" customFormat="1" x14ac:dyDescent="0.2">
      <c r="A85" s="783"/>
      <c r="B85" s="788" t="s">
        <v>884</v>
      </c>
      <c r="C85" s="791" t="s">
        <v>885</v>
      </c>
      <c r="D85" s="792">
        <v>3093.5</v>
      </c>
    </row>
    <row r="86" spans="1:4" s="26" customFormat="1" x14ac:dyDescent="0.2">
      <c r="A86" s="783"/>
      <c r="B86" s="788" t="s">
        <v>886</v>
      </c>
      <c r="C86" s="795" t="s">
        <v>887</v>
      </c>
      <c r="D86" s="792">
        <v>4141.2</v>
      </c>
    </row>
    <row r="87" spans="1:4" s="26" customFormat="1" x14ac:dyDescent="0.2">
      <c r="A87" s="783"/>
      <c r="B87" s="788" t="s">
        <v>888</v>
      </c>
      <c r="C87" s="795" t="s">
        <v>889</v>
      </c>
      <c r="D87" s="792">
        <v>1725</v>
      </c>
    </row>
    <row r="88" spans="1:4" s="26" customFormat="1" x14ac:dyDescent="0.2">
      <c r="A88" s="783"/>
      <c r="B88" s="788" t="s">
        <v>890</v>
      </c>
      <c r="C88" s="799" t="s">
        <v>891</v>
      </c>
      <c r="D88" s="792">
        <v>10804.24</v>
      </c>
    </row>
    <row r="89" spans="1:4" s="26" customFormat="1" x14ac:dyDescent="0.2">
      <c r="A89" s="783"/>
      <c r="B89" s="788" t="s">
        <v>892</v>
      </c>
      <c r="C89" s="795" t="s">
        <v>893</v>
      </c>
      <c r="D89" s="792">
        <v>4095.96</v>
      </c>
    </row>
    <row r="90" spans="1:4" s="26" customFormat="1" x14ac:dyDescent="0.2">
      <c r="A90" s="783"/>
      <c r="B90" s="788" t="s">
        <v>894</v>
      </c>
      <c r="C90" s="795" t="s">
        <v>895</v>
      </c>
      <c r="D90" s="792">
        <v>4598.99</v>
      </c>
    </row>
    <row r="91" spans="1:4" s="26" customFormat="1" x14ac:dyDescent="0.2">
      <c r="A91" s="783"/>
      <c r="B91" s="788" t="s">
        <v>896</v>
      </c>
      <c r="C91" s="795" t="s">
        <v>897</v>
      </c>
      <c r="D91" s="792">
        <v>2868.99</v>
      </c>
    </row>
    <row r="92" spans="1:4" s="26" customFormat="1" x14ac:dyDescent="0.2">
      <c r="A92" s="783"/>
      <c r="B92" s="788" t="s">
        <v>898</v>
      </c>
      <c r="C92" s="795" t="s">
        <v>899</v>
      </c>
      <c r="D92" s="792">
        <v>2900</v>
      </c>
    </row>
    <row r="93" spans="1:4" s="26" customFormat="1" x14ac:dyDescent="0.2">
      <c r="A93" s="783"/>
      <c r="B93" s="788" t="s">
        <v>900</v>
      </c>
      <c r="C93" s="795" t="s">
        <v>899</v>
      </c>
      <c r="D93" s="792">
        <v>2900</v>
      </c>
    </row>
    <row r="94" spans="1:4" s="26" customFormat="1" x14ac:dyDescent="0.2">
      <c r="A94" s="783"/>
      <c r="B94" s="788" t="s">
        <v>901</v>
      </c>
      <c r="C94" s="795" t="s">
        <v>902</v>
      </c>
      <c r="D94" s="792">
        <v>8742.66</v>
      </c>
    </row>
    <row r="95" spans="1:4" s="26" customFormat="1" x14ac:dyDescent="0.2">
      <c r="A95" s="783"/>
      <c r="B95" s="788" t="s">
        <v>903</v>
      </c>
      <c r="C95" s="798" t="s">
        <v>822</v>
      </c>
      <c r="D95" s="800">
        <v>11300</v>
      </c>
    </row>
    <row r="96" spans="1:4" s="26" customFormat="1" x14ac:dyDescent="0.2">
      <c r="A96" s="783"/>
      <c r="B96" s="788" t="s">
        <v>904</v>
      </c>
      <c r="C96" s="801" t="s">
        <v>905</v>
      </c>
      <c r="D96" s="800">
        <v>6739</v>
      </c>
    </row>
    <row r="97" spans="1:4" s="26" customFormat="1" x14ac:dyDescent="0.2">
      <c r="A97" s="783"/>
      <c r="B97" s="788" t="s">
        <v>906</v>
      </c>
      <c r="C97" s="791" t="s">
        <v>907</v>
      </c>
      <c r="D97" s="800">
        <v>4350</v>
      </c>
    </row>
    <row r="98" spans="1:4" s="26" customFormat="1" x14ac:dyDescent="0.2">
      <c r="A98" s="783"/>
      <c r="B98" s="788" t="s">
        <v>908</v>
      </c>
      <c r="C98" s="795" t="s">
        <v>909</v>
      </c>
      <c r="D98" s="792">
        <v>1920.5</v>
      </c>
    </row>
    <row r="99" spans="1:4" s="26" customFormat="1" x14ac:dyDescent="0.2">
      <c r="A99" s="783"/>
      <c r="B99" s="788" t="s">
        <v>910</v>
      </c>
      <c r="C99" s="793" t="s">
        <v>911</v>
      </c>
      <c r="D99" s="792">
        <v>2146</v>
      </c>
    </row>
    <row r="100" spans="1:4" s="26" customFormat="1" x14ac:dyDescent="0.2">
      <c r="A100" s="783"/>
      <c r="B100" s="788" t="s">
        <v>912</v>
      </c>
      <c r="C100" s="799" t="s">
        <v>913</v>
      </c>
      <c r="D100" s="792">
        <v>5514.64</v>
      </c>
    </row>
    <row r="101" spans="1:4" s="26" customFormat="1" x14ac:dyDescent="0.2">
      <c r="A101" s="783"/>
      <c r="B101" s="788" t="s">
        <v>914</v>
      </c>
      <c r="C101" s="791" t="s">
        <v>907</v>
      </c>
      <c r="D101" s="800">
        <v>4350</v>
      </c>
    </row>
    <row r="102" spans="1:4" s="26" customFormat="1" x14ac:dyDescent="0.2">
      <c r="A102" s="783"/>
      <c r="B102" s="788" t="s">
        <v>915</v>
      </c>
      <c r="C102" s="793" t="s">
        <v>911</v>
      </c>
      <c r="D102" s="792">
        <v>2146</v>
      </c>
    </row>
    <row r="103" spans="1:4" s="26" customFormat="1" x14ac:dyDescent="0.2">
      <c r="A103" s="783"/>
      <c r="B103" s="788" t="s">
        <v>916</v>
      </c>
      <c r="C103" s="799" t="s">
        <v>913</v>
      </c>
      <c r="D103" s="792">
        <v>5514.64</v>
      </c>
    </row>
    <row r="104" spans="1:4" s="26" customFormat="1" x14ac:dyDescent="0.2">
      <c r="A104" s="783"/>
      <c r="B104" s="788" t="s">
        <v>917</v>
      </c>
      <c r="C104" s="795" t="s">
        <v>795</v>
      </c>
      <c r="D104" s="790">
        <v>2100.0059999999999</v>
      </c>
    </row>
    <row r="105" spans="1:4" s="26" customFormat="1" x14ac:dyDescent="0.2">
      <c r="A105" s="783"/>
      <c r="B105" s="788" t="s">
        <v>918</v>
      </c>
      <c r="C105" s="795" t="s">
        <v>919</v>
      </c>
      <c r="D105" s="792">
        <v>5858.9880000000003</v>
      </c>
    </row>
    <row r="106" spans="1:4" s="26" customFormat="1" x14ac:dyDescent="0.2">
      <c r="A106" s="783"/>
      <c r="B106" s="788" t="s">
        <v>920</v>
      </c>
      <c r="C106" s="793" t="s">
        <v>911</v>
      </c>
      <c r="D106" s="792">
        <v>2146</v>
      </c>
    </row>
    <row r="107" spans="1:4" s="26" customFormat="1" x14ac:dyDescent="0.2">
      <c r="A107" s="783"/>
      <c r="B107" s="788" t="s">
        <v>921</v>
      </c>
      <c r="C107" s="795" t="s">
        <v>922</v>
      </c>
      <c r="D107" s="802">
        <v>1955</v>
      </c>
    </row>
    <row r="108" spans="1:4" s="26" customFormat="1" x14ac:dyDescent="0.2">
      <c r="A108" s="783"/>
      <c r="B108" s="788" t="s">
        <v>923</v>
      </c>
      <c r="C108" s="793" t="s">
        <v>911</v>
      </c>
      <c r="D108" s="792">
        <v>2146</v>
      </c>
    </row>
    <row r="109" spans="1:4" s="26" customFormat="1" x14ac:dyDescent="0.2">
      <c r="A109" s="783"/>
      <c r="B109" s="788" t="s">
        <v>924</v>
      </c>
      <c r="C109" s="795" t="s">
        <v>925</v>
      </c>
      <c r="D109" s="792">
        <v>15660</v>
      </c>
    </row>
    <row r="110" spans="1:4" s="26" customFormat="1" x14ac:dyDescent="0.2">
      <c r="A110" s="783"/>
      <c r="B110" s="788" t="s">
        <v>926</v>
      </c>
      <c r="C110" s="795" t="s">
        <v>905</v>
      </c>
      <c r="D110" s="792">
        <v>4594.25</v>
      </c>
    </row>
    <row r="111" spans="1:4" s="26" customFormat="1" x14ac:dyDescent="0.2">
      <c r="A111" s="783"/>
      <c r="B111" s="788" t="s">
        <v>927</v>
      </c>
      <c r="C111" s="793" t="s">
        <v>928</v>
      </c>
      <c r="D111" s="792">
        <v>9107.9599999999991</v>
      </c>
    </row>
    <row r="112" spans="1:4" s="26" customFormat="1" x14ac:dyDescent="0.2">
      <c r="A112" s="783"/>
      <c r="B112" s="788" t="s">
        <v>929</v>
      </c>
      <c r="C112" s="793" t="s">
        <v>911</v>
      </c>
      <c r="D112" s="792">
        <v>2146</v>
      </c>
    </row>
    <row r="113" spans="1:4" s="26" customFormat="1" x14ac:dyDescent="0.2">
      <c r="A113" s="783"/>
      <c r="B113" s="788" t="s">
        <v>930</v>
      </c>
      <c r="C113" s="793" t="s">
        <v>911</v>
      </c>
      <c r="D113" s="792">
        <v>2146</v>
      </c>
    </row>
    <row r="114" spans="1:4" s="26" customFormat="1" x14ac:dyDescent="0.2">
      <c r="A114" s="783"/>
      <c r="B114" s="788" t="s">
        <v>931</v>
      </c>
      <c r="C114" s="791" t="s">
        <v>932</v>
      </c>
      <c r="D114" s="792">
        <v>2100.0059999999999</v>
      </c>
    </row>
    <row r="115" spans="1:4" s="26" customFormat="1" x14ac:dyDescent="0.2">
      <c r="A115" s="783"/>
      <c r="B115" s="788" t="s">
        <v>933</v>
      </c>
      <c r="C115" s="791" t="s">
        <v>934</v>
      </c>
      <c r="D115" s="792">
        <v>4358.5</v>
      </c>
    </row>
    <row r="116" spans="1:4" s="26" customFormat="1" x14ac:dyDescent="0.2">
      <c r="A116" s="783"/>
      <c r="B116" s="788" t="s">
        <v>935</v>
      </c>
      <c r="C116" s="793" t="s">
        <v>911</v>
      </c>
      <c r="D116" s="792">
        <v>2146</v>
      </c>
    </row>
    <row r="117" spans="1:4" s="26" customFormat="1" x14ac:dyDescent="0.2">
      <c r="A117" s="783"/>
      <c r="B117" s="788" t="s">
        <v>936</v>
      </c>
      <c r="C117" s="793" t="s">
        <v>911</v>
      </c>
      <c r="D117" s="792">
        <v>2146</v>
      </c>
    </row>
    <row r="118" spans="1:4" s="26" customFormat="1" x14ac:dyDescent="0.2">
      <c r="A118" s="783"/>
      <c r="B118" s="788" t="s">
        <v>937</v>
      </c>
      <c r="C118" s="791" t="s">
        <v>938</v>
      </c>
      <c r="D118" s="792">
        <v>2173.5</v>
      </c>
    </row>
    <row r="119" spans="1:4" s="26" customFormat="1" x14ac:dyDescent="0.2">
      <c r="A119" s="783"/>
      <c r="B119" s="788" t="s">
        <v>939</v>
      </c>
      <c r="C119" s="791" t="s">
        <v>907</v>
      </c>
      <c r="D119" s="792">
        <v>4350</v>
      </c>
    </row>
    <row r="120" spans="1:4" s="26" customFormat="1" x14ac:dyDescent="0.2">
      <c r="A120" s="783"/>
      <c r="B120" s="788" t="s">
        <v>940</v>
      </c>
      <c r="C120" s="791" t="s">
        <v>941</v>
      </c>
      <c r="D120" s="792">
        <v>733</v>
      </c>
    </row>
    <row r="121" spans="1:4" s="26" customFormat="1" x14ac:dyDescent="0.2">
      <c r="A121" s="783"/>
      <c r="B121" s="788" t="s">
        <v>942</v>
      </c>
      <c r="C121" s="791" t="s">
        <v>941</v>
      </c>
      <c r="D121" s="792">
        <v>733</v>
      </c>
    </row>
    <row r="122" spans="1:4" s="26" customFormat="1" x14ac:dyDescent="0.2">
      <c r="A122" s="783"/>
      <c r="B122" s="788" t="s">
        <v>943</v>
      </c>
      <c r="C122" s="791" t="s">
        <v>944</v>
      </c>
      <c r="D122" s="792">
        <v>1455.9970000000001</v>
      </c>
    </row>
    <row r="123" spans="1:4" s="26" customFormat="1" x14ac:dyDescent="0.2">
      <c r="A123" s="783"/>
      <c r="B123" s="788" t="s">
        <v>945</v>
      </c>
      <c r="C123" s="791" t="s">
        <v>946</v>
      </c>
      <c r="D123" s="792">
        <v>2262</v>
      </c>
    </row>
    <row r="124" spans="1:4" s="26" customFormat="1" x14ac:dyDescent="0.2">
      <c r="A124" s="783"/>
      <c r="B124" s="788" t="s">
        <v>947</v>
      </c>
      <c r="C124" s="791" t="s">
        <v>822</v>
      </c>
      <c r="D124" s="792">
        <v>15805</v>
      </c>
    </row>
    <row r="125" spans="1:4" s="26" customFormat="1" x14ac:dyDescent="0.2">
      <c r="A125" s="783"/>
      <c r="B125" s="788" t="s">
        <v>948</v>
      </c>
      <c r="C125" s="791" t="s">
        <v>949</v>
      </c>
      <c r="D125" s="792">
        <v>7250</v>
      </c>
    </row>
    <row r="126" spans="1:4" s="26" customFormat="1" x14ac:dyDescent="0.2">
      <c r="A126" s="783"/>
      <c r="B126" s="788" t="s">
        <v>950</v>
      </c>
      <c r="C126" s="793" t="s">
        <v>951</v>
      </c>
      <c r="D126" s="792">
        <v>16820</v>
      </c>
    </row>
    <row r="127" spans="1:4" s="26" customFormat="1" x14ac:dyDescent="0.2">
      <c r="A127" s="783"/>
      <c r="B127" s="788" t="s">
        <v>952</v>
      </c>
      <c r="C127" s="791" t="s">
        <v>822</v>
      </c>
      <c r="D127" s="792">
        <v>14315.2</v>
      </c>
    </row>
    <row r="128" spans="1:4" s="26" customFormat="1" x14ac:dyDescent="0.2">
      <c r="A128" s="783"/>
      <c r="B128" s="788" t="s">
        <v>953</v>
      </c>
      <c r="C128" s="791" t="s">
        <v>907</v>
      </c>
      <c r="D128" s="792">
        <v>4350</v>
      </c>
    </row>
    <row r="129" spans="1:4" s="26" customFormat="1" x14ac:dyDescent="0.2">
      <c r="A129" s="783"/>
      <c r="B129" s="788" t="s">
        <v>954</v>
      </c>
      <c r="C129" s="791" t="s">
        <v>955</v>
      </c>
      <c r="D129" s="792">
        <v>2748.5</v>
      </c>
    </row>
    <row r="130" spans="1:4" s="26" customFormat="1" x14ac:dyDescent="0.2">
      <c r="A130" s="783"/>
      <c r="B130" s="788" t="s">
        <v>956</v>
      </c>
      <c r="C130" s="793" t="s">
        <v>911</v>
      </c>
      <c r="D130" s="792">
        <v>2146</v>
      </c>
    </row>
    <row r="131" spans="1:4" s="26" customFormat="1" x14ac:dyDescent="0.2">
      <c r="A131" s="783"/>
      <c r="B131" s="788" t="s">
        <v>957</v>
      </c>
      <c r="C131" s="791" t="s">
        <v>941</v>
      </c>
      <c r="D131" s="792">
        <v>733</v>
      </c>
    </row>
    <row r="132" spans="1:4" s="26" customFormat="1" x14ac:dyDescent="0.2">
      <c r="A132" s="783"/>
      <c r="B132" s="788" t="s">
        <v>958</v>
      </c>
      <c r="C132" s="791" t="s">
        <v>909</v>
      </c>
      <c r="D132" s="792">
        <v>2156.25</v>
      </c>
    </row>
    <row r="133" spans="1:4" s="26" customFormat="1" x14ac:dyDescent="0.2">
      <c r="A133" s="783"/>
      <c r="B133" s="788" t="s">
        <v>959</v>
      </c>
      <c r="C133" s="791" t="s">
        <v>960</v>
      </c>
      <c r="D133" s="792">
        <v>3422</v>
      </c>
    </row>
    <row r="134" spans="1:4" s="26" customFormat="1" x14ac:dyDescent="0.2">
      <c r="A134" s="783"/>
      <c r="B134" s="788" t="s">
        <v>961</v>
      </c>
      <c r="C134" s="793" t="s">
        <v>911</v>
      </c>
      <c r="D134" s="792">
        <v>2146</v>
      </c>
    </row>
    <row r="135" spans="1:4" s="26" customFormat="1" x14ac:dyDescent="0.2">
      <c r="A135" s="783"/>
      <c r="B135" s="788" t="s">
        <v>962</v>
      </c>
      <c r="C135" s="791" t="s">
        <v>907</v>
      </c>
      <c r="D135" s="792">
        <v>4350</v>
      </c>
    </row>
    <row r="136" spans="1:4" s="26" customFormat="1" x14ac:dyDescent="0.2">
      <c r="A136" s="783"/>
      <c r="B136" s="788" t="s">
        <v>963</v>
      </c>
      <c r="C136" s="791" t="s">
        <v>944</v>
      </c>
      <c r="D136" s="792">
        <v>1943.5</v>
      </c>
    </row>
    <row r="137" spans="1:4" s="26" customFormat="1" x14ac:dyDescent="0.2">
      <c r="A137" s="783"/>
      <c r="B137" s="788" t="s">
        <v>964</v>
      </c>
      <c r="C137" s="791" t="s">
        <v>822</v>
      </c>
      <c r="D137" s="792">
        <v>7585</v>
      </c>
    </row>
    <row r="138" spans="1:4" s="26" customFormat="1" x14ac:dyDescent="0.2">
      <c r="A138" s="783"/>
      <c r="B138" s="788" t="s">
        <v>965</v>
      </c>
      <c r="C138" s="791" t="s">
        <v>853</v>
      </c>
      <c r="D138" s="790">
        <v>1655</v>
      </c>
    </row>
    <row r="139" spans="1:4" s="26" customFormat="1" x14ac:dyDescent="0.2">
      <c r="A139" s="783"/>
      <c r="B139" s="788" t="s">
        <v>966</v>
      </c>
      <c r="C139" s="791" t="s">
        <v>967</v>
      </c>
      <c r="D139" s="790">
        <v>475.2</v>
      </c>
    </row>
    <row r="140" spans="1:4" s="26" customFormat="1" x14ac:dyDescent="0.2">
      <c r="A140" s="783"/>
      <c r="B140" s="788" t="s">
        <v>968</v>
      </c>
      <c r="C140" s="791" t="s">
        <v>969</v>
      </c>
      <c r="D140" s="790">
        <v>2238.8000000000002</v>
      </c>
    </row>
    <row r="141" spans="1:4" s="26" customFormat="1" x14ac:dyDescent="0.2">
      <c r="A141" s="783"/>
      <c r="B141" s="788" t="s">
        <v>970</v>
      </c>
      <c r="C141" s="791" t="s">
        <v>883</v>
      </c>
      <c r="D141" s="790">
        <v>2863.5</v>
      </c>
    </row>
    <row r="142" spans="1:4" s="26" customFormat="1" x14ac:dyDescent="0.2">
      <c r="A142" s="783"/>
      <c r="B142" s="788" t="s">
        <v>971</v>
      </c>
      <c r="C142" s="793" t="s">
        <v>911</v>
      </c>
      <c r="D142" s="790">
        <v>2146</v>
      </c>
    </row>
    <row r="143" spans="1:4" s="26" customFormat="1" x14ac:dyDescent="0.2">
      <c r="A143" s="783"/>
      <c r="B143" s="788" t="s">
        <v>972</v>
      </c>
      <c r="C143" s="791" t="s">
        <v>973</v>
      </c>
      <c r="D143" s="790">
        <v>2990</v>
      </c>
    </row>
    <row r="144" spans="1:4" s="26" customFormat="1" x14ac:dyDescent="0.2">
      <c r="A144" s="783"/>
      <c r="B144" s="788" t="s">
        <v>974</v>
      </c>
      <c r="C144" s="793" t="s">
        <v>975</v>
      </c>
      <c r="D144" s="792">
        <v>979</v>
      </c>
    </row>
    <row r="145" spans="1:4" s="26" customFormat="1" x14ac:dyDescent="0.2">
      <c r="A145" s="783"/>
      <c r="B145" s="788" t="s">
        <v>976</v>
      </c>
      <c r="C145" s="793" t="s">
        <v>911</v>
      </c>
      <c r="D145" s="790">
        <v>2146</v>
      </c>
    </row>
    <row r="146" spans="1:4" s="26" customFormat="1" x14ac:dyDescent="0.2">
      <c r="A146" s="783"/>
      <c r="B146" s="788" t="s">
        <v>977</v>
      </c>
      <c r="C146" s="791" t="s">
        <v>822</v>
      </c>
      <c r="D146" s="800">
        <v>13386</v>
      </c>
    </row>
    <row r="147" spans="1:4" s="26" customFormat="1" x14ac:dyDescent="0.2">
      <c r="A147" s="783"/>
      <c r="B147" s="788" t="s">
        <v>978</v>
      </c>
      <c r="C147" s="801" t="s">
        <v>905</v>
      </c>
      <c r="D147" s="800">
        <v>1552.5</v>
      </c>
    </row>
    <row r="148" spans="1:4" s="26" customFormat="1" x14ac:dyDescent="0.2">
      <c r="A148" s="783"/>
      <c r="B148" s="788" t="s">
        <v>979</v>
      </c>
      <c r="C148" s="801" t="s">
        <v>980</v>
      </c>
      <c r="D148" s="800">
        <v>1399</v>
      </c>
    </row>
    <row r="149" spans="1:4" s="26" customFormat="1" x14ac:dyDescent="0.2">
      <c r="A149" s="783"/>
      <c r="B149" s="788" t="s">
        <v>981</v>
      </c>
      <c r="C149" s="791" t="s">
        <v>982</v>
      </c>
      <c r="D149" s="790">
        <v>563.5</v>
      </c>
    </row>
    <row r="150" spans="1:4" s="26" customFormat="1" x14ac:dyDescent="0.2">
      <c r="A150" s="783"/>
      <c r="B150" s="788" t="s">
        <v>983</v>
      </c>
      <c r="C150" s="793" t="s">
        <v>911</v>
      </c>
      <c r="D150" s="790">
        <v>2146</v>
      </c>
    </row>
    <row r="151" spans="1:4" s="26" customFormat="1" x14ac:dyDescent="0.2">
      <c r="A151" s="783"/>
      <c r="B151" s="788" t="s">
        <v>984</v>
      </c>
      <c r="C151" s="791" t="s">
        <v>822</v>
      </c>
      <c r="D151" s="802">
        <v>13386</v>
      </c>
    </row>
    <row r="152" spans="1:4" s="26" customFormat="1" x14ac:dyDescent="0.2">
      <c r="A152" s="783"/>
      <c r="B152" s="788" t="s">
        <v>985</v>
      </c>
      <c r="C152" s="798" t="s">
        <v>986</v>
      </c>
      <c r="D152" s="796">
        <v>7830</v>
      </c>
    </row>
    <row r="153" spans="1:4" s="26" customFormat="1" x14ac:dyDescent="0.2">
      <c r="A153" s="783"/>
      <c r="B153" s="788" t="s">
        <v>987</v>
      </c>
      <c r="C153" s="793" t="s">
        <v>988</v>
      </c>
      <c r="D153" s="792">
        <v>4485</v>
      </c>
    </row>
    <row r="154" spans="1:4" s="26" customFormat="1" x14ac:dyDescent="0.2">
      <c r="A154" s="783"/>
      <c r="B154" s="788" t="s">
        <v>989</v>
      </c>
      <c r="C154" s="793" t="s">
        <v>990</v>
      </c>
      <c r="D154" s="792">
        <v>3654</v>
      </c>
    </row>
    <row r="155" spans="1:4" s="26" customFormat="1" x14ac:dyDescent="0.2">
      <c r="A155" s="783"/>
      <c r="B155" s="788" t="s">
        <v>991</v>
      </c>
      <c r="C155" s="799" t="s">
        <v>992</v>
      </c>
      <c r="D155" s="792">
        <v>1218</v>
      </c>
    </row>
    <row r="156" spans="1:4" s="26" customFormat="1" x14ac:dyDescent="0.2">
      <c r="A156" s="783"/>
      <c r="B156" s="788" t="s">
        <v>993</v>
      </c>
      <c r="C156" s="793" t="s">
        <v>911</v>
      </c>
      <c r="D156" s="792">
        <v>2146</v>
      </c>
    </row>
    <row r="157" spans="1:4" s="26" customFormat="1" x14ac:dyDescent="0.2">
      <c r="A157" s="783"/>
      <c r="B157" s="788" t="s">
        <v>994</v>
      </c>
      <c r="C157" s="793" t="s">
        <v>995</v>
      </c>
      <c r="D157" s="790">
        <v>563.5</v>
      </c>
    </row>
    <row r="158" spans="1:4" s="26" customFormat="1" x14ac:dyDescent="0.2">
      <c r="A158" s="783"/>
      <c r="B158" s="788" t="s">
        <v>996</v>
      </c>
      <c r="C158" s="793" t="s">
        <v>928</v>
      </c>
      <c r="D158" s="792">
        <v>9107.9599999999991</v>
      </c>
    </row>
    <row r="159" spans="1:4" s="26" customFormat="1" x14ac:dyDescent="0.2">
      <c r="A159" s="783"/>
      <c r="B159" s="788" t="s">
        <v>997</v>
      </c>
      <c r="C159" s="791" t="s">
        <v>819</v>
      </c>
      <c r="D159" s="792">
        <v>3622.5</v>
      </c>
    </row>
    <row r="160" spans="1:4" s="26" customFormat="1" x14ac:dyDescent="0.2">
      <c r="A160" s="783"/>
      <c r="B160" s="788" t="s">
        <v>998</v>
      </c>
      <c r="C160" s="793" t="s">
        <v>883</v>
      </c>
      <c r="D160" s="792">
        <v>2863.5</v>
      </c>
    </row>
    <row r="161" spans="1:4" s="26" customFormat="1" x14ac:dyDescent="0.2">
      <c r="A161" s="783"/>
      <c r="B161" s="788" t="s">
        <v>999</v>
      </c>
      <c r="C161" s="793" t="s">
        <v>911</v>
      </c>
      <c r="D161" s="792">
        <v>2146</v>
      </c>
    </row>
    <row r="162" spans="1:4" s="26" customFormat="1" x14ac:dyDescent="0.2">
      <c r="A162" s="783"/>
      <c r="B162" s="788" t="s">
        <v>1000</v>
      </c>
      <c r="C162" s="793" t="s">
        <v>928</v>
      </c>
      <c r="D162" s="792">
        <v>9107.9599999999991</v>
      </c>
    </row>
    <row r="163" spans="1:4" s="26" customFormat="1" x14ac:dyDescent="0.2">
      <c r="A163" s="783"/>
      <c r="B163" s="788" t="s">
        <v>1001</v>
      </c>
      <c r="C163" s="793" t="s">
        <v>883</v>
      </c>
      <c r="D163" s="792">
        <v>2863.5</v>
      </c>
    </row>
    <row r="164" spans="1:4" s="26" customFormat="1" x14ac:dyDescent="0.2">
      <c r="A164" s="783"/>
      <c r="B164" s="788" t="s">
        <v>1002</v>
      </c>
      <c r="C164" s="793" t="s">
        <v>911</v>
      </c>
      <c r="D164" s="792">
        <v>2146</v>
      </c>
    </row>
    <row r="165" spans="1:4" s="26" customFormat="1" x14ac:dyDescent="0.2">
      <c r="A165" s="783"/>
      <c r="B165" s="788" t="s">
        <v>1003</v>
      </c>
      <c r="C165" s="793" t="s">
        <v>928</v>
      </c>
      <c r="D165" s="792">
        <v>19244.240000000002</v>
      </c>
    </row>
    <row r="166" spans="1:4" s="26" customFormat="1" x14ac:dyDescent="0.2">
      <c r="A166" s="783"/>
      <c r="B166" s="788" t="s">
        <v>1004</v>
      </c>
      <c r="C166" s="793" t="s">
        <v>955</v>
      </c>
      <c r="D166" s="792">
        <v>1615.75</v>
      </c>
    </row>
    <row r="167" spans="1:4" s="26" customFormat="1" x14ac:dyDescent="0.2">
      <c r="A167" s="783"/>
      <c r="B167" s="788" t="s">
        <v>1005</v>
      </c>
      <c r="C167" s="793" t="s">
        <v>1006</v>
      </c>
      <c r="D167" s="792">
        <v>2919.44</v>
      </c>
    </row>
    <row r="168" spans="1:4" s="26" customFormat="1" x14ac:dyDescent="0.2">
      <c r="A168" s="783"/>
      <c r="B168" s="788" t="s">
        <v>1007</v>
      </c>
      <c r="C168" s="793" t="s">
        <v>1008</v>
      </c>
      <c r="D168" s="792">
        <v>1698</v>
      </c>
    </row>
    <row r="169" spans="1:4" s="26" customFormat="1" x14ac:dyDescent="0.2">
      <c r="A169" s="783"/>
      <c r="B169" s="788" t="s">
        <v>1009</v>
      </c>
      <c r="C169" s="793" t="s">
        <v>905</v>
      </c>
      <c r="D169" s="792">
        <v>6739</v>
      </c>
    </row>
    <row r="170" spans="1:4" s="26" customFormat="1" x14ac:dyDescent="0.2">
      <c r="A170" s="783"/>
      <c r="B170" s="788" t="s">
        <v>1010</v>
      </c>
      <c r="C170" s="793" t="s">
        <v>1011</v>
      </c>
      <c r="D170" s="792">
        <v>1765.25</v>
      </c>
    </row>
    <row r="171" spans="1:4" s="26" customFormat="1" x14ac:dyDescent="0.2">
      <c r="A171" s="783"/>
      <c r="B171" s="788" t="s">
        <v>1012</v>
      </c>
      <c r="C171" s="791" t="s">
        <v>822</v>
      </c>
      <c r="D171" s="792">
        <v>7880</v>
      </c>
    </row>
    <row r="172" spans="1:4" s="26" customFormat="1" x14ac:dyDescent="0.2">
      <c r="A172" s="783"/>
      <c r="B172" s="788" t="s">
        <v>1013</v>
      </c>
      <c r="C172" s="785" t="s">
        <v>1014</v>
      </c>
      <c r="D172" s="794">
        <v>619.85</v>
      </c>
    </row>
    <row r="173" spans="1:4" s="26" customFormat="1" x14ac:dyDescent="0.2">
      <c r="A173" s="783"/>
      <c r="B173" s="788" t="s">
        <v>1015</v>
      </c>
      <c r="C173" s="785" t="s">
        <v>1014</v>
      </c>
      <c r="D173" s="786">
        <v>619.85</v>
      </c>
    </row>
    <row r="174" spans="1:4" s="26" customFormat="1" x14ac:dyDescent="0.2">
      <c r="A174" s="783"/>
      <c r="B174" s="788" t="s">
        <v>1016</v>
      </c>
      <c r="C174" s="785" t="s">
        <v>1017</v>
      </c>
      <c r="D174" s="794">
        <v>281.75</v>
      </c>
    </row>
    <row r="175" spans="1:4" s="26" customFormat="1" x14ac:dyDescent="0.2">
      <c r="A175" s="783"/>
      <c r="B175" s="788" t="s">
        <v>1018</v>
      </c>
      <c r="C175" s="785" t="s">
        <v>1019</v>
      </c>
      <c r="D175" s="794">
        <v>2099.0100000000002</v>
      </c>
    </row>
    <row r="176" spans="1:4" s="26" customFormat="1" x14ac:dyDescent="0.2">
      <c r="A176" s="783"/>
      <c r="B176" s="788" t="s">
        <v>1020</v>
      </c>
      <c r="C176" s="797" t="s">
        <v>883</v>
      </c>
      <c r="D176" s="792">
        <v>1895</v>
      </c>
    </row>
    <row r="177" spans="1:4" s="26" customFormat="1" x14ac:dyDescent="0.2">
      <c r="A177" s="783"/>
      <c r="B177" s="788" t="s">
        <v>1021</v>
      </c>
      <c r="C177" s="797" t="s">
        <v>881</v>
      </c>
      <c r="D177" s="792">
        <v>4253.92</v>
      </c>
    </row>
    <row r="178" spans="1:4" s="26" customFormat="1" x14ac:dyDescent="0.2">
      <c r="A178" s="783"/>
      <c r="B178" s="788" t="s">
        <v>1022</v>
      </c>
      <c r="C178" s="791" t="s">
        <v>1023</v>
      </c>
      <c r="D178" s="792">
        <v>1455.9970000000001</v>
      </c>
    </row>
    <row r="179" spans="1:4" s="26" customFormat="1" x14ac:dyDescent="0.2">
      <c r="A179" s="783"/>
      <c r="B179" s="788" t="s">
        <v>1024</v>
      </c>
      <c r="C179" s="797" t="s">
        <v>1025</v>
      </c>
      <c r="D179" s="790">
        <v>563.5</v>
      </c>
    </row>
    <row r="180" spans="1:4" s="26" customFormat="1" x14ac:dyDescent="0.2">
      <c r="A180" s="783"/>
      <c r="B180" s="788" t="s">
        <v>1026</v>
      </c>
      <c r="C180" s="798" t="s">
        <v>1027</v>
      </c>
      <c r="D180" s="800">
        <v>1160</v>
      </c>
    </row>
    <row r="181" spans="1:4" s="26" customFormat="1" x14ac:dyDescent="0.2">
      <c r="A181" s="783"/>
      <c r="B181" s="788" t="s">
        <v>1028</v>
      </c>
      <c r="C181" s="798" t="s">
        <v>1029</v>
      </c>
      <c r="D181" s="800">
        <v>3229.44</v>
      </c>
    </row>
    <row r="182" spans="1:4" s="26" customFormat="1" x14ac:dyDescent="0.2">
      <c r="A182" s="783"/>
      <c r="B182" s="788" t="s">
        <v>1030</v>
      </c>
      <c r="C182" s="798" t="s">
        <v>1031</v>
      </c>
      <c r="D182" s="800">
        <v>5307.25</v>
      </c>
    </row>
    <row r="183" spans="1:4" s="26" customFormat="1" x14ac:dyDescent="0.2">
      <c r="A183" s="783"/>
      <c r="B183" s="788" t="s">
        <v>1032</v>
      </c>
      <c r="C183" s="791" t="s">
        <v>819</v>
      </c>
      <c r="D183" s="792">
        <v>3622.5</v>
      </c>
    </row>
    <row r="184" spans="1:4" s="26" customFormat="1" x14ac:dyDescent="0.2">
      <c r="A184" s="783"/>
      <c r="B184" s="788" t="s">
        <v>1033</v>
      </c>
      <c r="C184" s="795" t="s">
        <v>905</v>
      </c>
      <c r="D184" s="792">
        <v>2127.5</v>
      </c>
    </row>
    <row r="185" spans="1:4" s="26" customFormat="1" x14ac:dyDescent="0.2">
      <c r="A185" s="783"/>
      <c r="B185" s="788" t="s">
        <v>1034</v>
      </c>
      <c r="C185" s="791" t="s">
        <v>822</v>
      </c>
      <c r="D185" s="802">
        <v>13386</v>
      </c>
    </row>
    <row r="186" spans="1:4" s="26" customFormat="1" x14ac:dyDescent="0.2">
      <c r="A186" s="783"/>
      <c r="B186" s="788" t="s">
        <v>1035</v>
      </c>
      <c r="C186" s="803" t="s">
        <v>1036</v>
      </c>
      <c r="D186" s="786">
        <v>1866.45</v>
      </c>
    </row>
    <row r="187" spans="1:4" s="26" customFormat="1" x14ac:dyDescent="0.2">
      <c r="A187" s="783"/>
      <c r="B187" s="804" t="s">
        <v>1037</v>
      </c>
      <c r="C187" s="803" t="s">
        <v>1038</v>
      </c>
      <c r="D187" s="786">
        <v>13386</v>
      </c>
    </row>
    <row r="188" spans="1:4" s="26" customFormat="1" x14ac:dyDescent="0.2">
      <c r="A188" s="783"/>
      <c r="B188" s="804" t="s">
        <v>1039</v>
      </c>
      <c r="C188" s="803" t="s">
        <v>1038</v>
      </c>
      <c r="D188" s="786">
        <v>13386</v>
      </c>
    </row>
    <row r="189" spans="1:4" s="26" customFormat="1" x14ac:dyDescent="0.2">
      <c r="A189" s="783"/>
      <c r="B189" s="804" t="s">
        <v>1040</v>
      </c>
      <c r="C189" s="803" t="s">
        <v>1041</v>
      </c>
      <c r="D189" s="786">
        <v>1604.25</v>
      </c>
    </row>
    <row r="190" spans="1:4" s="26" customFormat="1" x14ac:dyDescent="0.2">
      <c r="A190" s="783"/>
      <c r="B190" s="804" t="s">
        <v>1042</v>
      </c>
      <c r="C190" s="803" t="s">
        <v>1043</v>
      </c>
      <c r="D190" s="786">
        <v>5267</v>
      </c>
    </row>
    <row r="191" spans="1:4" s="26" customFormat="1" x14ac:dyDescent="0.2">
      <c r="A191" s="783"/>
      <c r="B191" s="804" t="s">
        <v>1044</v>
      </c>
      <c r="C191" s="805" t="s">
        <v>1045</v>
      </c>
      <c r="D191" s="790">
        <v>2359</v>
      </c>
    </row>
    <row r="192" spans="1:4" s="26" customFormat="1" x14ac:dyDescent="0.2">
      <c r="A192" s="783"/>
      <c r="B192" s="804" t="s">
        <v>1046</v>
      </c>
      <c r="C192" s="805" t="s">
        <v>1047</v>
      </c>
      <c r="D192" s="790">
        <v>7320</v>
      </c>
    </row>
    <row r="193" spans="1:4" s="26" customFormat="1" x14ac:dyDescent="0.25">
      <c r="A193" s="783"/>
      <c r="B193" s="804" t="s">
        <v>1048</v>
      </c>
      <c r="C193" s="806" t="s">
        <v>1049</v>
      </c>
      <c r="D193" s="786">
        <v>6670</v>
      </c>
    </row>
    <row r="194" spans="1:4" s="26" customFormat="1" x14ac:dyDescent="0.25">
      <c r="A194" s="783"/>
      <c r="B194" s="804" t="s">
        <v>1050</v>
      </c>
      <c r="C194" s="805" t="s">
        <v>1051</v>
      </c>
      <c r="D194" s="786">
        <v>563.5</v>
      </c>
    </row>
    <row r="195" spans="1:4" s="26" customFormat="1" x14ac:dyDescent="0.2">
      <c r="A195" s="783"/>
      <c r="B195" s="804" t="s">
        <v>1052</v>
      </c>
      <c r="C195" s="805" t="s">
        <v>1053</v>
      </c>
      <c r="D195" s="807">
        <v>563.5</v>
      </c>
    </row>
    <row r="196" spans="1:4" s="26" customFormat="1" x14ac:dyDescent="0.25">
      <c r="A196" s="783"/>
      <c r="B196" s="804" t="s">
        <v>1054</v>
      </c>
      <c r="C196" s="806" t="s">
        <v>1055</v>
      </c>
      <c r="D196" s="808">
        <v>2221.4</v>
      </c>
    </row>
    <row r="197" spans="1:4" s="26" customFormat="1" x14ac:dyDescent="0.2">
      <c r="A197" s="783"/>
      <c r="B197" s="804" t="s">
        <v>1056</v>
      </c>
      <c r="C197" s="795" t="s">
        <v>1057</v>
      </c>
      <c r="D197" s="790">
        <v>14122</v>
      </c>
    </row>
    <row r="198" spans="1:4" s="26" customFormat="1" x14ac:dyDescent="0.2">
      <c r="A198" s="783"/>
      <c r="B198" s="804" t="s">
        <v>1058</v>
      </c>
      <c r="C198" s="795" t="s">
        <v>1051</v>
      </c>
      <c r="D198" s="807">
        <v>563.5</v>
      </c>
    </row>
    <row r="199" spans="1:4" s="26" customFormat="1" x14ac:dyDescent="0.2">
      <c r="A199" s="783"/>
      <c r="B199" s="804" t="s">
        <v>1059</v>
      </c>
      <c r="C199" s="795" t="s">
        <v>1051</v>
      </c>
      <c r="D199" s="807">
        <v>563.5</v>
      </c>
    </row>
    <row r="200" spans="1:4" s="26" customFormat="1" x14ac:dyDescent="0.2">
      <c r="A200" s="783"/>
      <c r="B200" s="804" t="s">
        <v>1060</v>
      </c>
      <c r="C200" s="797" t="s">
        <v>1061</v>
      </c>
      <c r="D200" s="792">
        <v>2748.5</v>
      </c>
    </row>
    <row r="201" spans="1:4" s="26" customFormat="1" x14ac:dyDescent="0.2">
      <c r="A201" s="783"/>
      <c r="B201" s="804" t="s">
        <v>1062</v>
      </c>
      <c r="C201" s="791" t="s">
        <v>822</v>
      </c>
      <c r="D201" s="792">
        <v>8676.7999999999993</v>
      </c>
    </row>
    <row r="202" spans="1:4" s="26" customFormat="1" x14ac:dyDescent="0.2">
      <c r="A202" s="783"/>
      <c r="B202" s="804" t="s">
        <v>1063</v>
      </c>
      <c r="C202" s="797" t="s">
        <v>1064</v>
      </c>
      <c r="D202" s="790">
        <v>8780</v>
      </c>
    </row>
    <row r="203" spans="1:4" s="26" customFormat="1" x14ac:dyDescent="0.2">
      <c r="A203" s="783"/>
      <c r="B203" s="804" t="s">
        <v>1065</v>
      </c>
      <c r="C203" s="809" t="s">
        <v>1066</v>
      </c>
      <c r="D203" s="810">
        <v>10138.16</v>
      </c>
    </row>
    <row r="204" spans="1:4" s="26" customFormat="1" x14ac:dyDescent="0.2">
      <c r="A204" s="783"/>
      <c r="B204" s="804" t="s">
        <v>1067</v>
      </c>
      <c r="C204" s="809" t="s">
        <v>1068</v>
      </c>
      <c r="D204" s="810">
        <v>6786</v>
      </c>
    </row>
    <row r="205" spans="1:4" s="26" customFormat="1" x14ac:dyDescent="0.2">
      <c r="A205" s="783"/>
      <c r="B205" s="804" t="s">
        <v>1069</v>
      </c>
      <c r="C205" s="809" t="s">
        <v>1070</v>
      </c>
      <c r="D205" s="810">
        <v>5092.3999999999996</v>
      </c>
    </row>
    <row r="206" spans="1:4" s="26" customFormat="1" x14ac:dyDescent="0.2">
      <c r="A206" s="783"/>
      <c r="B206" s="804" t="s">
        <v>1071</v>
      </c>
      <c r="C206" s="809" t="s">
        <v>1072</v>
      </c>
      <c r="D206" s="810">
        <v>5208.3999999999996</v>
      </c>
    </row>
    <row r="207" spans="1:4" s="26" customFormat="1" x14ac:dyDescent="0.2">
      <c r="A207" s="783"/>
      <c r="B207" s="804" t="s">
        <v>1073</v>
      </c>
      <c r="C207" s="791" t="s">
        <v>1074</v>
      </c>
      <c r="D207" s="790">
        <v>4197.5</v>
      </c>
    </row>
    <row r="208" spans="1:4" s="26" customFormat="1" x14ac:dyDescent="0.2">
      <c r="A208" s="783"/>
      <c r="B208" s="804" t="s">
        <v>1075</v>
      </c>
      <c r="C208" s="797" t="s">
        <v>1076</v>
      </c>
      <c r="D208" s="792">
        <v>5048.5</v>
      </c>
    </row>
    <row r="209" spans="1:4" s="26" customFormat="1" x14ac:dyDescent="0.2">
      <c r="A209" s="783"/>
      <c r="B209" s="804" t="s">
        <v>1077</v>
      </c>
      <c r="C209" s="791" t="s">
        <v>1074</v>
      </c>
      <c r="D209" s="790">
        <v>4197.5</v>
      </c>
    </row>
    <row r="210" spans="1:4" s="26" customFormat="1" x14ac:dyDescent="0.2">
      <c r="A210" s="783"/>
      <c r="B210" s="804" t="s">
        <v>1078</v>
      </c>
      <c r="C210" s="797" t="s">
        <v>955</v>
      </c>
      <c r="D210" s="792">
        <v>3967.5</v>
      </c>
    </row>
    <row r="211" spans="1:4" s="26" customFormat="1" x14ac:dyDescent="0.2">
      <c r="A211" s="783"/>
      <c r="B211" s="804" t="s">
        <v>1079</v>
      </c>
      <c r="C211" s="795" t="s">
        <v>955</v>
      </c>
      <c r="D211" s="792">
        <v>3967.5</v>
      </c>
    </row>
    <row r="212" spans="1:4" s="26" customFormat="1" x14ac:dyDescent="0.2">
      <c r="A212" s="783"/>
      <c r="B212" s="804" t="s">
        <v>1080</v>
      </c>
      <c r="C212" s="795" t="s">
        <v>1081</v>
      </c>
      <c r="D212" s="790">
        <v>8009.75</v>
      </c>
    </row>
    <row r="213" spans="1:4" s="26" customFormat="1" x14ac:dyDescent="0.2">
      <c r="A213" s="783"/>
      <c r="B213" s="804" t="s">
        <v>1082</v>
      </c>
      <c r="C213" s="795" t="s">
        <v>1083</v>
      </c>
      <c r="D213" s="790">
        <v>1840</v>
      </c>
    </row>
    <row r="214" spans="1:4" s="26" customFormat="1" x14ac:dyDescent="0.2">
      <c r="A214" s="783"/>
      <c r="B214" s="804" t="s">
        <v>1084</v>
      </c>
      <c r="C214" s="795" t="s">
        <v>1083</v>
      </c>
      <c r="D214" s="790">
        <v>1840</v>
      </c>
    </row>
    <row r="215" spans="1:4" s="26" customFormat="1" x14ac:dyDescent="0.2">
      <c r="A215" s="783"/>
      <c r="B215" s="804" t="s">
        <v>1085</v>
      </c>
      <c r="C215" s="791" t="s">
        <v>1086</v>
      </c>
      <c r="D215" s="792">
        <v>1368.5</v>
      </c>
    </row>
    <row r="216" spans="1:4" s="26" customFormat="1" x14ac:dyDescent="0.2">
      <c r="A216" s="783"/>
      <c r="B216" s="804" t="s">
        <v>1087</v>
      </c>
      <c r="C216" s="791" t="s">
        <v>1088</v>
      </c>
      <c r="D216" s="792">
        <v>563.5</v>
      </c>
    </row>
    <row r="217" spans="1:4" s="26" customFormat="1" x14ac:dyDescent="0.2">
      <c r="A217" s="783"/>
      <c r="B217" s="804" t="s">
        <v>1089</v>
      </c>
      <c r="C217" s="791" t="s">
        <v>1088</v>
      </c>
      <c r="D217" s="792">
        <v>563.5</v>
      </c>
    </row>
    <row r="218" spans="1:4" s="26" customFormat="1" x14ac:dyDescent="0.2">
      <c r="A218" s="783"/>
      <c r="B218" s="804" t="s">
        <v>1090</v>
      </c>
      <c r="C218" s="791" t="s">
        <v>1091</v>
      </c>
      <c r="D218" s="792">
        <v>20585</v>
      </c>
    </row>
    <row r="219" spans="1:4" s="26" customFormat="1" x14ac:dyDescent="0.2">
      <c r="A219" s="783"/>
      <c r="B219" s="804" t="s">
        <v>1092</v>
      </c>
      <c r="C219" s="791" t="s">
        <v>889</v>
      </c>
      <c r="D219" s="802">
        <v>1604.25</v>
      </c>
    </row>
    <row r="220" spans="1:4" s="26" customFormat="1" x14ac:dyDescent="0.2">
      <c r="A220" s="783"/>
      <c r="B220" s="804" t="s">
        <v>1093</v>
      </c>
      <c r="C220" s="791" t="s">
        <v>819</v>
      </c>
      <c r="D220" s="790">
        <v>3737.5</v>
      </c>
    </row>
    <row r="221" spans="1:4" s="26" customFormat="1" x14ac:dyDescent="0.2">
      <c r="A221" s="783"/>
      <c r="B221" s="804" t="s">
        <v>1094</v>
      </c>
      <c r="C221" s="801" t="s">
        <v>1095</v>
      </c>
      <c r="D221" s="792">
        <v>1455.9970000000001</v>
      </c>
    </row>
    <row r="222" spans="1:4" s="26" customFormat="1" x14ac:dyDescent="0.2">
      <c r="A222" s="783"/>
      <c r="B222" s="804" t="s">
        <v>1096</v>
      </c>
      <c r="C222" s="797" t="s">
        <v>1097</v>
      </c>
      <c r="D222" s="792">
        <v>1489.25</v>
      </c>
    </row>
    <row r="223" spans="1:4" s="26" customFormat="1" x14ac:dyDescent="0.25">
      <c r="A223" s="783"/>
      <c r="B223" s="804" t="s">
        <v>1098</v>
      </c>
      <c r="C223" s="801" t="s">
        <v>1099</v>
      </c>
      <c r="D223" s="800">
        <v>9280</v>
      </c>
    </row>
    <row r="224" spans="1:4" s="26" customFormat="1" x14ac:dyDescent="0.2">
      <c r="A224" s="783"/>
      <c r="B224" s="804" t="s">
        <v>1100</v>
      </c>
      <c r="C224" s="801" t="s">
        <v>1095</v>
      </c>
      <c r="D224" s="792">
        <v>1455.9970000000001</v>
      </c>
    </row>
    <row r="225" spans="1:4" s="26" customFormat="1" x14ac:dyDescent="0.25">
      <c r="A225" s="783"/>
      <c r="B225" s="804" t="s">
        <v>1101</v>
      </c>
      <c r="C225" s="801" t="s">
        <v>1102</v>
      </c>
      <c r="D225" s="800">
        <v>1380</v>
      </c>
    </row>
    <row r="226" spans="1:4" s="26" customFormat="1" x14ac:dyDescent="0.2">
      <c r="A226" s="783"/>
      <c r="B226" s="804" t="s">
        <v>1103</v>
      </c>
      <c r="C226" s="791" t="s">
        <v>822</v>
      </c>
      <c r="D226" s="800">
        <v>11300</v>
      </c>
    </row>
    <row r="227" spans="1:4" s="26" customFormat="1" x14ac:dyDescent="0.2">
      <c r="A227" s="783"/>
      <c r="B227" s="804" t="s">
        <v>1104</v>
      </c>
      <c r="C227" s="791" t="s">
        <v>1105</v>
      </c>
      <c r="D227" s="792">
        <v>3220</v>
      </c>
    </row>
    <row r="228" spans="1:4" s="26" customFormat="1" x14ac:dyDescent="0.2">
      <c r="A228" s="783"/>
      <c r="B228" s="804" t="s">
        <v>1106</v>
      </c>
      <c r="C228" s="791" t="s">
        <v>883</v>
      </c>
      <c r="D228" s="790">
        <v>1975</v>
      </c>
    </row>
    <row r="229" spans="1:4" s="26" customFormat="1" x14ac:dyDescent="0.2">
      <c r="A229" s="783"/>
      <c r="B229" s="804" t="s">
        <v>1107</v>
      </c>
      <c r="C229" s="791" t="s">
        <v>1108</v>
      </c>
      <c r="D229" s="790">
        <v>1936.02</v>
      </c>
    </row>
    <row r="230" spans="1:4" s="26" customFormat="1" x14ac:dyDescent="0.2">
      <c r="A230" s="783"/>
      <c r="B230" s="804" t="s">
        <v>1109</v>
      </c>
      <c r="C230" s="795" t="s">
        <v>822</v>
      </c>
      <c r="D230" s="790">
        <v>13386</v>
      </c>
    </row>
    <row r="231" spans="1:4" s="26" customFormat="1" x14ac:dyDescent="0.2">
      <c r="A231" s="783"/>
      <c r="B231" s="804" t="s">
        <v>1110</v>
      </c>
      <c r="C231" s="795" t="s">
        <v>1111</v>
      </c>
      <c r="D231" s="790">
        <v>19500</v>
      </c>
    </row>
    <row r="232" spans="1:4" s="26" customFormat="1" x14ac:dyDescent="0.2">
      <c r="A232" s="783"/>
      <c r="B232" s="804" t="s">
        <v>1112</v>
      </c>
      <c r="C232" s="795" t="s">
        <v>1113</v>
      </c>
      <c r="D232" s="790">
        <v>1866.45</v>
      </c>
    </row>
    <row r="233" spans="1:4" s="26" customFormat="1" x14ac:dyDescent="0.2">
      <c r="A233" s="783"/>
      <c r="B233" s="804" t="s">
        <v>1114</v>
      </c>
      <c r="C233" s="795" t="s">
        <v>1115</v>
      </c>
      <c r="D233" s="790">
        <v>1792.51</v>
      </c>
    </row>
    <row r="234" spans="1:4" s="26" customFormat="1" x14ac:dyDescent="0.2">
      <c r="A234" s="783"/>
      <c r="B234" s="804" t="s">
        <v>1116</v>
      </c>
      <c r="C234" s="793" t="s">
        <v>1117</v>
      </c>
      <c r="D234" s="792">
        <v>2288.5</v>
      </c>
    </row>
    <row r="235" spans="1:4" s="26" customFormat="1" x14ac:dyDescent="0.2">
      <c r="A235" s="783"/>
      <c r="B235" s="804" t="s">
        <v>1118</v>
      </c>
      <c r="C235" s="791" t="s">
        <v>883</v>
      </c>
      <c r="D235" s="790">
        <v>2863.5</v>
      </c>
    </row>
    <row r="236" spans="1:4" s="26" customFormat="1" x14ac:dyDescent="0.2">
      <c r="A236" s="783"/>
      <c r="B236" s="804" t="s">
        <v>1119</v>
      </c>
      <c r="C236" s="791" t="s">
        <v>822</v>
      </c>
      <c r="D236" s="792">
        <v>20414</v>
      </c>
    </row>
    <row r="237" spans="1:4" s="26" customFormat="1" x14ac:dyDescent="0.2">
      <c r="A237" s="783"/>
      <c r="B237" s="804" t="s">
        <v>1120</v>
      </c>
      <c r="C237" s="791" t="s">
        <v>1121</v>
      </c>
      <c r="D237" s="792">
        <v>5338.3</v>
      </c>
    </row>
    <row r="238" spans="1:4" s="26" customFormat="1" x14ac:dyDescent="0.2">
      <c r="A238" s="783"/>
      <c r="B238" s="804" t="s">
        <v>1122</v>
      </c>
      <c r="C238" s="791" t="s">
        <v>1123</v>
      </c>
      <c r="D238" s="792">
        <v>2185</v>
      </c>
    </row>
    <row r="239" spans="1:4" s="26" customFormat="1" x14ac:dyDescent="0.2">
      <c r="A239" s="783"/>
      <c r="B239" s="804" t="s">
        <v>1124</v>
      </c>
      <c r="C239" s="791" t="s">
        <v>787</v>
      </c>
      <c r="D239" s="792">
        <v>1380</v>
      </c>
    </row>
    <row r="240" spans="1:4" s="26" customFormat="1" x14ac:dyDescent="0.2">
      <c r="A240" s="783"/>
      <c r="B240" s="804" t="s">
        <v>1125</v>
      </c>
      <c r="C240" s="791" t="s">
        <v>955</v>
      </c>
      <c r="D240" s="792">
        <v>2978.5</v>
      </c>
    </row>
    <row r="241" spans="1:4" s="26" customFormat="1" x14ac:dyDescent="0.2">
      <c r="A241" s="783"/>
      <c r="B241" s="804" t="s">
        <v>1126</v>
      </c>
      <c r="C241" s="791" t="s">
        <v>1127</v>
      </c>
      <c r="D241" s="792">
        <v>8038.5</v>
      </c>
    </row>
    <row r="242" spans="1:4" s="26" customFormat="1" x14ac:dyDescent="0.2">
      <c r="A242" s="783"/>
      <c r="B242" s="804" t="s">
        <v>1128</v>
      </c>
      <c r="C242" s="793" t="s">
        <v>1129</v>
      </c>
      <c r="D242" s="792">
        <v>4013.5</v>
      </c>
    </row>
    <row r="243" spans="1:4" s="26" customFormat="1" x14ac:dyDescent="0.2">
      <c r="A243" s="783"/>
      <c r="B243" s="804" t="s">
        <v>1130</v>
      </c>
      <c r="C243" s="793" t="s">
        <v>1131</v>
      </c>
      <c r="D243" s="792">
        <v>1899</v>
      </c>
    </row>
    <row r="244" spans="1:4" s="26" customFormat="1" x14ac:dyDescent="0.2">
      <c r="A244" s="783"/>
      <c r="B244" s="804" t="s">
        <v>1132</v>
      </c>
      <c r="C244" s="793" t="s">
        <v>1131</v>
      </c>
      <c r="D244" s="792">
        <v>999</v>
      </c>
    </row>
    <row r="245" spans="1:4" s="26" customFormat="1" x14ac:dyDescent="0.2">
      <c r="A245" s="783"/>
      <c r="B245" s="804" t="s">
        <v>1133</v>
      </c>
      <c r="C245" s="793" t="s">
        <v>1131</v>
      </c>
      <c r="D245" s="792">
        <v>999</v>
      </c>
    </row>
    <row r="246" spans="1:4" s="26" customFormat="1" x14ac:dyDescent="0.2">
      <c r="A246" s="783"/>
      <c r="B246" s="804" t="s">
        <v>1134</v>
      </c>
      <c r="C246" s="791" t="s">
        <v>982</v>
      </c>
      <c r="D246" s="792">
        <v>563.5</v>
      </c>
    </row>
    <row r="247" spans="1:4" s="26" customFormat="1" x14ac:dyDescent="0.2">
      <c r="A247" s="783"/>
      <c r="B247" s="804" t="s">
        <v>1135</v>
      </c>
      <c r="C247" s="791" t="s">
        <v>982</v>
      </c>
      <c r="D247" s="792">
        <v>563.5</v>
      </c>
    </row>
    <row r="248" spans="1:4" s="26" customFormat="1" x14ac:dyDescent="0.2">
      <c r="A248" s="783"/>
      <c r="B248" s="804" t="s">
        <v>1136</v>
      </c>
      <c r="C248" s="791" t="s">
        <v>982</v>
      </c>
      <c r="D248" s="792">
        <v>563.5</v>
      </c>
    </row>
    <row r="249" spans="1:4" s="26" customFormat="1" x14ac:dyDescent="0.2">
      <c r="A249" s="783"/>
      <c r="B249" s="804" t="s">
        <v>1137</v>
      </c>
      <c r="C249" s="791" t="s">
        <v>982</v>
      </c>
      <c r="D249" s="792">
        <v>563.5</v>
      </c>
    </row>
    <row r="250" spans="1:4" s="26" customFormat="1" x14ac:dyDescent="0.2">
      <c r="A250" s="783"/>
      <c r="B250" s="804" t="s">
        <v>1138</v>
      </c>
      <c r="C250" s="791" t="s">
        <v>982</v>
      </c>
      <c r="D250" s="792">
        <v>563.5</v>
      </c>
    </row>
    <row r="251" spans="1:4" s="26" customFormat="1" x14ac:dyDescent="0.2">
      <c r="A251" s="783"/>
      <c r="B251" s="804" t="s">
        <v>1139</v>
      </c>
      <c r="C251" s="791" t="s">
        <v>982</v>
      </c>
      <c r="D251" s="807">
        <v>563.5</v>
      </c>
    </row>
    <row r="252" spans="1:4" s="26" customFormat="1" x14ac:dyDescent="0.2">
      <c r="A252" s="783"/>
      <c r="B252" s="804" t="s">
        <v>1140</v>
      </c>
      <c r="C252" s="791" t="s">
        <v>1141</v>
      </c>
      <c r="D252" s="790">
        <v>2518.5</v>
      </c>
    </row>
    <row r="253" spans="1:4" s="26" customFormat="1" x14ac:dyDescent="0.2">
      <c r="A253" s="783"/>
      <c r="B253" s="804" t="s">
        <v>1142</v>
      </c>
      <c r="C253" s="791" t="s">
        <v>1141</v>
      </c>
      <c r="D253" s="790">
        <v>1368.5</v>
      </c>
    </row>
    <row r="254" spans="1:4" s="26" customFormat="1" x14ac:dyDescent="0.2">
      <c r="A254" s="783"/>
      <c r="B254" s="804" t="s">
        <v>1143</v>
      </c>
      <c r="C254" s="791" t="s">
        <v>955</v>
      </c>
      <c r="D254" s="792">
        <v>2978.5</v>
      </c>
    </row>
    <row r="255" spans="1:4" s="26" customFormat="1" x14ac:dyDescent="0.2">
      <c r="A255" s="783"/>
      <c r="B255" s="804" t="s">
        <v>1144</v>
      </c>
      <c r="C255" s="791" t="s">
        <v>819</v>
      </c>
      <c r="D255" s="792">
        <v>3622.5</v>
      </c>
    </row>
    <row r="256" spans="1:4" s="26" customFormat="1" x14ac:dyDescent="0.2">
      <c r="A256" s="783"/>
      <c r="B256" s="804" t="s">
        <v>1145</v>
      </c>
      <c r="C256" s="793" t="s">
        <v>1146</v>
      </c>
      <c r="D256" s="792">
        <v>1023.5</v>
      </c>
    </row>
    <row r="257" spans="1:4" s="26" customFormat="1" x14ac:dyDescent="0.2">
      <c r="A257" s="783"/>
      <c r="B257" s="804" t="s">
        <v>1147</v>
      </c>
      <c r="C257" s="793" t="s">
        <v>853</v>
      </c>
      <c r="D257" s="792">
        <v>3306.02</v>
      </c>
    </row>
    <row r="258" spans="1:4" s="26" customFormat="1" x14ac:dyDescent="0.2">
      <c r="A258" s="783"/>
      <c r="B258" s="804" t="s">
        <v>1148</v>
      </c>
      <c r="C258" s="791" t="s">
        <v>822</v>
      </c>
      <c r="D258" s="792">
        <v>9442.42</v>
      </c>
    </row>
    <row r="259" spans="1:4" s="26" customFormat="1" x14ac:dyDescent="0.2">
      <c r="A259" s="783"/>
      <c r="B259" s="804" t="s">
        <v>1149</v>
      </c>
      <c r="C259" s="791" t="s">
        <v>889</v>
      </c>
      <c r="D259" s="790">
        <v>1943.5</v>
      </c>
    </row>
    <row r="260" spans="1:4" s="26" customFormat="1" x14ac:dyDescent="0.2">
      <c r="A260" s="783"/>
      <c r="B260" s="804" t="s">
        <v>1150</v>
      </c>
      <c r="C260" s="797" t="s">
        <v>1151</v>
      </c>
      <c r="D260" s="792">
        <v>422</v>
      </c>
    </row>
    <row r="261" spans="1:4" s="26" customFormat="1" x14ac:dyDescent="0.2">
      <c r="A261" s="783"/>
      <c r="B261" s="804" t="s">
        <v>1152</v>
      </c>
      <c r="C261" s="797" t="s">
        <v>1153</v>
      </c>
      <c r="D261" s="790">
        <v>1144</v>
      </c>
    </row>
    <row r="262" spans="1:4" s="26" customFormat="1" x14ac:dyDescent="0.2">
      <c r="A262" s="783"/>
      <c r="B262" s="804" t="s">
        <v>1154</v>
      </c>
      <c r="C262" s="797" t="s">
        <v>1153</v>
      </c>
      <c r="D262" s="792">
        <v>1144</v>
      </c>
    </row>
    <row r="263" spans="1:4" s="26" customFormat="1" x14ac:dyDescent="0.2">
      <c r="A263" s="783"/>
      <c r="B263" s="804" t="s">
        <v>1155</v>
      </c>
      <c r="C263" s="797" t="s">
        <v>1153</v>
      </c>
      <c r="D263" s="792">
        <v>1144</v>
      </c>
    </row>
    <row r="264" spans="1:4" s="26" customFormat="1" x14ac:dyDescent="0.2">
      <c r="A264" s="783"/>
      <c r="B264" s="804" t="s">
        <v>1156</v>
      </c>
      <c r="C264" s="797" t="s">
        <v>1157</v>
      </c>
      <c r="D264" s="792">
        <v>10000</v>
      </c>
    </row>
    <row r="265" spans="1:4" s="26" customFormat="1" x14ac:dyDescent="0.2">
      <c r="A265" s="783"/>
      <c r="B265" s="804" t="s">
        <v>1158</v>
      </c>
      <c r="C265" s="797" t="s">
        <v>1159</v>
      </c>
      <c r="D265" s="790">
        <v>2499</v>
      </c>
    </row>
    <row r="266" spans="1:4" s="26" customFormat="1" x14ac:dyDescent="0.2">
      <c r="A266" s="783"/>
      <c r="B266" s="804" t="s">
        <v>1160</v>
      </c>
      <c r="C266" s="797" t="s">
        <v>1161</v>
      </c>
      <c r="D266" s="790">
        <v>6486</v>
      </c>
    </row>
    <row r="267" spans="1:4" s="26" customFormat="1" x14ac:dyDescent="0.2">
      <c r="A267" s="783"/>
      <c r="B267" s="804" t="s">
        <v>1162</v>
      </c>
      <c r="C267" s="797" t="s">
        <v>1161</v>
      </c>
      <c r="D267" s="790">
        <v>6486</v>
      </c>
    </row>
    <row r="268" spans="1:4" s="26" customFormat="1" x14ac:dyDescent="0.2">
      <c r="A268" s="783"/>
      <c r="B268" s="804" t="s">
        <v>1163</v>
      </c>
      <c r="C268" s="797" t="s">
        <v>1164</v>
      </c>
      <c r="D268" s="792">
        <v>2099</v>
      </c>
    </row>
    <row r="269" spans="1:4" s="26" customFormat="1" x14ac:dyDescent="0.2">
      <c r="A269" s="783"/>
      <c r="B269" s="804" t="s">
        <v>1165</v>
      </c>
      <c r="C269" s="795" t="s">
        <v>1166</v>
      </c>
      <c r="D269" s="792">
        <v>5000</v>
      </c>
    </row>
    <row r="270" spans="1:4" s="26" customFormat="1" x14ac:dyDescent="0.2">
      <c r="A270" s="783"/>
      <c r="B270" s="804" t="s">
        <v>1167</v>
      </c>
      <c r="C270" s="797" t="s">
        <v>1168</v>
      </c>
      <c r="D270" s="790">
        <v>2500</v>
      </c>
    </row>
    <row r="271" spans="1:4" s="26" customFormat="1" x14ac:dyDescent="0.2">
      <c r="A271" s="783"/>
      <c r="B271" s="804" t="s">
        <v>1169</v>
      </c>
      <c r="C271" s="797" t="s">
        <v>1168</v>
      </c>
      <c r="D271" s="790">
        <v>2500</v>
      </c>
    </row>
    <row r="272" spans="1:4" s="26" customFormat="1" x14ac:dyDescent="0.2">
      <c r="A272" s="783"/>
      <c r="B272" s="804" t="s">
        <v>1170</v>
      </c>
      <c r="C272" s="797" t="s">
        <v>1168</v>
      </c>
      <c r="D272" s="790">
        <v>2500</v>
      </c>
    </row>
    <row r="273" spans="1:4" s="26" customFormat="1" x14ac:dyDescent="0.2">
      <c r="A273" s="783"/>
      <c r="B273" s="804" t="s">
        <v>1171</v>
      </c>
      <c r="C273" s="797" t="s">
        <v>1168</v>
      </c>
      <c r="D273" s="790">
        <v>2500</v>
      </c>
    </row>
    <row r="274" spans="1:4" s="26" customFormat="1" x14ac:dyDescent="0.2">
      <c r="A274" s="783"/>
      <c r="B274" s="804" t="s">
        <v>1172</v>
      </c>
      <c r="C274" s="797" t="s">
        <v>1168</v>
      </c>
      <c r="D274" s="790">
        <v>2500</v>
      </c>
    </row>
    <row r="275" spans="1:4" s="26" customFormat="1" x14ac:dyDescent="0.2">
      <c r="A275" s="783"/>
      <c r="B275" s="804" t="s">
        <v>1173</v>
      </c>
      <c r="C275" s="797" t="s">
        <v>1168</v>
      </c>
      <c r="D275" s="790">
        <v>2500</v>
      </c>
    </row>
    <row r="276" spans="1:4" s="26" customFormat="1" x14ac:dyDescent="0.2">
      <c r="A276" s="783"/>
      <c r="B276" s="804" t="s">
        <v>1174</v>
      </c>
      <c r="C276" s="797" t="s">
        <v>1168</v>
      </c>
      <c r="D276" s="790">
        <v>2500</v>
      </c>
    </row>
    <row r="277" spans="1:4" s="26" customFormat="1" x14ac:dyDescent="0.2">
      <c r="A277" s="783"/>
      <c r="B277" s="804" t="s">
        <v>1175</v>
      </c>
      <c r="C277" s="797" t="s">
        <v>1168</v>
      </c>
      <c r="D277" s="790">
        <v>2500</v>
      </c>
    </row>
    <row r="278" spans="1:4" s="26" customFormat="1" x14ac:dyDescent="0.2">
      <c r="A278" s="783"/>
      <c r="B278" s="804" t="s">
        <v>1176</v>
      </c>
      <c r="C278" s="797" t="s">
        <v>1168</v>
      </c>
      <c r="D278" s="790">
        <v>2500</v>
      </c>
    </row>
    <row r="279" spans="1:4" s="26" customFormat="1" x14ac:dyDescent="0.2">
      <c r="A279" s="783"/>
      <c r="B279" s="804" t="s">
        <v>1177</v>
      </c>
      <c r="C279" s="797" t="s">
        <v>1168</v>
      </c>
      <c r="D279" s="790">
        <v>2500</v>
      </c>
    </row>
    <row r="280" spans="1:4" s="26" customFormat="1" x14ac:dyDescent="0.2">
      <c r="A280" s="783"/>
      <c r="B280" s="804" t="s">
        <v>1178</v>
      </c>
      <c r="C280" s="797" t="s">
        <v>1168</v>
      </c>
      <c r="D280" s="790">
        <v>2500</v>
      </c>
    </row>
    <row r="281" spans="1:4" s="26" customFormat="1" x14ac:dyDescent="0.2">
      <c r="A281" s="783"/>
      <c r="B281" s="804" t="s">
        <v>1179</v>
      </c>
      <c r="C281" s="797" t="s">
        <v>1168</v>
      </c>
      <c r="D281" s="790">
        <v>2500</v>
      </c>
    </row>
    <row r="282" spans="1:4" s="26" customFormat="1" x14ac:dyDescent="0.2">
      <c r="A282" s="783"/>
      <c r="B282" s="804" t="s">
        <v>1180</v>
      </c>
      <c r="C282" s="797" t="s">
        <v>1168</v>
      </c>
      <c r="D282" s="790">
        <v>2500</v>
      </c>
    </row>
    <row r="283" spans="1:4" s="26" customFormat="1" x14ac:dyDescent="0.2">
      <c r="A283" s="783"/>
      <c r="B283" s="804" t="s">
        <v>1181</v>
      </c>
      <c r="C283" s="797" t="s">
        <v>1168</v>
      </c>
      <c r="D283" s="790">
        <v>2500</v>
      </c>
    </row>
    <row r="284" spans="1:4" s="26" customFormat="1" x14ac:dyDescent="0.2">
      <c r="A284" s="783"/>
      <c r="B284" s="804" t="s">
        <v>1182</v>
      </c>
      <c r="C284" s="797" t="s">
        <v>1168</v>
      </c>
      <c r="D284" s="790">
        <v>2500</v>
      </c>
    </row>
    <row r="285" spans="1:4" s="26" customFormat="1" x14ac:dyDescent="0.2">
      <c r="A285" s="783"/>
      <c r="B285" s="804" t="s">
        <v>1183</v>
      </c>
      <c r="C285" s="797" t="s">
        <v>1168</v>
      </c>
      <c r="D285" s="790">
        <v>2500</v>
      </c>
    </row>
    <row r="286" spans="1:4" s="26" customFormat="1" x14ac:dyDescent="0.2">
      <c r="A286" s="783"/>
      <c r="B286" s="804" t="s">
        <v>1184</v>
      </c>
      <c r="C286" s="797" t="s">
        <v>1168</v>
      </c>
      <c r="D286" s="790">
        <v>2500</v>
      </c>
    </row>
    <row r="287" spans="1:4" s="26" customFormat="1" x14ac:dyDescent="0.2">
      <c r="A287" s="783"/>
      <c r="B287" s="804" t="s">
        <v>1185</v>
      </c>
      <c r="C287" s="797" t="s">
        <v>1186</v>
      </c>
      <c r="D287" s="790">
        <v>3000</v>
      </c>
    </row>
    <row r="288" spans="1:4" s="26" customFormat="1" x14ac:dyDescent="0.2">
      <c r="A288" s="783"/>
      <c r="B288" s="804" t="s">
        <v>1187</v>
      </c>
      <c r="C288" s="797" t="s">
        <v>1188</v>
      </c>
      <c r="D288" s="790">
        <v>1485</v>
      </c>
    </row>
    <row r="289" spans="1:4" s="26" customFormat="1" x14ac:dyDescent="0.2">
      <c r="A289" s="783"/>
      <c r="B289" s="804" t="s">
        <v>1189</v>
      </c>
      <c r="C289" s="797" t="s">
        <v>1188</v>
      </c>
      <c r="D289" s="790">
        <v>1485</v>
      </c>
    </row>
    <row r="290" spans="1:4" s="26" customFormat="1" x14ac:dyDescent="0.2">
      <c r="A290" s="783"/>
      <c r="B290" s="804" t="s">
        <v>1190</v>
      </c>
      <c r="C290" s="797" t="s">
        <v>1191</v>
      </c>
      <c r="D290" s="790">
        <v>92000</v>
      </c>
    </row>
    <row r="291" spans="1:4" s="26" customFormat="1" x14ac:dyDescent="0.2">
      <c r="A291" s="783"/>
      <c r="B291" s="804" t="s">
        <v>1192</v>
      </c>
      <c r="C291" s="797" t="s">
        <v>1193</v>
      </c>
      <c r="D291" s="790">
        <v>611.6</v>
      </c>
    </row>
    <row r="292" spans="1:4" s="26" customFormat="1" x14ac:dyDescent="0.2">
      <c r="A292" s="783"/>
      <c r="B292" s="804" t="s">
        <v>1194</v>
      </c>
      <c r="C292" s="795" t="s">
        <v>1195</v>
      </c>
      <c r="D292" s="790">
        <v>12984</v>
      </c>
    </row>
    <row r="293" spans="1:4" s="26" customFormat="1" x14ac:dyDescent="0.2">
      <c r="A293" s="783"/>
      <c r="B293" s="804" t="s">
        <v>1196</v>
      </c>
      <c r="C293" s="795" t="s">
        <v>1197</v>
      </c>
      <c r="D293" s="790">
        <v>19320.5</v>
      </c>
    </row>
    <row r="294" spans="1:4" s="26" customFormat="1" x14ac:dyDescent="0.2">
      <c r="A294" s="783"/>
      <c r="B294" s="804" t="s">
        <v>1198</v>
      </c>
      <c r="C294" s="795" t="s">
        <v>1199</v>
      </c>
      <c r="D294" s="790">
        <v>16194.9912</v>
      </c>
    </row>
    <row r="295" spans="1:4" s="26" customFormat="1" x14ac:dyDescent="0.2">
      <c r="A295" s="783"/>
      <c r="B295" s="804" t="s">
        <v>1200</v>
      </c>
      <c r="C295" s="797" t="s">
        <v>1201</v>
      </c>
      <c r="D295" s="790">
        <v>3299.99</v>
      </c>
    </row>
    <row r="296" spans="1:4" s="26" customFormat="1" x14ac:dyDescent="0.2">
      <c r="A296" s="783"/>
      <c r="B296" s="804" t="s">
        <v>1202</v>
      </c>
      <c r="C296" s="791" t="s">
        <v>822</v>
      </c>
      <c r="D296" s="794">
        <v>16673.5</v>
      </c>
    </row>
    <row r="297" spans="1:4" s="26" customFormat="1" x14ac:dyDescent="0.2">
      <c r="A297" s="783"/>
      <c r="B297" s="804" t="s">
        <v>1203</v>
      </c>
      <c r="C297" s="795" t="s">
        <v>1204</v>
      </c>
      <c r="D297" s="792">
        <v>10177</v>
      </c>
    </row>
    <row r="298" spans="1:4" s="26" customFormat="1" x14ac:dyDescent="0.2">
      <c r="A298" s="783"/>
      <c r="B298" s="804" t="s">
        <v>1205</v>
      </c>
      <c r="C298" s="795" t="s">
        <v>1206</v>
      </c>
      <c r="D298" s="792">
        <v>2098.4899999999998</v>
      </c>
    </row>
    <row r="299" spans="1:4" s="26" customFormat="1" x14ac:dyDescent="0.2">
      <c r="A299" s="783"/>
      <c r="B299" s="804" t="s">
        <v>1207</v>
      </c>
      <c r="C299" s="795" t="s">
        <v>1208</v>
      </c>
      <c r="D299" s="792">
        <v>1943.5</v>
      </c>
    </row>
    <row r="300" spans="1:4" s="26" customFormat="1" x14ac:dyDescent="0.2">
      <c r="A300" s="783"/>
      <c r="B300" s="804" t="s">
        <v>1209</v>
      </c>
      <c r="C300" s="791" t="s">
        <v>1210</v>
      </c>
      <c r="D300" s="790">
        <v>14892.5</v>
      </c>
    </row>
    <row r="301" spans="1:4" s="26" customFormat="1" x14ac:dyDescent="0.2">
      <c r="A301" s="783"/>
      <c r="B301" s="804" t="s">
        <v>1211</v>
      </c>
      <c r="C301" s="791" t="s">
        <v>1212</v>
      </c>
      <c r="D301" s="790">
        <v>2424.4</v>
      </c>
    </row>
    <row r="302" spans="1:4" s="26" customFormat="1" x14ac:dyDescent="0.2">
      <c r="A302" s="783"/>
      <c r="B302" s="804" t="s">
        <v>1213</v>
      </c>
      <c r="C302" s="791" t="s">
        <v>1210</v>
      </c>
      <c r="D302" s="790">
        <v>14892.5</v>
      </c>
    </row>
    <row r="303" spans="1:4" s="26" customFormat="1" x14ac:dyDescent="0.2">
      <c r="A303" s="783"/>
      <c r="B303" s="804" t="s">
        <v>1214</v>
      </c>
      <c r="C303" s="791" t="s">
        <v>967</v>
      </c>
      <c r="D303" s="790">
        <v>2185</v>
      </c>
    </row>
    <row r="304" spans="1:4" s="26" customFormat="1" x14ac:dyDescent="0.2">
      <c r="A304" s="783"/>
      <c r="B304" s="804" t="s">
        <v>1215</v>
      </c>
      <c r="C304" s="791" t="s">
        <v>822</v>
      </c>
      <c r="D304" s="790">
        <v>7888</v>
      </c>
    </row>
    <row r="305" spans="1:4" s="26" customFormat="1" x14ac:dyDescent="0.2">
      <c r="A305" s="783"/>
      <c r="B305" s="804" t="s">
        <v>1216</v>
      </c>
      <c r="C305" s="791" t="s">
        <v>883</v>
      </c>
      <c r="D305" s="790">
        <v>2863.5</v>
      </c>
    </row>
    <row r="306" spans="1:4" s="26" customFormat="1" x14ac:dyDescent="0.2">
      <c r="A306" s="783"/>
      <c r="B306" s="804" t="s">
        <v>1217</v>
      </c>
      <c r="C306" s="791" t="s">
        <v>944</v>
      </c>
      <c r="D306" s="790">
        <v>2530</v>
      </c>
    </row>
    <row r="307" spans="1:4" s="26" customFormat="1" x14ac:dyDescent="0.2">
      <c r="A307" s="783"/>
      <c r="B307" s="804" t="s">
        <v>1218</v>
      </c>
      <c r="C307" s="797" t="s">
        <v>1219</v>
      </c>
      <c r="D307" s="792">
        <v>9220.26</v>
      </c>
    </row>
    <row r="308" spans="1:4" s="26" customFormat="1" x14ac:dyDescent="0.2">
      <c r="A308" s="783"/>
      <c r="B308" s="804" t="s">
        <v>1220</v>
      </c>
      <c r="C308" s="797" t="s">
        <v>1221</v>
      </c>
      <c r="D308" s="790">
        <v>13027.83</v>
      </c>
    </row>
    <row r="309" spans="1:4" s="26" customFormat="1" x14ac:dyDescent="0.2">
      <c r="A309" s="783"/>
      <c r="B309" s="804" t="s">
        <v>1222</v>
      </c>
      <c r="C309" s="791" t="s">
        <v>1223</v>
      </c>
      <c r="D309" s="790">
        <v>9610.76</v>
      </c>
    </row>
    <row r="310" spans="1:4" s="26" customFormat="1" x14ac:dyDescent="0.2">
      <c r="A310" s="783"/>
      <c r="B310" s="804" t="s">
        <v>1224</v>
      </c>
      <c r="C310" s="793" t="s">
        <v>911</v>
      </c>
      <c r="D310" s="790">
        <v>2146</v>
      </c>
    </row>
    <row r="311" spans="1:4" s="26" customFormat="1" x14ac:dyDescent="0.2">
      <c r="A311" s="783"/>
      <c r="B311" s="804" t="s">
        <v>1225</v>
      </c>
      <c r="C311" s="791" t="s">
        <v>1226</v>
      </c>
      <c r="D311" s="790">
        <v>770.5</v>
      </c>
    </row>
    <row r="312" spans="1:4" s="26" customFormat="1" x14ac:dyDescent="0.2">
      <c r="A312" s="783"/>
      <c r="B312" s="804" t="s">
        <v>1227</v>
      </c>
      <c r="C312" s="791" t="s">
        <v>1226</v>
      </c>
      <c r="D312" s="790">
        <v>770.5</v>
      </c>
    </row>
    <row r="313" spans="1:4" s="26" customFormat="1" x14ac:dyDescent="0.2">
      <c r="A313" s="783"/>
      <c r="B313" s="804" t="s">
        <v>1228</v>
      </c>
      <c r="C313" s="791" t="s">
        <v>1229</v>
      </c>
      <c r="D313" s="790">
        <v>3783.5</v>
      </c>
    </row>
    <row r="314" spans="1:4" s="26" customFormat="1" x14ac:dyDescent="0.2">
      <c r="A314" s="783"/>
      <c r="B314" s="804" t="s">
        <v>1230</v>
      </c>
      <c r="C314" s="791" t="s">
        <v>1231</v>
      </c>
      <c r="D314" s="790">
        <v>20462.400000000001</v>
      </c>
    </row>
    <row r="315" spans="1:4" s="26" customFormat="1" x14ac:dyDescent="0.2">
      <c r="A315" s="783"/>
      <c r="B315" s="804" t="s">
        <v>1232</v>
      </c>
      <c r="C315" s="791" t="s">
        <v>1233</v>
      </c>
      <c r="D315" s="790">
        <v>6581.8051999999998</v>
      </c>
    </row>
    <row r="316" spans="1:4" s="26" customFormat="1" x14ac:dyDescent="0.2">
      <c r="A316" s="783"/>
      <c r="B316" s="804" t="s">
        <v>1234</v>
      </c>
      <c r="C316" s="791" t="s">
        <v>1117</v>
      </c>
      <c r="D316" s="792">
        <v>3507.5</v>
      </c>
    </row>
    <row r="317" spans="1:4" s="26" customFormat="1" x14ac:dyDescent="0.2">
      <c r="A317" s="783"/>
      <c r="B317" s="804" t="s">
        <v>1235</v>
      </c>
      <c r="C317" s="791" t="s">
        <v>1023</v>
      </c>
      <c r="D317" s="792">
        <v>1455.9970000000001</v>
      </c>
    </row>
    <row r="318" spans="1:4" s="26" customFormat="1" x14ac:dyDescent="0.2">
      <c r="A318" s="783"/>
      <c r="B318" s="804" t="s">
        <v>1236</v>
      </c>
      <c r="C318" s="791" t="s">
        <v>907</v>
      </c>
      <c r="D318" s="790">
        <v>3680</v>
      </c>
    </row>
    <row r="319" spans="1:4" s="26" customFormat="1" x14ac:dyDescent="0.2">
      <c r="A319" s="783"/>
      <c r="B319" s="804" t="s">
        <v>1237</v>
      </c>
      <c r="C319" s="791" t="s">
        <v>1146</v>
      </c>
      <c r="D319" s="792">
        <v>1455.9970000000001</v>
      </c>
    </row>
    <row r="320" spans="1:4" s="26" customFormat="1" x14ac:dyDescent="0.2">
      <c r="A320" s="783"/>
      <c r="B320" s="804" t="s">
        <v>1238</v>
      </c>
      <c r="C320" s="791" t="s">
        <v>949</v>
      </c>
      <c r="D320" s="802">
        <v>1604.25</v>
      </c>
    </row>
    <row r="321" spans="1:4" s="26" customFormat="1" x14ac:dyDescent="0.2">
      <c r="A321" s="783"/>
      <c r="B321" s="804" t="s">
        <v>1239</v>
      </c>
      <c r="C321" s="791" t="s">
        <v>980</v>
      </c>
      <c r="D321" s="800">
        <v>5295.75</v>
      </c>
    </row>
    <row r="322" spans="1:4" s="26" customFormat="1" x14ac:dyDescent="0.2">
      <c r="A322" s="783"/>
      <c r="B322" s="804" t="s">
        <v>1240</v>
      </c>
      <c r="C322" s="797" t="s">
        <v>955</v>
      </c>
      <c r="D322" s="790">
        <v>4370</v>
      </c>
    </row>
    <row r="323" spans="1:4" s="26" customFormat="1" x14ac:dyDescent="0.2">
      <c r="A323" s="783"/>
      <c r="B323" s="804" t="s">
        <v>1241</v>
      </c>
      <c r="C323" s="797" t="s">
        <v>955</v>
      </c>
      <c r="D323" s="790">
        <v>4370</v>
      </c>
    </row>
    <row r="324" spans="1:4" s="26" customFormat="1" x14ac:dyDescent="0.2">
      <c r="A324" s="783"/>
      <c r="B324" s="804" t="s">
        <v>1242</v>
      </c>
      <c r="C324" s="797" t="s">
        <v>861</v>
      </c>
      <c r="D324" s="790">
        <v>1138.5</v>
      </c>
    </row>
    <row r="325" spans="1:4" s="26" customFormat="1" x14ac:dyDescent="0.2">
      <c r="A325" s="783"/>
      <c r="B325" s="804" t="s">
        <v>1243</v>
      </c>
      <c r="C325" s="791" t="s">
        <v>819</v>
      </c>
      <c r="D325" s="792">
        <v>3622.5</v>
      </c>
    </row>
    <row r="326" spans="1:4" s="26" customFormat="1" x14ac:dyDescent="0.2">
      <c r="A326" s="783"/>
      <c r="B326" s="804" t="s">
        <v>1244</v>
      </c>
      <c r="C326" s="797" t="s">
        <v>1245</v>
      </c>
      <c r="D326" s="792">
        <v>2875</v>
      </c>
    </row>
    <row r="327" spans="1:4" s="26" customFormat="1" x14ac:dyDescent="0.2">
      <c r="A327" s="783"/>
      <c r="B327" s="804" t="s">
        <v>1246</v>
      </c>
      <c r="C327" s="797" t="s">
        <v>1247</v>
      </c>
      <c r="D327" s="792">
        <v>517.5</v>
      </c>
    </row>
    <row r="328" spans="1:4" s="26" customFormat="1" x14ac:dyDescent="0.2">
      <c r="A328" s="783"/>
      <c r="B328" s="804" t="s">
        <v>1248</v>
      </c>
      <c r="C328" s="797" t="s">
        <v>1247</v>
      </c>
      <c r="D328" s="792">
        <v>517.5</v>
      </c>
    </row>
    <row r="329" spans="1:4" s="26" customFormat="1" x14ac:dyDescent="0.2">
      <c r="A329" s="783"/>
      <c r="B329" s="804" t="s">
        <v>1249</v>
      </c>
      <c r="C329" s="797" t="s">
        <v>1250</v>
      </c>
      <c r="D329" s="792">
        <v>14998.8</v>
      </c>
    </row>
    <row r="330" spans="1:4" s="26" customFormat="1" x14ac:dyDescent="0.2">
      <c r="A330" s="783"/>
      <c r="B330" s="804" t="s">
        <v>1251</v>
      </c>
      <c r="C330" s="793" t="s">
        <v>1252</v>
      </c>
      <c r="D330" s="792">
        <v>2146</v>
      </c>
    </row>
    <row r="331" spans="1:4" s="26" customFormat="1" x14ac:dyDescent="0.2">
      <c r="A331" s="783"/>
      <c r="B331" s="804" t="s">
        <v>1253</v>
      </c>
      <c r="C331" s="797" t="s">
        <v>1117</v>
      </c>
      <c r="D331" s="792">
        <v>3323.5</v>
      </c>
    </row>
    <row r="332" spans="1:4" s="26" customFormat="1" x14ac:dyDescent="0.2">
      <c r="A332" s="783"/>
      <c r="B332" s="811" t="s">
        <v>1254</v>
      </c>
      <c r="C332" s="812" t="s">
        <v>1255</v>
      </c>
      <c r="D332" s="807">
        <v>11832</v>
      </c>
    </row>
    <row r="333" spans="1:4" s="26" customFormat="1" x14ac:dyDescent="0.2">
      <c r="A333" s="783"/>
      <c r="B333" s="804" t="s">
        <v>1256</v>
      </c>
      <c r="C333" s="813" t="s">
        <v>1257</v>
      </c>
      <c r="D333" s="814">
        <v>3700.4</v>
      </c>
    </row>
    <row r="334" spans="1:4" s="26" customFormat="1" x14ac:dyDescent="0.2">
      <c r="A334" s="783"/>
      <c r="B334" s="804" t="s">
        <v>1258</v>
      </c>
      <c r="C334" s="813" t="s">
        <v>1259</v>
      </c>
      <c r="D334" s="814">
        <v>2088</v>
      </c>
    </row>
    <row r="335" spans="1:4" s="26" customFormat="1" x14ac:dyDescent="0.2">
      <c r="A335" s="783"/>
      <c r="B335" s="804" t="s">
        <v>1260</v>
      </c>
      <c r="C335" s="813" t="s">
        <v>1261</v>
      </c>
      <c r="D335" s="814">
        <v>4280.3999999999996</v>
      </c>
    </row>
    <row r="336" spans="1:4" s="26" customFormat="1" x14ac:dyDescent="0.2">
      <c r="A336" s="783"/>
      <c r="B336" s="804" t="s">
        <v>1262</v>
      </c>
      <c r="C336" s="813" t="s">
        <v>1263</v>
      </c>
      <c r="D336" s="814">
        <v>3364</v>
      </c>
    </row>
    <row r="337" spans="1:4" s="26" customFormat="1" x14ac:dyDescent="0.2">
      <c r="A337" s="783"/>
      <c r="B337" s="804" t="s">
        <v>1264</v>
      </c>
      <c r="C337" s="813" t="s">
        <v>1263</v>
      </c>
      <c r="D337" s="814">
        <v>3364</v>
      </c>
    </row>
    <row r="338" spans="1:4" s="26" customFormat="1" x14ac:dyDescent="0.2">
      <c r="A338" s="783"/>
      <c r="B338" s="804" t="s">
        <v>1265</v>
      </c>
      <c r="C338" s="813" t="s">
        <v>995</v>
      </c>
      <c r="D338" s="807">
        <v>563.5</v>
      </c>
    </row>
    <row r="339" spans="1:4" s="26" customFormat="1" x14ac:dyDescent="0.2">
      <c r="A339" s="783"/>
      <c r="B339" s="804" t="s">
        <v>1266</v>
      </c>
      <c r="C339" s="813" t="s">
        <v>995</v>
      </c>
      <c r="D339" s="807">
        <v>563.5</v>
      </c>
    </row>
    <row r="340" spans="1:4" s="26" customFormat="1" x14ac:dyDescent="0.2">
      <c r="A340" s="783"/>
      <c r="B340" s="804" t="s">
        <v>1267</v>
      </c>
      <c r="C340" s="813" t="s">
        <v>995</v>
      </c>
      <c r="D340" s="807">
        <v>563.5</v>
      </c>
    </row>
    <row r="341" spans="1:4" s="26" customFormat="1" x14ac:dyDescent="0.2">
      <c r="A341" s="783"/>
      <c r="B341" s="804" t="s">
        <v>1268</v>
      </c>
      <c r="C341" s="813" t="s">
        <v>995</v>
      </c>
      <c r="D341" s="807">
        <v>563.5</v>
      </c>
    </row>
    <row r="342" spans="1:4" s="26" customFormat="1" x14ac:dyDescent="0.2">
      <c r="A342" s="783"/>
      <c r="B342" s="804" t="s">
        <v>1269</v>
      </c>
      <c r="C342" s="813" t="s">
        <v>1270</v>
      </c>
      <c r="D342" s="814">
        <v>5925</v>
      </c>
    </row>
    <row r="343" spans="1:4" s="26" customFormat="1" x14ac:dyDescent="0.2">
      <c r="A343" s="783"/>
      <c r="B343" s="804" t="s">
        <v>1271</v>
      </c>
      <c r="C343" s="813" t="s">
        <v>1272</v>
      </c>
      <c r="D343" s="814">
        <v>11387.81</v>
      </c>
    </row>
    <row r="344" spans="1:4" s="26" customFormat="1" x14ac:dyDescent="0.2">
      <c r="A344" s="783"/>
      <c r="B344" s="804" t="s">
        <v>1273</v>
      </c>
      <c r="C344" s="813" t="s">
        <v>1274</v>
      </c>
      <c r="D344" s="814">
        <v>2461.06</v>
      </c>
    </row>
    <row r="345" spans="1:4" s="26" customFormat="1" x14ac:dyDescent="0.2">
      <c r="A345" s="783"/>
      <c r="B345" s="804" t="s">
        <v>1275</v>
      </c>
      <c r="C345" s="813" t="s">
        <v>1276</v>
      </c>
      <c r="D345" s="814">
        <v>4628.3999999999996</v>
      </c>
    </row>
    <row r="346" spans="1:4" s="26" customFormat="1" x14ac:dyDescent="0.2">
      <c r="A346" s="783"/>
      <c r="B346" s="804" t="s">
        <v>1277</v>
      </c>
      <c r="C346" s="813" t="s">
        <v>1278</v>
      </c>
      <c r="D346" s="814">
        <v>32224.799999999999</v>
      </c>
    </row>
    <row r="347" spans="1:4" s="26" customFormat="1" x14ac:dyDescent="0.2">
      <c r="A347" s="783"/>
      <c r="B347" s="804" t="s">
        <v>1279</v>
      </c>
      <c r="C347" s="813" t="s">
        <v>1280</v>
      </c>
      <c r="D347" s="814">
        <v>11833.5195999999</v>
      </c>
    </row>
    <row r="348" spans="1:4" s="26" customFormat="1" x14ac:dyDescent="0.2">
      <c r="A348" s="783"/>
      <c r="B348" s="804" t="s">
        <v>1281</v>
      </c>
      <c r="C348" s="813" t="s">
        <v>1282</v>
      </c>
      <c r="D348" s="814">
        <v>11832</v>
      </c>
    </row>
    <row r="349" spans="1:4" s="26" customFormat="1" x14ac:dyDescent="0.2">
      <c r="A349" s="783"/>
      <c r="B349" s="804" t="s">
        <v>1283</v>
      </c>
      <c r="C349" s="813" t="s">
        <v>1284</v>
      </c>
      <c r="D349" s="814">
        <v>4698</v>
      </c>
    </row>
    <row r="350" spans="1:4" s="26" customFormat="1" x14ac:dyDescent="0.2">
      <c r="A350" s="783"/>
      <c r="B350" s="804" t="s">
        <v>1285</v>
      </c>
      <c r="C350" s="813" t="s">
        <v>1261</v>
      </c>
      <c r="D350" s="814">
        <v>4280.3999999999996</v>
      </c>
    </row>
    <row r="351" spans="1:4" s="26" customFormat="1" x14ac:dyDescent="0.2">
      <c r="A351" s="783"/>
      <c r="B351" s="804" t="s">
        <v>1286</v>
      </c>
      <c r="C351" s="813" t="s">
        <v>1263</v>
      </c>
      <c r="D351" s="814">
        <v>3364</v>
      </c>
    </row>
    <row r="352" spans="1:4" s="26" customFormat="1" x14ac:dyDescent="0.2">
      <c r="A352" s="783"/>
      <c r="B352" s="804" t="s">
        <v>1287</v>
      </c>
      <c r="C352" s="813" t="s">
        <v>1263</v>
      </c>
      <c r="D352" s="814">
        <v>3364</v>
      </c>
    </row>
    <row r="353" spans="1:4" s="26" customFormat="1" x14ac:dyDescent="0.2">
      <c r="A353" s="783"/>
      <c r="B353" s="804" t="s">
        <v>1288</v>
      </c>
      <c r="C353" s="813" t="s">
        <v>1289</v>
      </c>
      <c r="D353" s="815">
        <v>9600</v>
      </c>
    </row>
    <row r="354" spans="1:4" s="26" customFormat="1" x14ac:dyDescent="0.2">
      <c r="A354" s="783"/>
      <c r="B354" s="804" t="s">
        <v>1290</v>
      </c>
      <c r="C354" s="813" t="s">
        <v>1291</v>
      </c>
      <c r="D354" s="814">
        <v>3323.4</v>
      </c>
    </row>
    <row r="355" spans="1:4" s="26" customFormat="1" x14ac:dyDescent="0.2">
      <c r="A355" s="783"/>
      <c r="B355" s="804" t="s">
        <v>1292</v>
      </c>
      <c r="C355" s="813" t="s">
        <v>1293</v>
      </c>
      <c r="D355" s="814">
        <v>9998.9912000000004</v>
      </c>
    </row>
    <row r="356" spans="1:4" s="26" customFormat="1" ht="22.5" x14ac:dyDescent="0.2">
      <c r="A356" s="783"/>
      <c r="B356" s="804" t="s">
        <v>1294</v>
      </c>
      <c r="C356" s="816" t="s">
        <v>1295</v>
      </c>
      <c r="D356" s="807">
        <v>4976.3999999999996</v>
      </c>
    </row>
    <row r="357" spans="1:4" s="26" customFormat="1" x14ac:dyDescent="0.2">
      <c r="A357" s="783"/>
      <c r="B357" s="804" t="s">
        <v>1296</v>
      </c>
      <c r="C357" s="812" t="s">
        <v>781</v>
      </c>
      <c r="D357" s="807">
        <v>1264.4000000000001</v>
      </c>
    </row>
    <row r="358" spans="1:4" s="26" customFormat="1" x14ac:dyDescent="0.2">
      <c r="A358" s="783"/>
      <c r="B358" s="804" t="s">
        <v>1297</v>
      </c>
      <c r="C358" s="813" t="s">
        <v>1298</v>
      </c>
      <c r="D358" s="807">
        <v>8522.3459999999995</v>
      </c>
    </row>
    <row r="359" spans="1:4" s="26" customFormat="1" ht="22.5" x14ac:dyDescent="0.2">
      <c r="A359" s="783"/>
      <c r="B359" s="804" t="s">
        <v>1299</v>
      </c>
      <c r="C359" s="816" t="s">
        <v>1295</v>
      </c>
      <c r="D359" s="807">
        <v>4976.3999999999996</v>
      </c>
    </row>
    <row r="360" spans="1:4" s="26" customFormat="1" x14ac:dyDescent="0.2">
      <c r="A360" s="783"/>
      <c r="B360" s="804" t="s">
        <v>1300</v>
      </c>
      <c r="C360" s="813" t="s">
        <v>1301</v>
      </c>
      <c r="D360" s="807">
        <v>1264.4000000000001</v>
      </c>
    </row>
    <row r="361" spans="1:4" s="26" customFormat="1" x14ac:dyDescent="0.2">
      <c r="A361" s="783"/>
      <c r="B361" s="804" t="s">
        <v>1302</v>
      </c>
      <c r="C361" s="813" t="s">
        <v>1298</v>
      </c>
      <c r="D361" s="814">
        <v>8522.3459999999995</v>
      </c>
    </row>
    <row r="362" spans="1:4" s="26" customFormat="1" ht="22.5" x14ac:dyDescent="0.2">
      <c r="A362" s="783"/>
      <c r="B362" s="804" t="s">
        <v>1303</v>
      </c>
      <c r="C362" s="816" t="s">
        <v>1295</v>
      </c>
      <c r="D362" s="807">
        <v>4976.3999999999996</v>
      </c>
    </row>
    <row r="363" spans="1:4" s="26" customFormat="1" x14ac:dyDescent="0.2">
      <c r="A363" s="783"/>
      <c r="B363" s="804" t="s">
        <v>1304</v>
      </c>
      <c r="C363" s="817" t="s">
        <v>1301</v>
      </c>
      <c r="D363" s="807">
        <v>1264.4000000000001</v>
      </c>
    </row>
    <row r="364" spans="1:4" s="26" customFormat="1" x14ac:dyDescent="0.2">
      <c r="A364" s="783"/>
      <c r="B364" s="804" t="s">
        <v>1305</v>
      </c>
      <c r="C364" s="813" t="s">
        <v>1298</v>
      </c>
      <c r="D364" s="814">
        <v>8522.3459999999995</v>
      </c>
    </row>
    <row r="365" spans="1:4" s="26" customFormat="1" x14ac:dyDescent="0.2">
      <c r="A365" s="783"/>
      <c r="B365" s="804" t="s">
        <v>1306</v>
      </c>
      <c r="C365" s="817" t="s">
        <v>1307</v>
      </c>
      <c r="D365" s="814">
        <v>14860</v>
      </c>
    </row>
    <row r="366" spans="1:4" s="26" customFormat="1" x14ac:dyDescent="0.2">
      <c r="A366" s="783"/>
      <c r="B366" s="804" t="s">
        <v>1308</v>
      </c>
      <c r="C366" s="791" t="s">
        <v>1309</v>
      </c>
      <c r="D366" s="790">
        <v>10079.878000000001</v>
      </c>
    </row>
    <row r="367" spans="1:4" s="26" customFormat="1" x14ac:dyDescent="0.2">
      <c r="A367" s="783"/>
      <c r="B367" s="804" t="s">
        <v>1310</v>
      </c>
      <c r="C367" s="812" t="s">
        <v>1263</v>
      </c>
      <c r="D367" s="814">
        <v>3364</v>
      </c>
    </row>
    <row r="368" spans="1:4" s="26" customFormat="1" x14ac:dyDescent="0.2">
      <c r="A368" s="783"/>
      <c r="B368" s="804" t="s">
        <v>1311</v>
      </c>
      <c r="C368" s="812" t="s">
        <v>1263</v>
      </c>
      <c r="D368" s="814">
        <v>3364</v>
      </c>
    </row>
    <row r="369" spans="1:4" s="26" customFormat="1" ht="22.5" x14ac:dyDescent="0.2">
      <c r="A369" s="783"/>
      <c r="B369" s="804" t="s">
        <v>1312</v>
      </c>
      <c r="C369" s="816" t="s">
        <v>1295</v>
      </c>
      <c r="D369" s="807">
        <v>4976.3999999999996</v>
      </c>
    </row>
    <row r="370" spans="1:4" s="26" customFormat="1" x14ac:dyDescent="0.2">
      <c r="A370" s="783"/>
      <c r="B370" s="804" t="s">
        <v>1313</v>
      </c>
      <c r="C370" s="812" t="s">
        <v>1314</v>
      </c>
      <c r="D370" s="807">
        <v>4280.3999999999996</v>
      </c>
    </row>
    <row r="371" spans="1:4" s="26" customFormat="1" x14ac:dyDescent="0.2">
      <c r="A371" s="783"/>
      <c r="B371" s="804" t="s">
        <v>1315</v>
      </c>
      <c r="C371" s="812" t="s">
        <v>1263</v>
      </c>
      <c r="D371" s="814">
        <v>3364</v>
      </c>
    </row>
    <row r="372" spans="1:4" s="26" customFormat="1" x14ac:dyDescent="0.2">
      <c r="A372" s="783"/>
      <c r="B372" s="804" t="s">
        <v>1316</v>
      </c>
      <c r="C372" s="812" t="s">
        <v>1263</v>
      </c>
      <c r="D372" s="814">
        <v>3364</v>
      </c>
    </row>
    <row r="373" spans="1:4" s="26" customFormat="1" x14ac:dyDescent="0.2">
      <c r="A373" s="783"/>
      <c r="B373" s="804" t="s">
        <v>1317</v>
      </c>
      <c r="C373" s="812" t="s">
        <v>1318</v>
      </c>
      <c r="D373" s="807">
        <v>6973.92</v>
      </c>
    </row>
    <row r="374" spans="1:4" s="26" customFormat="1" x14ac:dyDescent="0.2">
      <c r="A374" s="783"/>
      <c r="B374" s="804" t="s">
        <v>1319</v>
      </c>
      <c r="C374" s="812" t="s">
        <v>1320</v>
      </c>
      <c r="D374" s="807">
        <v>2249.4699999999998</v>
      </c>
    </row>
    <row r="375" spans="1:4" s="26" customFormat="1" x14ac:dyDescent="0.2">
      <c r="A375" s="783"/>
      <c r="B375" s="811" t="s">
        <v>1321</v>
      </c>
      <c r="C375" s="812" t="s">
        <v>1322</v>
      </c>
      <c r="D375" s="807">
        <v>4013.5</v>
      </c>
    </row>
    <row r="376" spans="1:4" s="26" customFormat="1" x14ac:dyDescent="0.2">
      <c r="A376" s="783"/>
      <c r="B376" s="811" t="s">
        <v>1323</v>
      </c>
      <c r="C376" s="816" t="s">
        <v>1324</v>
      </c>
      <c r="D376" s="807">
        <v>6670</v>
      </c>
    </row>
    <row r="377" spans="1:4" s="26" customFormat="1" x14ac:dyDescent="0.2">
      <c r="A377" s="783"/>
      <c r="B377" s="811" t="s">
        <v>1325</v>
      </c>
      <c r="C377" s="813" t="s">
        <v>1326</v>
      </c>
      <c r="D377" s="807">
        <v>4698</v>
      </c>
    </row>
    <row r="378" spans="1:4" s="26" customFormat="1" x14ac:dyDescent="0.2">
      <c r="A378" s="783"/>
      <c r="B378" s="811" t="s">
        <v>1327</v>
      </c>
      <c r="C378" s="816" t="s">
        <v>781</v>
      </c>
      <c r="D378" s="807">
        <v>1264.4000000000001</v>
      </c>
    </row>
    <row r="379" spans="1:4" s="26" customFormat="1" x14ac:dyDescent="0.2">
      <c r="A379" s="783"/>
      <c r="B379" s="811" t="s">
        <v>1328</v>
      </c>
      <c r="C379" s="816" t="s">
        <v>781</v>
      </c>
      <c r="D379" s="807">
        <v>4280.3999999999996</v>
      </c>
    </row>
    <row r="380" spans="1:4" s="26" customFormat="1" x14ac:dyDescent="0.2">
      <c r="A380" s="783"/>
      <c r="B380" s="811" t="s">
        <v>1329</v>
      </c>
      <c r="C380" s="816" t="s">
        <v>781</v>
      </c>
      <c r="D380" s="807">
        <v>563.5</v>
      </c>
    </row>
    <row r="381" spans="1:4" s="26" customFormat="1" ht="22.5" x14ac:dyDescent="0.2">
      <c r="A381" s="783"/>
      <c r="B381" s="811" t="s">
        <v>1330</v>
      </c>
      <c r="C381" s="816" t="s">
        <v>1331</v>
      </c>
      <c r="D381" s="807">
        <v>5092.3999999999996</v>
      </c>
    </row>
    <row r="382" spans="1:4" s="26" customFormat="1" x14ac:dyDescent="0.2">
      <c r="A382" s="783"/>
      <c r="B382" s="811" t="s">
        <v>1332</v>
      </c>
      <c r="C382" s="816" t="s">
        <v>781</v>
      </c>
      <c r="D382" s="807">
        <v>563.5</v>
      </c>
    </row>
    <row r="383" spans="1:4" s="26" customFormat="1" ht="22.5" x14ac:dyDescent="0.2">
      <c r="A383" s="783"/>
      <c r="B383" s="811" t="s">
        <v>1333</v>
      </c>
      <c r="C383" s="812" t="s">
        <v>1334</v>
      </c>
      <c r="D383" s="807">
        <v>5092.3999999999996</v>
      </c>
    </row>
    <row r="384" spans="1:4" s="26" customFormat="1" x14ac:dyDescent="0.2">
      <c r="A384" s="783"/>
      <c r="B384" s="811" t="s">
        <v>1335</v>
      </c>
      <c r="C384" s="812" t="s">
        <v>1301</v>
      </c>
      <c r="D384" s="807">
        <v>1264.4000000000001</v>
      </c>
    </row>
    <row r="385" spans="1:4" s="26" customFormat="1" x14ac:dyDescent="0.2">
      <c r="A385" s="783"/>
      <c r="B385" s="811" t="s">
        <v>1336</v>
      </c>
      <c r="C385" s="813" t="s">
        <v>1298</v>
      </c>
      <c r="D385" s="807">
        <v>8002.84</v>
      </c>
    </row>
    <row r="386" spans="1:4" s="26" customFormat="1" ht="22.5" x14ac:dyDescent="0.2">
      <c r="A386" s="783"/>
      <c r="B386" s="811" t="s">
        <v>1337</v>
      </c>
      <c r="C386" s="816" t="s">
        <v>1295</v>
      </c>
      <c r="D386" s="807">
        <v>4976.3999999999996</v>
      </c>
    </row>
    <row r="387" spans="1:4" s="26" customFormat="1" x14ac:dyDescent="0.2">
      <c r="A387" s="783"/>
      <c r="B387" s="811" t="s">
        <v>1338</v>
      </c>
      <c r="C387" s="812" t="s">
        <v>1339</v>
      </c>
      <c r="D387" s="807">
        <v>2691</v>
      </c>
    </row>
    <row r="388" spans="1:4" s="26" customFormat="1" x14ac:dyDescent="0.2">
      <c r="A388" s="783"/>
      <c r="B388" s="811" t="s">
        <v>1340</v>
      </c>
      <c r="C388" s="813" t="s">
        <v>1298</v>
      </c>
      <c r="D388" s="818">
        <v>8919.24</v>
      </c>
    </row>
    <row r="389" spans="1:4" s="26" customFormat="1" x14ac:dyDescent="0.2">
      <c r="A389" s="783"/>
      <c r="B389" s="811" t="s">
        <v>1341</v>
      </c>
      <c r="C389" s="812" t="s">
        <v>1276</v>
      </c>
      <c r="D389" s="807">
        <v>4628.3999999999996</v>
      </c>
    </row>
    <row r="390" spans="1:4" s="26" customFormat="1" ht="22.5" x14ac:dyDescent="0.2">
      <c r="A390" s="783"/>
      <c r="B390" s="811" t="s">
        <v>1342</v>
      </c>
      <c r="C390" s="816" t="s">
        <v>1334</v>
      </c>
      <c r="D390" s="807">
        <v>5092.3999999999996</v>
      </c>
    </row>
    <row r="391" spans="1:4" s="26" customFormat="1" x14ac:dyDescent="0.2">
      <c r="A391" s="783"/>
      <c r="B391" s="811" t="s">
        <v>1343</v>
      </c>
      <c r="C391" s="813" t="s">
        <v>1298</v>
      </c>
      <c r="D391" s="807">
        <v>8522.3459999999995</v>
      </c>
    </row>
    <row r="392" spans="1:4" s="26" customFormat="1" x14ac:dyDescent="0.2">
      <c r="A392" s="783"/>
      <c r="B392" s="811" t="s">
        <v>1344</v>
      </c>
      <c r="C392" s="816" t="s">
        <v>1345</v>
      </c>
      <c r="D392" s="807">
        <v>3120.4</v>
      </c>
    </row>
    <row r="393" spans="1:4" s="26" customFormat="1" x14ac:dyDescent="0.2">
      <c r="A393" s="783"/>
      <c r="B393" s="811" t="s">
        <v>1346</v>
      </c>
      <c r="C393" s="816" t="s">
        <v>1259</v>
      </c>
      <c r="D393" s="807">
        <v>2888.4</v>
      </c>
    </row>
    <row r="394" spans="1:4" s="26" customFormat="1" ht="22.5" x14ac:dyDescent="0.2">
      <c r="A394" s="783"/>
      <c r="B394" s="811" t="s">
        <v>1347</v>
      </c>
      <c r="C394" s="816" t="s">
        <v>1334</v>
      </c>
      <c r="D394" s="807">
        <v>5092.3999999999996</v>
      </c>
    </row>
    <row r="395" spans="1:4" s="26" customFormat="1" x14ac:dyDescent="0.2">
      <c r="A395" s="783"/>
      <c r="B395" s="811" t="s">
        <v>1348</v>
      </c>
      <c r="C395" s="813" t="s">
        <v>1298</v>
      </c>
      <c r="D395" s="807">
        <v>8002.84</v>
      </c>
    </row>
    <row r="396" spans="1:4" s="26" customFormat="1" ht="22.5" x14ac:dyDescent="0.2">
      <c r="A396" s="783"/>
      <c r="B396" s="811" t="s">
        <v>1349</v>
      </c>
      <c r="C396" s="816" t="s">
        <v>1334</v>
      </c>
      <c r="D396" s="807">
        <v>5092.3999999999996</v>
      </c>
    </row>
    <row r="397" spans="1:4" s="26" customFormat="1" x14ac:dyDescent="0.2">
      <c r="A397" s="783"/>
      <c r="B397" s="811" t="s">
        <v>1350</v>
      </c>
      <c r="C397" s="813" t="s">
        <v>1298</v>
      </c>
      <c r="D397" s="807">
        <v>8002.84</v>
      </c>
    </row>
    <row r="398" spans="1:4" s="26" customFormat="1" x14ac:dyDescent="0.2">
      <c r="A398" s="783"/>
      <c r="B398" s="811" t="s">
        <v>1351</v>
      </c>
      <c r="C398" s="816" t="s">
        <v>781</v>
      </c>
      <c r="D398" s="807">
        <v>1264.4000000000001</v>
      </c>
    </row>
    <row r="399" spans="1:4" s="26" customFormat="1" ht="22.5" x14ac:dyDescent="0.2">
      <c r="A399" s="783"/>
      <c r="B399" s="811" t="s">
        <v>1352</v>
      </c>
      <c r="C399" s="816" t="s">
        <v>1334</v>
      </c>
      <c r="D399" s="807">
        <v>5092.3999999999996</v>
      </c>
    </row>
    <row r="400" spans="1:4" s="26" customFormat="1" ht="22.5" x14ac:dyDescent="0.2">
      <c r="A400" s="783"/>
      <c r="B400" s="811" t="s">
        <v>1353</v>
      </c>
      <c r="C400" s="816" t="s">
        <v>1334</v>
      </c>
      <c r="D400" s="807">
        <v>5092.3999999999996</v>
      </c>
    </row>
    <row r="401" spans="1:4" s="26" customFormat="1" ht="22.5" x14ac:dyDescent="0.2">
      <c r="A401" s="783"/>
      <c r="B401" s="811" t="s">
        <v>1354</v>
      </c>
      <c r="C401" s="816" t="s">
        <v>1334</v>
      </c>
      <c r="D401" s="807">
        <v>5092.3999999999996</v>
      </c>
    </row>
    <row r="402" spans="1:4" s="26" customFormat="1" ht="22.5" x14ac:dyDescent="0.2">
      <c r="A402" s="783"/>
      <c r="B402" s="811" t="s">
        <v>1355</v>
      </c>
      <c r="C402" s="816" t="s">
        <v>1334</v>
      </c>
      <c r="D402" s="807">
        <v>5092.3999999999996</v>
      </c>
    </row>
    <row r="403" spans="1:4" s="26" customFormat="1" x14ac:dyDescent="0.2">
      <c r="A403" s="783"/>
      <c r="B403" s="811" t="s">
        <v>1356</v>
      </c>
      <c r="C403" s="813" t="s">
        <v>1298</v>
      </c>
      <c r="D403" s="807">
        <v>8002.84</v>
      </c>
    </row>
    <row r="404" spans="1:4" s="26" customFormat="1" x14ac:dyDescent="0.2">
      <c r="A404" s="783"/>
      <c r="B404" s="811" t="s">
        <v>1357</v>
      </c>
      <c r="C404" s="816" t="s">
        <v>781</v>
      </c>
      <c r="D404" s="807">
        <v>1264.4000000000001</v>
      </c>
    </row>
    <row r="405" spans="1:4" s="26" customFormat="1" ht="22.5" x14ac:dyDescent="0.2">
      <c r="A405" s="783"/>
      <c r="B405" s="811" t="s">
        <v>1358</v>
      </c>
      <c r="C405" s="816" t="s">
        <v>1334</v>
      </c>
      <c r="D405" s="807">
        <v>5092.3999999999996</v>
      </c>
    </row>
    <row r="406" spans="1:4" s="26" customFormat="1" x14ac:dyDescent="0.2">
      <c r="A406" s="783"/>
      <c r="B406" s="811" t="s">
        <v>1359</v>
      </c>
      <c r="C406" s="813" t="s">
        <v>1298</v>
      </c>
      <c r="D406" s="807">
        <v>16995</v>
      </c>
    </row>
    <row r="407" spans="1:4" s="26" customFormat="1" ht="22.5" x14ac:dyDescent="0.2">
      <c r="A407" s="783"/>
      <c r="B407" s="811" t="s">
        <v>1360</v>
      </c>
      <c r="C407" s="816" t="s">
        <v>1361</v>
      </c>
      <c r="D407" s="807">
        <v>4872</v>
      </c>
    </row>
    <row r="408" spans="1:4" s="26" customFormat="1" x14ac:dyDescent="0.2">
      <c r="A408" s="783"/>
      <c r="B408" s="811" t="s">
        <v>1362</v>
      </c>
      <c r="C408" s="816" t="s">
        <v>781</v>
      </c>
      <c r="D408" s="807">
        <v>1264.4000000000001</v>
      </c>
    </row>
    <row r="409" spans="1:4" s="26" customFormat="1" ht="22.5" x14ac:dyDescent="0.2">
      <c r="A409" s="783"/>
      <c r="B409" s="811" t="s">
        <v>1363</v>
      </c>
      <c r="C409" s="816" t="s">
        <v>1361</v>
      </c>
      <c r="D409" s="807">
        <v>4872</v>
      </c>
    </row>
    <row r="410" spans="1:4" s="26" customFormat="1" x14ac:dyDescent="0.2">
      <c r="A410" s="783"/>
      <c r="B410" s="811" t="s">
        <v>1364</v>
      </c>
      <c r="C410" s="816" t="s">
        <v>781</v>
      </c>
      <c r="D410" s="807">
        <v>563.5</v>
      </c>
    </row>
    <row r="411" spans="1:4" s="26" customFormat="1" x14ac:dyDescent="0.2">
      <c r="A411" s="783"/>
      <c r="B411" s="811" t="s">
        <v>1365</v>
      </c>
      <c r="C411" s="809" t="s">
        <v>1366</v>
      </c>
      <c r="D411" s="810">
        <v>3712</v>
      </c>
    </row>
    <row r="412" spans="1:4" s="26" customFormat="1" x14ac:dyDescent="0.2">
      <c r="A412" s="783"/>
      <c r="B412" s="811" t="s">
        <v>1367</v>
      </c>
      <c r="C412" s="812" t="s">
        <v>1276</v>
      </c>
      <c r="D412" s="807">
        <v>4628.3999999999996</v>
      </c>
    </row>
    <row r="413" spans="1:4" s="26" customFormat="1" x14ac:dyDescent="0.2">
      <c r="A413" s="783"/>
      <c r="B413" s="811" t="s">
        <v>1368</v>
      </c>
      <c r="C413" s="816" t="s">
        <v>1369</v>
      </c>
      <c r="D413" s="807">
        <v>8850.01</v>
      </c>
    </row>
    <row r="414" spans="1:4" s="26" customFormat="1" ht="22.5" x14ac:dyDescent="0.2">
      <c r="A414" s="783"/>
      <c r="B414" s="811" t="s">
        <v>1370</v>
      </c>
      <c r="C414" s="816" t="s">
        <v>1361</v>
      </c>
      <c r="D414" s="807">
        <v>4872</v>
      </c>
    </row>
    <row r="415" spans="1:4" s="26" customFormat="1" x14ac:dyDescent="0.2">
      <c r="A415" s="783"/>
      <c r="B415" s="804" t="s">
        <v>1371</v>
      </c>
      <c r="C415" s="813" t="s">
        <v>1298</v>
      </c>
      <c r="D415" s="815">
        <v>8002.84</v>
      </c>
    </row>
    <row r="416" spans="1:4" s="26" customFormat="1" ht="22.5" x14ac:dyDescent="0.2">
      <c r="A416" s="783"/>
      <c r="B416" s="804" t="s">
        <v>1372</v>
      </c>
      <c r="C416" s="816" t="s">
        <v>1361</v>
      </c>
      <c r="D416" s="807">
        <v>4872</v>
      </c>
    </row>
    <row r="417" spans="1:4" s="26" customFormat="1" x14ac:dyDescent="0.2">
      <c r="A417" s="783"/>
      <c r="B417" s="804" t="s">
        <v>1373</v>
      </c>
      <c r="C417" s="813" t="s">
        <v>1298</v>
      </c>
      <c r="D417" s="815">
        <v>8002.84</v>
      </c>
    </row>
    <row r="418" spans="1:4" s="26" customFormat="1" x14ac:dyDescent="0.2">
      <c r="A418" s="783"/>
      <c r="B418" s="804" t="s">
        <v>1374</v>
      </c>
      <c r="C418" s="816" t="s">
        <v>1375</v>
      </c>
      <c r="D418" s="807">
        <v>563.5</v>
      </c>
    </row>
    <row r="419" spans="1:4" s="26" customFormat="1" x14ac:dyDescent="0.2">
      <c r="A419" s="783"/>
      <c r="B419" s="804" t="s">
        <v>1376</v>
      </c>
      <c r="C419" s="819" t="s">
        <v>1377</v>
      </c>
      <c r="D419" s="815">
        <v>5990</v>
      </c>
    </row>
    <row r="420" spans="1:4" s="26" customFormat="1" ht="22.5" x14ac:dyDescent="0.2">
      <c r="A420" s="783"/>
      <c r="B420" s="804" t="s">
        <v>1378</v>
      </c>
      <c r="C420" s="816" t="s">
        <v>1295</v>
      </c>
      <c r="D420" s="815">
        <v>4396.3999999999996</v>
      </c>
    </row>
    <row r="421" spans="1:4" s="26" customFormat="1" x14ac:dyDescent="0.2">
      <c r="A421" s="783"/>
      <c r="B421" s="804" t="s">
        <v>1379</v>
      </c>
      <c r="C421" s="819" t="s">
        <v>781</v>
      </c>
      <c r="D421" s="807">
        <v>563.5</v>
      </c>
    </row>
    <row r="422" spans="1:4" s="26" customFormat="1" x14ac:dyDescent="0.2">
      <c r="A422" s="783"/>
      <c r="B422" s="804" t="s">
        <v>1380</v>
      </c>
      <c r="C422" s="813" t="s">
        <v>1298</v>
      </c>
      <c r="D422" s="815">
        <v>8522.3459999999995</v>
      </c>
    </row>
    <row r="423" spans="1:4" s="26" customFormat="1" ht="22.5" x14ac:dyDescent="0.2">
      <c r="A423" s="783"/>
      <c r="B423" s="804" t="s">
        <v>1381</v>
      </c>
      <c r="C423" s="816" t="s">
        <v>1295</v>
      </c>
      <c r="D423" s="815">
        <v>4338.3999999999996</v>
      </c>
    </row>
    <row r="424" spans="1:4" s="26" customFormat="1" x14ac:dyDescent="0.2">
      <c r="A424" s="783"/>
      <c r="B424" s="804" t="s">
        <v>1382</v>
      </c>
      <c r="C424" s="813" t="s">
        <v>1298</v>
      </c>
      <c r="D424" s="815">
        <v>8002.84</v>
      </c>
    </row>
    <row r="425" spans="1:4" s="26" customFormat="1" x14ac:dyDescent="0.2">
      <c r="A425" s="783"/>
      <c r="B425" s="804" t="s">
        <v>1383</v>
      </c>
      <c r="C425" s="813" t="s">
        <v>1326</v>
      </c>
      <c r="D425" s="815">
        <v>4698</v>
      </c>
    </row>
    <row r="426" spans="1:4" s="26" customFormat="1" x14ac:dyDescent="0.2">
      <c r="A426" s="783"/>
      <c r="B426" s="804" t="s">
        <v>1384</v>
      </c>
      <c r="C426" s="791" t="s">
        <v>1385</v>
      </c>
      <c r="D426" s="790">
        <v>4135.28</v>
      </c>
    </row>
    <row r="427" spans="1:4" s="26" customFormat="1" x14ac:dyDescent="0.2">
      <c r="A427" s="783"/>
      <c r="B427" s="804" t="s">
        <v>1386</v>
      </c>
      <c r="C427" s="819" t="s">
        <v>1387</v>
      </c>
      <c r="D427" s="815">
        <v>5336</v>
      </c>
    </row>
    <row r="428" spans="1:4" s="26" customFormat="1" x14ac:dyDescent="0.2">
      <c r="A428" s="783"/>
      <c r="B428" s="804" t="s">
        <v>1388</v>
      </c>
      <c r="C428" s="819" t="s">
        <v>1387</v>
      </c>
      <c r="D428" s="815">
        <v>5336</v>
      </c>
    </row>
    <row r="429" spans="1:4" s="26" customFormat="1" x14ac:dyDescent="0.2">
      <c r="A429" s="783"/>
      <c r="B429" s="804" t="s">
        <v>1389</v>
      </c>
      <c r="C429" s="819" t="s">
        <v>1390</v>
      </c>
      <c r="D429" s="815">
        <v>7540</v>
      </c>
    </row>
    <row r="430" spans="1:4" s="26" customFormat="1" x14ac:dyDescent="0.2">
      <c r="A430" s="783"/>
      <c r="B430" s="804" t="s">
        <v>1391</v>
      </c>
      <c r="C430" s="819" t="s">
        <v>1392</v>
      </c>
      <c r="D430" s="815">
        <v>7999</v>
      </c>
    </row>
    <row r="431" spans="1:4" s="26" customFormat="1" x14ac:dyDescent="0.2">
      <c r="A431" s="783"/>
      <c r="B431" s="804" t="s">
        <v>1393</v>
      </c>
      <c r="C431" s="820" t="s">
        <v>1394</v>
      </c>
      <c r="D431" s="802">
        <v>1955</v>
      </c>
    </row>
    <row r="432" spans="1:4" s="26" customFormat="1" x14ac:dyDescent="0.2">
      <c r="A432" s="783"/>
      <c r="B432" s="804" t="s">
        <v>1395</v>
      </c>
      <c r="C432" s="820" t="s">
        <v>1394</v>
      </c>
      <c r="D432" s="802">
        <v>1955</v>
      </c>
    </row>
    <row r="433" spans="1:4" s="26" customFormat="1" x14ac:dyDescent="0.2">
      <c r="A433" s="783"/>
      <c r="B433" s="804" t="s">
        <v>1396</v>
      </c>
      <c r="C433" s="791" t="s">
        <v>787</v>
      </c>
      <c r="D433" s="802">
        <v>1328.25</v>
      </c>
    </row>
    <row r="434" spans="1:4" s="26" customFormat="1" x14ac:dyDescent="0.2">
      <c r="A434" s="783"/>
      <c r="B434" s="804" t="s">
        <v>1397</v>
      </c>
      <c r="C434" s="820" t="s">
        <v>1398</v>
      </c>
      <c r="D434" s="802">
        <v>31015.599999999999</v>
      </c>
    </row>
    <row r="435" spans="1:4" s="26" customFormat="1" x14ac:dyDescent="0.2">
      <c r="A435" s="783"/>
      <c r="B435" s="804" t="s">
        <v>1399</v>
      </c>
      <c r="C435" s="819" t="s">
        <v>1400</v>
      </c>
      <c r="D435" s="815">
        <v>5200</v>
      </c>
    </row>
    <row r="436" spans="1:4" s="26" customFormat="1" x14ac:dyDescent="0.2">
      <c r="A436" s="783"/>
      <c r="B436" s="804" t="s">
        <v>1401</v>
      </c>
      <c r="C436" s="819" t="s">
        <v>1402</v>
      </c>
      <c r="D436" s="802">
        <v>4800</v>
      </c>
    </row>
    <row r="437" spans="1:4" s="26" customFormat="1" x14ac:dyDescent="0.2">
      <c r="A437" s="783"/>
      <c r="B437" s="804" t="s">
        <v>1403</v>
      </c>
      <c r="C437" s="819" t="s">
        <v>1402</v>
      </c>
      <c r="D437" s="802">
        <v>4500</v>
      </c>
    </row>
    <row r="438" spans="1:4" s="26" customFormat="1" x14ac:dyDescent="0.2">
      <c r="A438" s="783"/>
      <c r="B438" s="804" t="s">
        <v>1404</v>
      </c>
      <c r="C438" s="819" t="s">
        <v>1402</v>
      </c>
      <c r="D438" s="802">
        <v>4500</v>
      </c>
    </row>
    <row r="439" spans="1:4" s="26" customFormat="1" x14ac:dyDescent="0.2">
      <c r="A439" s="783"/>
      <c r="B439" s="804" t="s">
        <v>1405</v>
      </c>
      <c r="C439" s="819" t="s">
        <v>1402</v>
      </c>
      <c r="D439" s="802">
        <v>4500</v>
      </c>
    </row>
    <row r="440" spans="1:4" s="26" customFormat="1" x14ac:dyDescent="0.2">
      <c r="A440" s="783"/>
      <c r="B440" s="804" t="s">
        <v>1406</v>
      </c>
      <c r="C440" s="819" t="s">
        <v>1407</v>
      </c>
      <c r="D440" s="802">
        <v>6840</v>
      </c>
    </row>
    <row r="441" spans="1:4" s="26" customFormat="1" x14ac:dyDescent="0.2">
      <c r="A441" s="783"/>
      <c r="B441" s="804" t="s">
        <v>1408</v>
      </c>
      <c r="C441" s="819" t="s">
        <v>1400</v>
      </c>
      <c r="D441" s="802">
        <v>8550</v>
      </c>
    </row>
    <row r="442" spans="1:4" s="26" customFormat="1" x14ac:dyDescent="0.2">
      <c r="A442" s="783"/>
      <c r="B442" s="804" t="s">
        <v>1409</v>
      </c>
      <c r="C442" s="816" t="s">
        <v>1377</v>
      </c>
      <c r="D442" s="807">
        <v>5990</v>
      </c>
    </row>
    <row r="443" spans="1:4" s="26" customFormat="1" x14ac:dyDescent="0.2">
      <c r="A443" s="783"/>
      <c r="B443" s="804" t="s">
        <v>1410</v>
      </c>
      <c r="C443" s="820" t="s">
        <v>1411</v>
      </c>
      <c r="D443" s="802">
        <v>1437.5</v>
      </c>
    </row>
    <row r="444" spans="1:4" s="26" customFormat="1" x14ac:dyDescent="0.2">
      <c r="A444" s="783"/>
      <c r="B444" s="804" t="s">
        <v>1412</v>
      </c>
      <c r="C444" s="820" t="s">
        <v>1413</v>
      </c>
      <c r="D444" s="802">
        <v>4140</v>
      </c>
    </row>
    <row r="445" spans="1:4" s="26" customFormat="1" x14ac:dyDescent="0.2">
      <c r="A445" s="783"/>
      <c r="B445" s="804" t="s">
        <v>1414</v>
      </c>
      <c r="C445" s="819" t="s">
        <v>1407</v>
      </c>
      <c r="D445" s="802">
        <v>8150</v>
      </c>
    </row>
    <row r="446" spans="1:4" s="26" customFormat="1" x14ac:dyDescent="0.2">
      <c r="A446" s="783"/>
      <c r="B446" s="804" t="s">
        <v>1415</v>
      </c>
      <c r="C446" s="819" t="s">
        <v>1402</v>
      </c>
      <c r="D446" s="802">
        <v>5300</v>
      </c>
    </row>
    <row r="447" spans="1:4" s="26" customFormat="1" x14ac:dyDescent="0.2">
      <c r="A447" s="783"/>
      <c r="B447" s="804" t="s">
        <v>1416</v>
      </c>
      <c r="C447" s="819" t="s">
        <v>1407</v>
      </c>
      <c r="D447" s="802">
        <v>8150.0050000000001</v>
      </c>
    </row>
    <row r="448" spans="1:4" s="26" customFormat="1" x14ac:dyDescent="0.2">
      <c r="A448" s="783"/>
      <c r="B448" s="804" t="s">
        <v>1417</v>
      </c>
      <c r="C448" s="819" t="s">
        <v>1407</v>
      </c>
      <c r="D448" s="802">
        <v>8150.0050000000001</v>
      </c>
    </row>
    <row r="449" spans="1:4" s="26" customFormat="1" x14ac:dyDescent="0.2">
      <c r="A449" s="783"/>
      <c r="B449" s="804" t="s">
        <v>1418</v>
      </c>
      <c r="C449" s="820" t="s">
        <v>1419</v>
      </c>
      <c r="D449" s="802">
        <v>1483.5</v>
      </c>
    </row>
    <row r="450" spans="1:4" s="26" customFormat="1" x14ac:dyDescent="0.2">
      <c r="A450" s="783"/>
      <c r="B450" s="804" t="s">
        <v>1420</v>
      </c>
      <c r="C450" s="820" t="s">
        <v>1421</v>
      </c>
      <c r="D450" s="802">
        <v>25825</v>
      </c>
    </row>
    <row r="451" spans="1:4" s="26" customFormat="1" x14ac:dyDescent="0.2">
      <c r="A451" s="783"/>
      <c r="B451" s="804" t="s">
        <v>1422</v>
      </c>
      <c r="C451" s="820" t="s">
        <v>1423</v>
      </c>
      <c r="D451" s="802">
        <v>24909</v>
      </c>
    </row>
    <row r="452" spans="1:4" s="26" customFormat="1" x14ac:dyDescent="0.2">
      <c r="A452" s="783"/>
      <c r="B452" s="804" t="s">
        <v>1424</v>
      </c>
      <c r="C452" s="820" t="s">
        <v>1425</v>
      </c>
      <c r="D452" s="802">
        <v>18681.75</v>
      </c>
    </row>
    <row r="453" spans="1:4" s="26" customFormat="1" x14ac:dyDescent="0.2">
      <c r="A453" s="783"/>
      <c r="B453" s="804" t="s">
        <v>1426</v>
      </c>
      <c r="C453" s="820" t="s">
        <v>1427</v>
      </c>
      <c r="D453" s="802">
        <v>3070.5</v>
      </c>
    </row>
    <row r="454" spans="1:4" s="26" customFormat="1" x14ac:dyDescent="0.2">
      <c r="A454" s="783"/>
      <c r="B454" s="804" t="s">
        <v>1428</v>
      </c>
      <c r="C454" s="820" t="s">
        <v>1429</v>
      </c>
      <c r="D454" s="802">
        <v>5556.4</v>
      </c>
    </row>
    <row r="455" spans="1:4" s="26" customFormat="1" x14ac:dyDescent="0.2">
      <c r="A455" s="783"/>
      <c r="B455" s="804" t="s">
        <v>1430</v>
      </c>
      <c r="C455" s="820" t="s">
        <v>1429</v>
      </c>
      <c r="D455" s="802">
        <v>5556.4</v>
      </c>
    </row>
    <row r="456" spans="1:4" s="26" customFormat="1" x14ac:dyDescent="0.2">
      <c r="A456" s="783"/>
      <c r="B456" s="804" t="s">
        <v>1431</v>
      </c>
      <c r="C456" s="820" t="s">
        <v>1432</v>
      </c>
      <c r="D456" s="802">
        <v>5672.4</v>
      </c>
    </row>
    <row r="457" spans="1:4" s="26" customFormat="1" x14ac:dyDescent="0.2">
      <c r="A457" s="783"/>
      <c r="B457" s="804" t="s">
        <v>1433</v>
      </c>
      <c r="C457" s="820" t="s">
        <v>1432</v>
      </c>
      <c r="D457" s="802">
        <v>5672.4</v>
      </c>
    </row>
    <row r="458" spans="1:4" s="26" customFormat="1" x14ac:dyDescent="0.2">
      <c r="A458" s="783"/>
      <c r="B458" s="804" t="s">
        <v>1434</v>
      </c>
      <c r="C458" s="820" t="s">
        <v>1435</v>
      </c>
      <c r="D458" s="802">
        <v>12528</v>
      </c>
    </row>
    <row r="459" spans="1:4" s="26" customFormat="1" x14ac:dyDescent="0.2">
      <c r="A459" s="783"/>
      <c r="B459" s="804" t="s">
        <v>1436</v>
      </c>
      <c r="C459" s="820" t="s">
        <v>1437</v>
      </c>
      <c r="D459" s="802">
        <v>6844</v>
      </c>
    </row>
    <row r="460" spans="1:4" s="26" customFormat="1" ht="22.5" x14ac:dyDescent="0.2">
      <c r="A460" s="783"/>
      <c r="B460" s="804" t="s">
        <v>1438</v>
      </c>
      <c r="C460" s="820" t="s">
        <v>1439</v>
      </c>
      <c r="D460" s="802">
        <v>19952</v>
      </c>
    </row>
    <row r="461" spans="1:4" s="26" customFormat="1" x14ac:dyDescent="0.2">
      <c r="A461" s="783"/>
      <c r="B461" s="804" t="s">
        <v>1440</v>
      </c>
      <c r="C461" s="820" t="s">
        <v>1441</v>
      </c>
      <c r="D461" s="802">
        <v>12412</v>
      </c>
    </row>
    <row r="462" spans="1:4" s="26" customFormat="1" x14ac:dyDescent="0.2">
      <c r="A462" s="783"/>
      <c r="B462" s="804" t="s">
        <v>1442</v>
      </c>
      <c r="C462" s="820" t="s">
        <v>1441</v>
      </c>
      <c r="D462" s="802">
        <v>12412</v>
      </c>
    </row>
    <row r="463" spans="1:4" s="26" customFormat="1" x14ac:dyDescent="0.2">
      <c r="A463" s="783"/>
      <c r="B463" s="804" t="s">
        <v>1443</v>
      </c>
      <c r="C463" s="820" t="s">
        <v>1441</v>
      </c>
      <c r="D463" s="802">
        <v>12412</v>
      </c>
    </row>
    <row r="464" spans="1:4" s="26" customFormat="1" x14ac:dyDescent="0.2">
      <c r="A464" s="783"/>
      <c r="B464" s="804" t="s">
        <v>1444</v>
      </c>
      <c r="C464" s="820" t="s">
        <v>1445</v>
      </c>
      <c r="D464" s="802">
        <v>8104.41</v>
      </c>
    </row>
    <row r="465" spans="1:4" s="26" customFormat="1" x14ac:dyDescent="0.2">
      <c r="A465" s="783"/>
      <c r="B465" s="804" t="s">
        <v>1446</v>
      </c>
      <c r="C465" s="820" t="s">
        <v>1445</v>
      </c>
      <c r="D465" s="802">
        <v>8104.41</v>
      </c>
    </row>
    <row r="466" spans="1:4" s="26" customFormat="1" x14ac:dyDescent="0.2">
      <c r="A466" s="783"/>
      <c r="B466" s="804" t="s">
        <v>1447</v>
      </c>
      <c r="C466" s="820" t="s">
        <v>1448</v>
      </c>
      <c r="D466" s="802">
        <v>12412</v>
      </c>
    </row>
    <row r="467" spans="1:4" s="26" customFormat="1" x14ac:dyDescent="0.2">
      <c r="A467" s="783"/>
      <c r="B467" s="804" t="s">
        <v>1449</v>
      </c>
      <c r="C467" s="820" t="s">
        <v>1450</v>
      </c>
      <c r="D467" s="802">
        <v>3190</v>
      </c>
    </row>
    <row r="468" spans="1:4" s="26" customFormat="1" ht="22.5" x14ac:dyDescent="0.2">
      <c r="A468" s="783"/>
      <c r="B468" s="804" t="s">
        <v>1451</v>
      </c>
      <c r="C468" s="820" t="s">
        <v>1439</v>
      </c>
      <c r="D468" s="802">
        <v>49300</v>
      </c>
    </row>
    <row r="469" spans="1:4" s="26" customFormat="1" x14ac:dyDescent="0.2">
      <c r="A469" s="783"/>
      <c r="B469" s="821" t="s">
        <v>1452</v>
      </c>
      <c r="C469" s="820" t="s">
        <v>1453</v>
      </c>
      <c r="D469" s="802">
        <v>1566</v>
      </c>
    </row>
    <row r="470" spans="1:4" s="26" customFormat="1" ht="22.5" x14ac:dyDescent="0.2">
      <c r="A470" s="783"/>
      <c r="B470" s="804" t="s">
        <v>1454</v>
      </c>
      <c r="C470" s="820" t="s">
        <v>1455</v>
      </c>
      <c r="D470" s="802">
        <v>2766.6</v>
      </c>
    </row>
    <row r="471" spans="1:4" s="26" customFormat="1" x14ac:dyDescent="0.2">
      <c r="A471" s="783"/>
      <c r="B471" s="804" t="s">
        <v>1456</v>
      </c>
      <c r="C471" s="820" t="s">
        <v>1445</v>
      </c>
      <c r="D471" s="802">
        <v>8104.41</v>
      </c>
    </row>
    <row r="472" spans="1:4" s="26" customFormat="1" x14ac:dyDescent="0.2">
      <c r="A472" s="783"/>
      <c r="B472" s="821" t="s">
        <v>1457</v>
      </c>
      <c r="C472" s="820" t="s">
        <v>1445</v>
      </c>
      <c r="D472" s="802">
        <v>8104.41</v>
      </c>
    </row>
    <row r="473" spans="1:4" s="26" customFormat="1" x14ac:dyDescent="0.2">
      <c r="A473" s="783"/>
      <c r="B473" s="804" t="s">
        <v>1458</v>
      </c>
      <c r="C473" s="820" t="s">
        <v>1453</v>
      </c>
      <c r="D473" s="802">
        <v>3364</v>
      </c>
    </row>
    <row r="474" spans="1:4" s="26" customFormat="1" x14ac:dyDescent="0.2">
      <c r="A474" s="783"/>
      <c r="B474" s="804" t="s">
        <v>1459</v>
      </c>
      <c r="C474" s="820" t="s">
        <v>1460</v>
      </c>
      <c r="D474" s="802">
        <v>1832.8</v>
      </c>
    </row>
    <row r="475" spans="1:4" s="26" customFormat="1" ht="22.5" x14ac:dyDescent="0.2">
      <c r="A475" s="783"/>
      <c r="B475" s="821" t="s">
        <v>1461</v>
      </c>
      <c r="C475" s="820" t="s">
        <v>1462</v>
      </c>
      <c r="D475" s="802">
        <v>12956.04</v>
      </c>
    </row>
    <row r="476" spans="1:4" s="26" customFormat="1" x14ac:dyDescent="0.2">
      <c r="A476" s="783"/>
      <c r="B476" s="804" t="s">
        <v>1463</v>
      </c>
      <c r="C476" s="820" t="s">
        <v>1464</v>
      </c>
      <c r="D476" s="802">
        <v>48580.800000000003</v>
      </c>
    </row>
    <row r="477" spans="1:4" s="26" customFormat="1" x14ac:dyDescent="0.2">
      <c r="A477" s="783"/>
      <c r="B477" s="804" t="s">
        <v>1465</v>
      </c>
      <c r="C477" s="820" t="s">
        <v>1466</v>
      </c>
      <c r="D477" s="802">
        <v>799</v>
      </c>
    </row>
    <row r="478" spans="1:4" s="26" customFormat="1" x14ac:dyDescent="0.2">
      <c r="A478" s="783"/>
      <c r="B478" s="804" t="s">
        <v>1467</v>
      </c>
      <c r="C478" s="820" t="s">
        <v>1466</v>
      </c>
      <c r="D478" s="802">
        <v>799</v>
      </c>
    </row>
    <row r="479" spans="1:4" s="26" customFormat="1" x14ac:dyDescent="0.2">
      <c r="A479" s="783"/>
      <c r="B479" s="821" t="s">
        <v>1468</v>
      </c>
      <c r="C479" s="820" t="s">
        <v>1469</v>
      </c>
      <c r="D479" s="802">
        <v>2784</v>
      </c>
    </row>
    <row r="480" spans="1:4" s="26" customFormat="1" x14ac:dyDescent="0.2">
      <c r="A480" s="783"/>
      <c r="B480" s="804" t="s">
        <v>1470</v>
      </c>
      <c r="C480" s="820" t="s">
        <v>1469</v>
      </c>
      <c r="D480" s="802">
        <v>2784</v>
      </c>
    </row>
    <row r="481" spans="1:4" s="26" customFormat="1" x14ac:dyDescent="0.2">
      <c r="A481" s="783"/>
      <c r="B481" s="804" t="s">
        <v>1471</v>
      </c>
      <c r="C481" s="820" t="s">
        <v>1472</v>
      </c>
      <c r="D481" s="802">
        <v>11832</v>
      </c>
    </row>
    <row r="482" spans="1:4" s="26" customFormat="1" x14ac:dyDescent="0.2">
      <c r="A482" s="783"/>
      <c r="B482" s="804" t="s">
        <v>1473</v>
      </c>
      <c r="C482" s="820" t="s">
        <v>1472</v>
      </c>
      <c r="D482" s="802">
        <v>11832</v>
      </c>
    </row>
    <row r="483" spans="1:4" s="26" customFormat="1" x14ac:dyDescent="0.2">
      <c r="A483" s="783"/>
      <c r="B483" s="804" t="s">
        <v>1474</v>
      </c>
      <c r="C483" s="820" t="s">
        <v>1472</v>
      </c>
      <c r="D483" s="802">
        <v>11832</v>
      </c>
    </row>
    <row r="484" spans="1:4" s="26" customFormat="1" x14ac:dyDescent="0.2">
      <c r="A484" s="783"/>
      <c r="B484" s="821" t="s">
        <v>1475</v>
      </c>
      <c r="C484" s="820" t="s">
        <v>1472</v>
      </c>
      <c r="D484" s="802">
        <v>11832</v>
      </c>
    </row>
    <row r="485" spans="1:4" s="26" customFormat="1" ht="22.5" x14ac:dyDescent="0.2">
      <c r="A485" s="783"/>
      <c r="B485" s="804" t="s">
        <v>1476</v>
      </c>
      <c r="C485" s="820" t="s">
        <v>1477</v>
      </c>
      <c r="D485" s="802">
        <v>9860</v>
      </c>
    </row>
    <row r="486" spans="1:4" s="26" customFormat="1" ht="22.5" x14ac:dyDescent="0.2">
      <c r="A486" s="783"/>
      <c r="B486" s="804" t="s">
        <v>1478</v>
      </c>
      <c r="C486" s="820" t="s">
        <v>1477</v>
      </c>
      <c r="D486" s="802">
        <v>9860</v>
      </c>
    </row>
    <row r="487" spans="1:4" s="26" customFormat="1" ht="22.5" x14ac:dyDescent="0.2">
      <c r="A487" s="783"/>
      <c r="B487" s="804" t="s">
        <v>1479</v>
      </c>
      <c r="C487" s="820" t="s">
        <v>1477</v>
      </c>
      <c r="D487" s="802">
        <v>9860</v>
      </c>
    </row>
    <row r="488" spans="1:4" s="26" customFormat="1" x14ac:dyDescent="0.2">
      <c r="A488" s="783"/>
      <c r="B488" s="821" t="s">
        <v>1480</v>
      </c>
      <c r="C488" s="820" t="s">
        <v>1481</v>
      </c>
      <c r="D488" s="802">
        <v>45820</v>
      </c>
    </row>
    <row r="489" spans="1:4" s="26" customFormat="1" x14ac:dyDescent="0.2">
      <c r="A489" s="783"/>
      <c r="B489" s="804" t="s">
        <v>1482</v>
      </c>
      <c r="C489" s="819" t="s">
        <v>1483</v>
      </c>
      <c r="D489" s="815">
        <v>3770.11</v>
      </c>
    </row>
    <row r="490" spans="1:4" s="26" customFormat="1" x14ac:dyDescent="0.2">
      <c r="A490" s="31"/>
      <c r="B490" s="804" t="s">
        <v>1484</v>
      </c>
      <c r="C490" s="819" t="s">
        <v>1485</v>
      </c>
      <c r="D490" s="815">
        <v>21460</v>
      </c>
    </row>
    <row r="491" spans="1:4" s="26" customFormat="1" x14ac:dyDescent="0.2">
      <c r="A491" s="822"/>
      <c r="B491" s="804" t="s">
        <v>1486</v>
      </c>
      <c r="C491" s="819" t="s">
        <v>1485</v>
      </c>
      <c r="D491" s="815">
        <v>21460</v>
      </c>
    </row>
    <row r="492" spans="1:4" s="26" customFormat="1" ht="17.25" thickBot="1" x14ac:dyDescent="0.25">
      <c r="A492" s="822"/>
      <c r="B492" s="823" t="s">
        <v>1487</v>
      </c>
      <c r="C492" s="824" t="s">
        <v>1400</v>
      </c>
      <c r="D492" s="825">
        <v>7700</v>
      </c>
    </row>
    <row r="493" spans="1:4" s="26" customFormat="1" ht="17.25" thickBot="1" x14ac:dyDescent="0.25">
      <c r="A493" s="822"/>
      <c r="B493" s="823" t="s">
        <v>1488</v>
      </c>
      <c r="C493" s="824" t="s">
        <v>1489</v>
      </c>
      <c r="D493" s="826">
        <v>2499</v>
      </c>
    </row>
    <row r="494" spans="1:4" s="26" customFormat="1" ht="17.25" thickBot="1" x14ac:dyDescent="0.25">
      <c r="A494" s="822"/>
      <c r="B494" s="823" t="s">
        <v>1490</v>
      </c>
      <c r="C494" s="824" t="s">
        <v>1491</v>
      </c>
      <c r="D494" s="826">
        <v>3199</v>
      </c>
    </row>
    <row r="495" spans="1:4" s="26" customFormat="1" ht="17.25" thickBot="1" x14ac:dyDescent="0.25">
      <c r="A495" s="822"/>
      <c r="B495" s="823" t="s">
        <v>1492</v>
      </c>
      <c r="C495" s="827" t="s">
        <v>1493</v>
      </c>
      <c r="D495" s="828">
        <v>3076.32</v>
      </c>
    </row>
    <row r="496" spans="1:4" s="26" customFormat="1" x14ac:dyDescent="0.2">
      <c r="A496" s="822"/>
      <c r="B496" s="829" t="s">
        <v>1494</v>
      </c>
      <c r="C496" s="830" t="s">
        <v>1495</v>
      </c>
      <c r="D496" s="831">
        <v>3758065.4</v>
      </c>
    </row>
    <row r="497" spans="1:4" s="26" customFormat="1" x14ac:dyDescent="0.2">
      <c r="A497" s="822"/>
      <c r="B497" s="788" t="s">
        <v>1496</v>
      </c>
      <c r="C497" s="832" t="s">
        <v>1497</v>
      </c>
      <c r="D497" s="833">
        <v>26640</v>
      </c>
    </row>
    <row r="498" spans="1:4" s="26" customFormat="1" x14ac:dyDescent="0.2">
      <c r="A498" s="822"/>
      <c r="B498" s="834" t="s">
        <v>1498</v>
      </c>
      <c r="C498" s="835" t="s">
        <v>1499</v>
      </c>
      <c r="D498" s="836">
        <v>34029</v>
      </c>
    </row>
    <row r="499" spans="1:4" s="26" customFormat="1" x14ac:dyDescent="0.2">
      <c r="A499" s="822"/>
      <c r="B499" s="837" t="s">
        <v>1500</v>
      </c>
      <c r="C499" s="819" t="s">
        <v>1501</v>
      </c>
      <c r="D499" s="815">
        <v>4280.3999999999996</v>
      </c>
    </row>
    <row r="500" spans="1:4" s="26" customFormat="1" x14ac:dyDescent="0.2">
      <c r="A500" s="822"/>
      <c r="B500" s="837" t="s">
        <v>1502</v>
      </c>
      <c r="C500" s="819" t="s">
        <v>1501</v>
      </c>
      <c r="D500" s="815">
        <v>3468.4</v>
      </c>
    </row>
    <row r="501" spans="1:4" s="26" customFormat="1" x14ac:dyDescent="0.2">
      <c r="A501" s="822"/>
      <c r="B501" s="837" t="s">
        <v>1503</v>
      </c>
      <c r="C501" s="819" t="s">
        <v>1501</v>
      </c>
      <c r="D501" s="815">
        <v>3468.4</v>
      </c>
    </row>
    <row r="502" spans="1:4" s="26" customFormat="1" x14ac:dyDescent="0.2">
      <c r="A502" s="822"/>
      <c r="B502" s="837" t="s">
        <v>1504</v>
      </c>
      <c r="C502" s="819" t="s">
        <v>1505</v>
      </c>
      <c r="D502" s="815">
        <v>6136.4</v>
      </c>
    </row>
    <row r="503" spans="1:4" s="26" customFormat="1" x14ac:dyDescent="0.2">
      <c r="A503" s="838"/>
      <c r="B503" s="837" t="s">
        <v>1506</v>
      </c>
      <c r="C503" s="819" t="s">
        <v>1507</v>
      </c>
      <c r="D503" s="815">
        <v>312300</v>
      </c>
    </row>
    <row r="504" spans="1:4" s="26" customFormat="1" x14ac:dyDescent="0.2">
      <c r="A504" s="838"/>
      <c r="B504" s="837" t="s">
        <v>1508</v>
      </c>
      <c r="C504" s="819" t="s">
        <v>1509</v>
      </c>
      <c r="D504" s="815">
        <v>312300</v>
      </c>
    </row>
    <row r="505" spans="1:4" s="26" customFormat="1" x14ac:dyDescent="0.2">
      <c r="A505" s="838"/>
      <c r="B505" s="837" t="s">
        <v>1510</v>
      </c>
      <c r="C505" s="819" t="s">
        <v>1511</v>
      </c>
      <c r="D505" s="815">
        <v>312300</v>
      </c>
    </row>
    <row r="506" spans="1:4" s="26" customFormat="1" x14ac:dyDescent="0.2">
      <c r="A506" s="838"/>
      <c r="B506" s="839" t="s">
        <v>1512</v>
      </c>
      <c r="C506" s="840" t="s">
        <v>1513</v>
      </c>
      <c r="D506" s="841">
        <v>5000</v>
      </c>
    </row>
    <row r="507" spans="1:4" s="26" customFormat="1" x14ac:dyDescent="0.2">
      <c r="A507" s="838"/>
      <c r="B507" s="839" t="s">
        <v>1514</v>
      </c>
      <c r="C507" s="840" t="s">
        <v>1513</v>
      </c>
      <c r="D507" s="841">
        <v>5000</v>
      </c>
    </row>
    <row r="508" spans="1:4" s="26" customFormat="1" x14ac:dyDescent="0.2">
      <c r="A508" s="838"/>
      <c r="B508" s="839" t="s">
        <v>1515</v>
      </c>
      <c r="C508" s="840" t="s">
        <v>1516</v>
      </c>
      <c r="D508" s="841">
        <v>8800</v>
      </c>
    </row>
    <row r="509" spans="1:4" s="26" customFormat="1" ht="22.5" x14ac:dyDescent="0.2">
      <c r="A509" s="838"/>
      <c r="B509" s="839" t="s">
        <v>1517</v>
      </c>
      <c r="C509" s="840" t="s">
        <v>1518</v>
      </c>
      <c r="D509" s="841">
        <v>3132</v>
      </c>
    </row>
    <row r="510" spans="1:4" s="26" customFormat="1" ht="22.5" x14ac:dyDescent="0.2">
      <c r="A510" s="838"/>
      <c r="B510" s="839" t="s">
        <v>1519</v>
      </c>
      <c r="C510" s="840" t="s">
        <v>1518</v>
      </c>
      <c r="D510" s="841">
        <v>3132</v>
      </c>
    </row>
    <row r="511" spans="1:4" s="26" customFormat="1" ht="22.5" x14ac:dyDescent="0.2">
      <c r="A511" s="838"/>
      <c r="B511" s="839" t="s">
        <v>1520</v>
      </c>
      <c r="C511" s="840" t="s">
        <v>1518</v>
      </c>
      <c r="D511" s="841">
        <v>3132</v>
      </c>
    </row>
    <row r="512" spans="1:4" s="26" customFormat="1" ht="22.5" x14ac:dyDescent="0.2">
      <c r="A512" s="838"/>
      <c r="B512" s="839" t="s">
        <v>1521</v>
      </c>
      <c r="C512" s="840" t="s">
        <v>1518</v>
      </c>
      <c r="D512" s="841">
        <v>3132</v>
      </c>
    </row>
    <row r="513" spans="1:4" s="26" customFormat="1" ht="22.5" x14ac:dyDescent="0.2">
      <c r="A513" s="838"/>
      <c r="B513" s="839" t="s">
        <v>1522</v>
      </c>
      <c r="C513" s="840" t="s">
        <v>1518</v>
      </c>
      <c r="D513" s="841">
        <v>3132</v>
      </c>
    </row>
    <row r="514" spans="1:4" s="26" customFormat="1" ht="22.5" x14ac:dyDescent="0.2">
      <c r="A514" s="838"/>
      <c r="B514" s="839" t="s">
        <v>1523</v>
      </c>
      <c r="C514" s="840" t="s">
        <v>1518</v>
      </c>
      <c r="D514" s="841">
        <v>3132</v>
      </c>
    </row>
    <row r="515" spans="1:4" s="26" customFormat="1" ht="22.5" x14ac:dyDescent="0.2">
      <c r="A515" s="838"/>
      <c r="B515" s="839" t="s">
        <v>1524</v>
      </c>
      <c r="C515" s="840" t="s">
        <v>1525</v>
      </c>
      <c r="D515" s="841">
        <v>4872</v>
      </c>
    </row>
    <row r="516" spans="1:4" s="26" customFormat="1" x14ac:dyDescent="0.2">
      <c r="A516" s="838"/>
      <c r="B516" s="839" t="s">
        <v>1526</v>
      </c>
      <c r="C516" s="840" t="s">
        <v>1527</v>
      </c>
      <c r="D516" s="841">
        <v>5626</v>
      </c>
    </row>
    <row r="517" spans="1:4" s="26" customFormat="1" x14ac:dyDescent="0.2">
      <c r="A517" s="838"/>
      <c r="B517" s="839" t="s">
        <v>1528</v>
      </c>
      <c r="C517" s="840" t="s">
        <v>1527</v>
      </c>
      <c r="D517" s="841">
        <v>5626</v>
      </c>
    </row>
    <row r="518" spans="1:4" s="26" customFormat="1" x14ac:dyDescent="0.2">
      <c r="A518" s="838"/>
      <c r="B518" s="839" t="s">
        <v>1529</v>
      </c>
      <c r="C518" s="840" t="s">
        <v>1527</v>
      </c>
      <c r="D518" s="841">
        <v>5626</v>
      </c>
    </row>
    <row r="519" spans="1:4" s="26" customFormat="1" x14ac:dyDescent="0.2">
      <c r="A519" s="838"/>
      <c r="B519" s="839" t="s">
        <v>1530</v>
      </c>
      <c r="C519" s="840" t="s">
        <v>1527</v>
      </c>
      <c r="D519" s="841">
        <v>5626</v>
      </c>
    </row>
    <row r="520" spans="1:4" s="26" customFormat="1" x14ac:dyDescent="0.2">
      <c r="A520" s="838"/>
      <c r="B520" s="839" t="s">
        <v>1531</v>
      </c>
      <c r="C520" s="840" t="s">
        <v>1527</v>
      </c>
      <c r="D520" s="841">
        <v>5626</v>
      </c>
    </row>
    <row r="521" spans="1:4" s="26" customFormat="1" x14ac:dyDescent="0.2">
      <c r="A521" s="838"/>
      <c r="B521" s="839" t="s">
        <v>1532</v>
      </c>
      <c r="C521" s="840" t="s">
        <v>1527</v>
      </c>
      <c r="D521" s="842">
        <v>5626</v>
      </c>
    </row>
    <row r="522" spans="1:4" s="26" customFormat="1" x14ac:dyDescent="0.2">
      <c r="A522" s="838"/>
      <c r="B522" s="839" t="s">
        <v>1533</v>
      </c>
      <c r="C522" s="840" t="s">
        <v>1527</v>
      </c>
      <c r="D522" s="842">
        <v>5626</v>
      </c>
    </row>
    <row r="523" spans="1:4" s="26" customFormat="1" x14ac:dyDescent="0.2">
      <c r="A523" s="838"/>
      <c r="B523" s="843" t="s">
        <v>1534</v>
      </c>
      <c r="C523" s="819" t="s">
        <v>1548</v>
      </c>
      <c r="D523" s="815">
        <v>12699</v>
      </c>
    </row>
    <row r="524" spans="1:4" s="26" customFormat="1" x14ac:dyDescent="0.2">
      <c r="A524" s="838"/>
      <c r="B524" s="843" t="s">
        <v>1535</v>
      </c>
      <c r="C524" s="819" t="s">
        <v>1548</v>
      </c>
      <c r="D524" s="815">
        <v>12699</v>
      </c>
    </row>
    <row r="525" spans="1:4" s="26" customFormat="1" x14ac:dyDescent="0.2">
      <c r="A525" s="838"/>
      <c r="B525" s="843" t="s">
        <v>1536</v>
      </c>
      <c r="C525" s="819" t="s">
        <v>1549</v>
      </c>
      <c r="D525" s="815">
        <v>6032</v>
      </c>
    </row>
    <row r="526" spans="1:4" s="26" customFormat="1" x14ac:dyDescent="0.2">
      <c r="A526" s="838"/>
      <c r="B526" s="843" t="s">
        <v>1537</v>
      </c>
      <c r="C526" s="819" t="s">
        <v>1549</v>
      </c>
      <c r="D526" s="815">
        <v>6032</v>
      </c>
    </row>
    <row r="527" spans="1:4" s="26" customFormat="1" x14ac:dyDescent="0.2">
      <c r="A527" s="838"/>
      <c r="B527" s="843" t="s">
        <v>1538</v>
      </c>
      <c r="C527" s="819" t="s">
        <v>1549</v>
      </c>
      <c r="D527" s="815">
        <v>6032</v>
      </c>
    </row>
    <row r="528" spans="1:4" s="26" customFormat="1" x14ac:dyDescent="0.2">
      <c r="A528" s="838"/>
      <c r="B528" s="837" t="s">
        <v>1539</v>
      </c>
      <c r="C528" s="819" t="s">
        <v>1549</v>
      </c>
      <c r="D528" s="815">
        <v>6032</v>
      </c>
    </row>
    <row r="529" spans="1:4" s="26" customFormat="1" x14ac:dyDescent="0.2">
      <c r="A529" s="838"/>
      <c r="B529" s="843" t="s">
        <v>1540</v>
      </c>
      <c r="C529" s="819" t="s">
        <v>1550</v>
      </c>
      <c r="D529" s="815">
        <v>6032</v>
      </c>
    </row>
    <row r="530" spans="1:4" s="26" customFormat="1" x14ac:dyDescent="0.2">
      <c r="A530" s="838"/>
      <c r="B530" s="843" t="s">
        <v>1541</v>
      </c>
      <c r="C530" s="819" t="s">
        <v>1550</v>
      </c>
      <c r="D530" s="815">
        <v>6032</v>
      </c>
    </row>
    <row r="531" spans="1:4" s="26" customFormat="1" x14ac:dyDescent="0.2">
      <c r="A531" s="838"/>
      <c r="B531" s="843" t="s">
        <v>1542</v>
      </c>
      <c r="C531" s="819" t="s">
        <v>1501</v>
      </c>
      <c r="D531" s="815">
        <v>3828</v>
      </c>
    </row>
    <row r="532" spans="1:4" s="26" customFormat="1" x14ac:dyDescent="0.2">
      <c r="A532" s="838"/>
      <c r="B532" s="843" t="s">
        <v>1543</v>
      </c>
      <c r="C532" s="819" t="s">
        <v>1501</v>
      </c>
      <c r="D532" s="815">
        <v>3828</v>
      </c>
    </row>
    <row r="533" spans="1:4" s="26" customFormat="1" x14ac:dyDescent="0.2">
      <c r="A533" s="838"/>
      <c r="B533" s="843" t="s">
        <v>1544</v>
      </c>
      <c r="C533" s="819" t="s">
        <v>1501</v>
      </c>
      <c r="D533" s="815">
        <v>3828</v>
      </c>
    </row>
    <row r="534" spans="1:4" s="26" customFormat="1" x14ac:dyDescent="0.2">
      <c r="A534" s="838"/>
      <c r="B534" s="837" t="s">
        <v>1545</v>
      </c>
      <c r="C534" s="819" t="s">
        <v>1501</v>
      </c>
      <c r="D534" s="815">
        <v>3828</v>
      </c>
    </row>
    <row r="535" spans="1:4" s="26" customFormat="1" x14ac:dyDescent="0.2">
      <c r="A535" s="838"/>
      <c r="B535" s="843" t="s">
        <v>1546</v>
      </c>
      <c r="C535" s="819" t="s">
        <v>1551</v>
      </c>
      <c r="D535" s="815">
        <v>5241.3</v>
      </c>
    </row>
    <row r="536" spans="1:4" s="26" customFormat="1" x14ac:dyDescent="0.2">
      <c r="A536" s="838"/>
      <c r="B536" s="837" t="s">
        <v>1547</v>
      </c>
      <c r="C536" s="819" t="s">
        <v>1552</v>
      </c>
      <c r="D536" s="815">
        <v>8123.03</v>
      </c>
    </row>
    <row r="537" spans="1:4" s="26" customFormat="1" x14ac:dyDescent="0.2">
      <c r="A537" s="838"/>
      <c r="B537" s="839"/>
      <c r="C537" s="840"/>
      <c r="D537" s="842"/>
    </row>
    <row r="538" spans="1:4" s="26" customFormat="1" x14ac:dyDescent="0.25">
      <c r="A538" s="1005"/>
      <c r="B538" s="1005"/>
      <c r="C538" s="1005"/>
      <c r="D538" s="1005"/>
    </row>
    <row r="543" spans="1:4" x14ac:dyDescent="0.3">
      <c r="B543" s="474" t="s">
        <v>1612</v>
      </c>
    </row>
    <row r="544" spans="1:4" x14ac:dyDescent="0.3">
      <c r="B544" s="474" t="s">
        <v>1613</v>
      </c>
    </row>
    <row r="545" spans="2:2" x14ac:dyDescent="0.3">
      <c r="B545" s="66"/>
    </row>
    <row r="546" spans="2:2" x14ac:dyDescent="0.3">
      <c r="B546" s="66"/>
    </row>
    <row r="547" spans="2:2" x14ac:dyDescent="0.3">
      <c r="B547" s="66"/>
    </row>
    <row r="548" spans="2:2" x14ac:dyDescent="0.3">
      <c r="B548" s="474" t="s">
        <v>1614</v>
      </c>
    </row>
    <row r="549" spans="2:2" x14ac:dyDescent="0.3">
      <c r="B549" s="474" t="s">
        <v>1615</v>
      </c>
    </row>
  </sheetData>
  <mergeCells count="9">
    <mergeCell ref="A538:D538"/>
    <mergeCell ref="C7:C8"/>
    <mergeCell ref="D7:D8"/>
    <mergeCell ref="A1:D1"/>
    <mergeCell ref="A2:D2"/>
    <mergeCell ref="A3:D3"/>
    <mergeCell ref="A4:D4"/>
    <mergeCell ref="A7:B8"/>
    <mergeCell ref="B5:C5"/>
  </mergeCells>
  <printOptions horizontalCentered="1"/>
  <pageMargins left="0.39370078740157483" right="0.39370078740157483" top="0.33" bottom="0.16" header="0.31496062992125984" footer="0.31496062992125984"/>
  <pageSetup scale="9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45"/>
  <sheetViews>
    <sheetView view="pageBreakPreview" zoomScaleNormal="100" zoomScaleSheetLayoutView="100" workbookViewId="0">
      <selection activeCell="G8" sqref="G8"/>
    </sheetView>
  </sheetViews>
  <sheetFormatPr baseColWidth="10" defaultColWidth="11.42578125" defaultRowHeight="16.5" x14ac:dyDescent="0.3"/>
  <cols>
    <col min="1" max="1" width="3.7109375" style="158" customWidth="1"/>
    <col min="2" max="2" width="35.7109375" style="126" customWidth="1"/>
    <col min="3" max="3" width="26.7109375" style="126" customWidth="1"/>
    <col min="4" max="5" width="15.7109375" style="126" customWidth="1"/>
    <col min="6" max="16384" width="11.42578125" style="126"/>
  </cols>
  <sheetData>
    <row r="1" spans="1:5" x14ac:dyDescent="0.3">
      <c r="A1" s="462"/>
      <c r="B1" s="508"/>
      <c r="C1" s="509" t="s">
        <v>76</v>
      </c>
      <c r="D1" s="508"/>
      <c r="E1" s="439"/>
    </row>
    <row r="2" spans="1:5" x14ac:dyDescent="0.3">
      <c r="A2" s="960" t="s">
        <v>1644</v>
      </c>
      <c r="B2" s="960"/>
      <c r="C2" s="960"/>
      <c r="D2" s="960"/>
      <c r="E2" s="960"/>
    </row>
    <row r="3" spans="1:5" x14ac:dyDescent="0.3">
      <c r="C3" s="725" t="s">
        <v>587</v>
      </c>
    </row>
    <row r="4" spans="1:5" x14ac:dyDescent="0.3">
      <c r="B4" s="712"/>
      <c r="C4" s="726" t="s">
        <v>590</v>
      </c>
      <c r="D4" s="712"/>
      <c r="E4" s="712"/>
    </row>
    <row r="5" spans="1:5" x14ac:dyDescent="0.3">
      <c r="A5" s="712"/>
      <c r="B5" s="712"/>
      <c r="C5" s="712" t="s">
        <v>546</v>
      </c>
      <c r="D5" s="68" t="s">
        <v>79</v>
      </c>
      <c r="E5" s="510" t="s">
        <v>589</v>
      </c>
    </row>
    <row r="6" spans="1:5" ht="6.75" customHeight="1" thickBot="1" x14ac:dyDescent="0.35"/>
    <row r="7" spans="1:5" s="278" customFormat="1" ht="30" customHeight="1" x14ac:dyDescent="0.25">
      <c r="A7" s="961" t="s">
        <v>578</v>
      </c>
      <c r="B7" s="962"/>
      <c r="C7" s="511" t="s">
        <v>579</v>
      </c>
      <c r="D7" s="715" t="s">
        <v>580</v>
      </c>
      <c r="E7" s="717" t="s">
        <v>581</v>
      </c>
    </row>
    <row r="8" spans="1:5" s="278" customFormat="1" ht="30" customHeight="1" thickBot="1" x14ac:dyDescent="0.3">
      <c r="A8" s="963"/>
      <c r="B8" s="964"/>
      <c r="C8" s="444" t="s">
        <v>476</v>
      </c>
      <c r="D8" s="444" t="s">
        <v>477</v>
      </c>
      <c r="E8" s="445" t="s">
        <v>582</v>
      </c>
    </row>
    <row r="9" spans="1:5" s="278" customFormat="1" ht="12.75" customHeight="1" x14ac:dyDescent="0.25">
      <c r="A9" s="965"/>
      <c r="B9" s="1009"/>
      <c r="C9" s="966"/>
      <c r="D9" s="966"/>
      <c r="E9" s="1010"/>
    </row>
    <row r="10" spans="1:5" s="278" customFormat="1" ht="20.25" customHeight="1" x14ac:dyDescent="0.25">
      <c r="A10" s="446">
        <v>1</v>
      </c>
      <c r="B10" s="512"/>
      <c r="C10" s="448"/>
      <c r="D10" s="449"/>
      <c r="E10" s="459" t="str">
        <f>IF(B10&lt;&gt;"",C10+D10,"")</f>
        <v/>
      </c>
    </row>
    <row r="11" spans="1:5" s="278" customFormat="1" ht="20.25" customHeight="1" x14ac:dyDescent="0.25">
      <c r="A11" s="446">
        <v>2</v>
      </c>
      <c r="B11" s="512"/>
      <c r="C11" s="448"/>
      <c r="D11" s="449"/>
      <c r="E11" s="459" t="str">
        <f t="shared" ref="E11:E19" si="0">IF(B11&lt;&gt;"",C11+D11,"")</f>
        <v/>
      </c>
    </row>
    <row r="12" spans="1:5" s="278" customFormat="1" ht="20.25" customHeight="1" x14ac:dyDescent="0.25">
      <c r="A12" s="446">
        <v>3</v>
      </c>
      <c r="B12" s="512" t="s">
        <v>749</v>
      </c>
      <c r="C12" s="448"/>
      <c r="D12" s="449"/>
      <c r="E12" s="459">
        <f t="shared" si="0"/>
        <v>0</v>
      </c>
    </row>
    <row r="13" spans="1:5" s="278" customFormat="1" ht="20.25" customHeight="1" x14ac:dyDescent="0.25">
      <c r="A13" s="446">
        <v>4</v>
      </c>
      <c r="B13" s="512"/>
      <c r="C13" s="448"/>
      <c r="D13" s="449"/>
      <c r="E13" s="459" t="str">
        <f t="shared" si="0"/>
        <v/>
      </c>
    </row>
    <row r="14" spans="1:5" s="278" customFormat="1" ht="20.25" customHeight="1" x14ac:dyDescent="0.25">
      <c r="A14" s="446">
        <v>5</v>
      </c>
      <c r="B14" s="512"/>
      <c r="C14" s="448"/>
      <c r="D14" s="449"/>
      <c r="E14" s="459" t="str">
        <f t="shared" si="0"/>
        <v/>
      </c>
    </row>
    <row r="15" spans="1:5" s="278" customFormat="1" ht="20.25" customHeight="1" x14ac:dyDescent="0.25">
      <c r="A15" s="446">
        <v>6</v>
      </c>
      <c r="B15" s="512"/>
      <c r="C15" s="448"/>
      <c r="D15" s="449"/>
      <c r="E15" s="459" t="str">
        <f t="shared" si="0"/>
        <v/>
      </c>
    </row>
    <row r="16" spans="1:5" s="278" customFormat="1" ht="20.25" customHeight="1" x14ac:dyDescent="0.25">
      <c r="A16" s="446">
        <v>7</v>
      </c>
      <c r="B16" s="512"/>
      <c r="C16" s="448"/>
      <c r="D16" s="449"/>
      <c r="E16" s="459" t="str">
        <f t="shared" si="0"/>
        <v/>
      </c>
    </row>
    <row r="17" spans="1:7" s="278" customFormat="1" ht="20.25" customHeight="1" x14ac:dyDescent="0.25">
      <c r="A17" s="446">
        <v>8</v>
      </c>
      <c r="B17" s="512"/>
      <c r="C17" s="448"/>
      <c r="D17" s="449"/>
      <c r="E17" s="459" t="str">
        <f t="shared" si="0"/>
        <v/>
      </c>
    </row>
    <row r="18" spans="1:7" s="278" customFormat="1" ht="20.25" customHeight="1" x14ac:dyDescent="0.25">
      <c r="A18" s="446">
        <v>9</v>
      </c>
      <c r="B18" s="512"/>
      <c r="C18" s="448"/>
      <c r="D18" s="449"/>
      <c r="E18" s="459" t="str">
        <f t="shared" si="0"/>
        <v/>
      </c>
    </row>
    <row r="19" spans="1:7" s="278" customFormat="1" ht="20.25" customHeight="1" x14ac:dyDescent="0.25">
      <c r="A19" s="446">
        <v>10</v>
      </c>
      <c r="B19" s="512"/>
      <c r="C19" s="448"/>
      <c r="D19" s="449"/>
      <c r="E19" s="459" t="str">
        <f t="shared" si="0"/>
        <v/>
      </c>
    </row>
    <row r="20" spans="1:7" s="278" customFormat="1" ht="20.25" customHeight="1" x14ac:dyDescent="0.25">
      <c r="A20" s="446"/>
      <c r="B20" s="513" t="s">
        <v>583</v>
      </c>
      <c r="C20" s="457">
        <f>SUM(C10:C19)</f>
        <v>0</v>
      </c>
      <c r="D20" s="457">
        <f>SUM(D10:D19)</f>
        <v>0</v>
      </c>
      <c r="E20" s="459">
        <f>C20+D20</f>
        <v>0</v>
      </c>
      <c r="G20" s="514"/>
    </row>
    <row r="21" spans="1:7" s="278" customFormat="1" ht="21" customHeight="1" x14ac:dyDescent="0.25">
      <c r="A21" s="957" t="s">
        <v>584</v>
      </c>
      <c r="B21" s="958"/>
      <c r="C21" s="958"/>
      <c r="D21" s="958"/>
      <c r="E21" s="959"/>
    </row>
    <row r="22" spans="1:7" s="278" customFormat="1" ht="20.25" customHeight="1" x14ac:dyDescent="0.25">
      <c r="A22" s="446">
        <v>1</v>
      </c>
      <c r="B22" s="447"/>
      <c r="C22" s="448"/>
      <c r="D22" s="449"/>
      <c r="E22" s="459" t="str">
        <f>IF(B22&lt;&gt;"",C22+D22,"")</f>
        <v/>
      </c>
    </row>
    <row r="23" spans="1:7" s="278" customFormat="1" ht="20.25" customHeight="1" x14ac:dyDescent="0.25">
      <c r="A23" s="446">
        <v>2</v>
      </c>
      <c r="B23" s="447"/>
      <c r="C23" s="448"/>
      <c r="D23" s="449"/>
      <c r="E23" s="459" t="str">
        <f t="shared" ref="E23:E31" si="1">IF(B23&lt;&gt;"",C23+D23,"")</f>
        <v/>
      </c>
    </row>
    <row r="24" spans="1:7" s="278" customFormat="1" ht="20.25" customHeight="1" x14ac:dyDescent="0.25">
      <c r="A24" s="446">
        <v>3</v>
      </c>
      <c r="B24" s="447"/>
      <c r="C24" s="448"/>
      <c r="D24" s="449"/>
      <c r="E24" s="459" t="str">
        <f t="shared" si="1"/>
        <v/>
      </c>
    </row>
    <row r="25" spans="1:7" s="278" customFormat="1" ht="20.25" customHeight="1" x14ac:dyDescent="0.25">
      <c r="A25" s="446">
        <v>4</v>
      </c>
      <c r="B25" s="447"/>
      <c r="C25" s="448"/>
      <c r="D25" s="449"/>
      <c r="E25" s="459" t="str">
        <f t="shared" si="1"/>
        <v/>
      </c>
    </row>
    <row r="26" spans="1:7" s="278" customFormat="1" ht="20.25" customHeight="1" x14ac:dyDescent="0.25">
      <c r="A26" s="446">
        <v>5</v>
      </c>
      <c r="B26" s="447"/>
      <c r="C26" s="448"/>
      <c r="D26" s="449"/>
      <c r="E26" s="459" t="str">
        <f t="shared" si="1"/>
        <v/>
      </c>
    </row>
    <row r="27" spans="1:7" s="278" customFormat="1" ht="20.25" customHeight="1" x14ac:dyDescent="0.25">
      <c r="A27" s="446">
        <v>6</v>
      </c>
      <c r="B27" s="447"/>
      <c r="C27" s="448"/>
      <c r="D27" s="449"/>
      <c r="E27" s="459" t="str">
        <f t="shared" si="1"/>
        <v/>
      </c>
    </row>
    <row r="28" spans="1:7" s="278" customFormat="1" ht="20.25" customHeight="1" x14ac:dyDescent="0.25">
      <c r="A28" s="446">
        <v>7</v>
      </c>
      <c r="B28" s="447"/>
      <c r="C28" s="448"/>
      <c r="D28" s="449"/>
      <c r="E28" s="459" t="str">
        <f t="shared" si="1"/>
        <v/>
      </c>
    </row>
    <row r="29" spans="1:7" s="278" customFormat="1" ht="20.25" customHeight="1" x14ac:dyDescent="0.25">
      <c r="A29" s="446">
        <v>8</v>
      </c>
      <c r="B29" s="447"/>
      <c r="C29" s="448"/>
      <c r="D29" s="449"/>
      <c r="E29" s="459" t="str">
        <f t="shared" si="1"/>
        <v/>
      </c>
    </row>
    <row r="30" spans="1:7" s="278" customFormat="1" ht="20.25" customHeight="1" x14ac:dyDescent="0.25">
      <c r="A30" s="446">
        <v>9</v>
      </c>
      <c r="B30" s="447"/>
      <c r="C30" s="448"/>
      <c r="D30" s="449"/>
      <c r="E30" s="459" t="str">
        <f t="shared" si="1"/>
        <v/>
      </c>
    </row>
    <row r="31" spans="1:7" s="278" customFormat="1" ht="20.25" customHeight="1" x14ac:dyDescent="0.25">
      <c r="A31" s="446">
        <v>10</v>
      </c>
      <c r="B31" s="447"/>
      <c r="C31" s="448"/>
      <c r="D31" s="449"/>
      <c r="E31" s="459" t="str">
        <f t="shared" si="1"/>
        <v/>
      </c>
    </row>
    <row r="32" spans="1:7" s="453" customFormat="1" ht="22.5" customHeight="1" thickBot="1" x14ac:dyDescent="0.35">
      <c r="A32" s="446"/>
      <c r="B32" s="452" t="s">
        <v>585</v>
      </c>
      <c r="C32" s="517">
        <f>SUM(C22:C31)</f>
        <v>0</v>
      </c>
      <c r="D32" s="518">
        <f>SUM(D22:D31)</f>
        <v>0</v>
      </c>
      <c r="E32" s="516">
        <f>C32+D32</f>
        <v>0</v>
      </c>
    </row>
    <row r="33" spans="1:10" ht="30" customHeight="1" thickBot="1" x14ac:dyDescent="0.35">
      <c r="A33" s="454"/>
      <c r="B33" s="455" t="s">
        <v>483</v>
      </c>
      <c r="C33" s="460">
        <f>SUM(C20,C32)</f>
        <v>0</v>
      </c>
      <c r="D33" s="460">
        <f t="shared" ref="D33:E33" si="2">SUM(D20,D32)</f>
        <v>0</v>
      </c>
      <c r="E33" s="461">
        <f t="shared" si="2"/>
        <v>0</v>
      </c>
    </row>
    <row r="34" spans="1:10" ht="12.75" customHeight="1" x14ac:dyDescent="0.3">
      <c r="J34" s="456"/>
    </row>
    <row r="35" spans="1:10" ht="20.25" x14ac:dyDescent="0.3">
      <c r="B35" s="515" t="s">
        <v>586</v>
      </c>
    </row>
    <row r="39" spans="1:10" x14ac:dyDescent="0.3">
      <c r="B39" s="474" t="s">
        <v>1612</v>
      </c>
    </row>
    <row r="40" spans="1:10" x14ac:dyDescent="0.3">
      <c r="B40" s="474" t="s">
        <v>1613</v>
      </c>
    </row>
    <row r="41" spans="1:10" x14ac:dyDescent="0.3">
      <c r="B41" s="66"/>
    </row>
    <row r="42" spans="1:10" x14ac:dyDescent="0.3">
      <c r="B42" s="66"/>
    </row>
    <row r="43" spans="1:10" x14ac:dyDescent="0.3">
      <c r="B43" s="66"/>
    </row>
    <row r="44" spans="1:10" x14ac:dyDescent="0.3">
      <c r="B44" s="474" t="s">
        <v>1614</v>
      </c>
    </row>
    <row r="45" spans="1:10" x14ac:dyDescent="0.3">
      <c r="B45" s="474" t="s">
        <v>1615</v>
      </c>
    </row>
  </sheetData>
  <sheetProtection algorithmName="SHA-512" hashValue="gX2W7eBenEIBatghw2lzCFtkyYMcbISSam3sNjLyIxhZu3/+z/U3dspo3oRrP6ZOCK3QmIQun/8TOEnSrthZfA==" saltValue="vBBttIcYBr+ip+8gH26pQQ==" spinCount="100000" sheet="1" objects="1" scenarios="1"/>
  <mergeCells count="4">
    <mergeCell ref="A2:E2"/>
    <mergeCell ref="A7:B8"/>
    <mergeCell ref="A9:E9"/>
    <mergeCell ref="A21:E21"/>
  </mergeCells>
  <printOptions horizontalCentered="1"/>
  <pageMargins left="0.39370078740157483" right="0.39370078740157483" top="0.74803149606299213" bottom="0.74803149606299213" header="0.31496062992125984" footer="0.31496062992125984"/>
  <pageSetup scale="8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7"/>
    <pageSetUpPr fitToPage="1"/>
  </sheetPr>
  <dimension ref="A1:G81"/>
  <sheetViews>
    <sheetView zoomScaleNormal="100" zoomScaleSheetLayoutView="75" workbookViewId="0">
      <selection activeCell="A2" sqref="A2:D2"/>
    </sheetView>
  </sheetViews>
  <sheetFormatPr baseColWidth="10" defaultColWidth="11.42578125" defaultRowHeight="16.5" x14ac:dyDescent="0.3"/>
  <cols>
    <col min="1" max="1" width="1.5703125" style="128" customWidth="1"/>
    <col min="2" max="2" width="101.7109375" style="128" bestFit="1" customWidth="1"/>
    <col min="3" max="3" width="18.42578125" style="128" customWidth="1"/>
    <col min="4" max="4" width="18" style="568" customWidth="1"/>
    <col min="5" max="5" width="59.42578125" style="127" customWidth="1"/>
    <col min="6" max="6" width="22.7109375" style="127" customWidth="1"/>
    <col min="7" max="16384" width="11.42578125" style="127"/>
  </cols>
  <sheetData>
    <row r="1" spans="1:7" s="126" customFormat="1" ht="20.25" x14ac:dyDescent="0.3">
      <c r="A1" s="886" t="s">
        <v>76</v>
      </c>
      <c r="B1" s="886"/>
      <c r="C1" s="886"/>
      <c r="D1" s="886"/>
      <c r="E1" s="553"/>
      <c r="G1" s="68"/>
    </row>
    <row r="2" spans="1:7" ht="15.75" x14ac:dyDescent="0.25">
      <c r="A2" s="885" t="s">
        <v>1620</v>
      </c>
      <c r="B2" s="885"/>
      <c r="C2" s="885"/>
      <c r="D2" s="885"/>
    </row>
    <row r="3" spans="1:7" x14ac:dyDescent="0.25">
      <c r="A3" s="884" t="s">
        <v>587</v>
      </c>
      <c r="B3" s="884"/>
      <c r="C3" s="884"/>
      <c r="D3" s="884"/>
    </row>
    <row r="4" spans="1:7" x14ac:dyDescent="0.25">
      <c r="A4" s="884" t="s">
        <v>590</v>
      </c>
      <c r="B4" s="884"/>
      <c r="C4" s="884"/>
      <c r="D4" s="884"/>
    </row>
    <row r="5" spans="1:7" s="128" customFormat="1" ht="17.25" thickBot="1" x14ac:dyDescent="0.35">
      <c r="A5" s="887" t="s">
        <v>139</v>
      </c>
      <c r="B5" s="887"/>
      <c r="C5" s="68" t="s">
        <v>79</v>
      </c>
      <c r="D5" s="562" t="s">
        <v>589</v>
      </c>
    </row>
    <row r="6" spans="1:7" ht="27.75" customHeight="1" thickBot="1" x14ac:dyDescent="0.3">
      <c r="A6" s="882"/>
      <c r="B6" s="883"/>
      <c r="C6" s="153">
        <v>2016</v>
      </c>
      <c r="D6" s="563" t="s">
        <v>1616</v>
      </c>
    </row>
    <row r="7" spans="1:7" ht="17.25" thickTop="1" x14ac:dyDescent="0.25">
      <c r="A7" s="129" t="s">
        <v>140</v>
      </c>
      <c r="B7" s="130"/>
      <c r="C7" s="131"/>
      <c r="D7" s="564"/>
    </row>
    <row r="8" spans="1:7" x14ac:dyDescent="0.25">
      <c r="A8" s="132" t="s">
        <v>141</v>
      </c>
      <c r="B8" s="133"/>
      <c r="C8" s="143">
        <f>SUM(C9:C16)</f>
        <v>0</v>
      </c>
      <c r="D8" s="144">
        <f>SUM(D9:D16)</f>
        <v>0</v>
      </c>
    </row>
    <row r="9" spans="1:7" x14ac:dyDescent="0.25">
      <c r="A9" s="134"/>
      <c r="B9" s="135" t="s">
        <v>142</v>
      </c>
      <c r="C9" s="136" t="s">
        <v>143</v>
      </c>
      <c r="D9" s="137" t="s">
        <v>143</v>
      </c>
    </row>
    <row r="10" spans="1:7" x14ac:dyDescent="0.25">
      <c r="A10" s="134"/>
      <c r="B10" s="135" t="s">
        <v>144</v>
      </c>
      <c r="C10" s="136"/>
      <c r="D10" s="137"/>
    </row>
    <row r="11" spans="1:7" x14ac:dyDescent="0.25">
      <c r="A11" s="134"/>
      <c r="B11" s="135" t="s">
        <v>145</v>
      </c>
      <c r="C11" s="136"/>
      <c r="D11" s="137"/>
    </row>
    <row r="12" spans="1:7" x14ac:dyDescent="0.25">
      <c r="A12" s="134"/>
      <c r="B12" s="135" t="s">
        <v>146</v>
      </c>
      <c r="C12" s="136"/>
      <c r="D12" s="137"/>
    </row>
    <row r="13" spans="1:7" ht="18.75" x14ac:dyDescent="0.25">
      <c r="A13" s="134"/>
      <c r="B13" s="135" t="s">
        <v>147</v>
      </c>
      <c r="C13" s="136"/>
      <c r="D13" s="137"/>
    </row>
    <row r="14" spans="1:7" x14ac:dyDescent="0.25">
      <c r="A14" s="134"/>
      <c r="B14" s="135" t="s">
        <v>148</v>
      </c>
      <c r="C14" s="136"/>
      <c r="D14" s="137"/>
    </row>
    <row r="15" spans="1:7" x14ac:dyDescent="0.25">
      <c r="A15" s="134"/>
      <c r="B15" s="135" t="s">
        <v>149</v>
      </c>
      <c r="C15" s="136"/>
      <c r="D15" s="137"/>
    </row>
    <row r="16" spans="1:7" x14ac:dyDescent="0.25">
      <c r="A16" s="134"/>
      <c r="B16" s="135" t="s">
        <v>150</v>
      </c>
      <c r="C16" s="136"/>
      <c r="D16" s="137"/>
    </row>
    <row r="17" spans="1:4" x14ac:dyDescent="0.25">
      <c r="A17" s="132" t="s">
        <v>151</v>
      </c>
      <c r="B17" s="133"/>
      <c r="C17" s="143">
        <f>SUM(C18:C19)</f>
        <v>232253640.22999999</v>
      </c>
      <c r="D17" s="144">
        <f>SUM(D18:D19)</f>
        <v>320351966.88999999</v>
      </c>
    </row>
    <row r="18" spans="1:4" x14ac:dyDescent="0.25">
      <c r="A18" s="134"/>
      <c r="B18" s="135" t="s">
        <v>152</v>
      </c>
      <c r="C18" s="136">
        <v>29670000</v>
      </c>
      <c r="D18" s="137">
        <v>175442113.72</v>
      </c>
    </row>
    <row r="19" spans="1:4" x14ac:dyDescent="0.25">
      <c r="A19" s="134"/>
      <c r="B19" s="135" t="s">
        <v>153</v>
      </c>
      <c r="C19" s="136">
        <v>202583640.22999999</v>
      </c>
      <c r="D19" s="729">
        <v>144909853.16999999</v>
      </c>
    </row>
    <row r="20" spans="1:4" x14ac:dyDescent="0.25">
      <c r="A20" s="132" t="s">
        <v>154</v>
      </c>
      <c r="B20" s="133"/>
      <c r="C20" s="145">
        <f>SUM(C21:C25)</f>
        <v>2126985.31</v>
      </c>
      <c r="D20" s="144">
        <f>SUM(D21:D25)</f>
        <v>1653791.02</v>
      </c>
    </row>
    <row r="21" spans="1:4" x14ac:dyDescent="0.25">
      <c r="A21" s="134"/>
      <c r="B21" s="135" t="s">
        <v>155</v>
      </c>
      <c r="C21" s="136">
        <v>2126985.31</v>
      </c>
      <c r="D21" s="729">
        <v>1653791.02</v>
      </c>
    </row>
    <row r="22" spans="1:4" x14ac:dyDescent="0.25">
      <c r="A22" s="134"/>
      <c r="B22" s="135" t="s">
        <v>156</v>
      </c>
      <c r="C22" s="136"/>
      <c r="D22" s="137"/>
    </row>
    <row r="23" spans="1:4" x14ac:dyDescent="0.25">
      <c r="A23" s="134"/>
      <c r="B23" s="135" t="s">
        <v>157</v>
      </c>
      <c r="C23" s="136"/>
      <c r="D23" s="137"/>
    </row>
    <row r="24" spans="1:4" x14ac:dyDescent="0.25">
      <c r="A24" s="134"/>
      <c r="B24" s="135" t="s">
        <v>158</v>
      </c>
      <c r="C24" s="136"/>
      <c r="D24" s="137"/>
    </row>
    <row r="25" spans="1:4" x14ac:dyDescent="0.25">
      <c r="A25" s="134"/>
      <c r="B25" s="135" t="s">
        <v>159</v>
      </c>
      <c r="C25" s="136"/>
      <c r="D25" s="137" t="s">
        <v>143</v>
      </c>
    </row>
    <row r="26" spans="1:4" x14ac:dyDescent="0.25">
      <c r="A26" s="134"/>
      <c r="B26" s="131"/>
      <c r="C26" s="136" t="s">
        <v>143</v>
      </c>
      <c r="D26" s="137"/>
    </row>
    <row r="27" spans="1:4" x14ac:dyDescent="0.25">
      <c r="A27" s="138" t="s">
        <v>160</v>
      </c>
      <c r="B27" s="139"/>
      <c r="C27" s="146">
        <f>C20+C17+C8</f>
        <v>234380625.53999999</v>
      </c>
      <c r="D27" s="147">
        <f>D20+D17+D8</f>
        <v>322005757.90999997</v>
      </c>
    </row>
    <row r="28" spans="1:4" x14ac:dyDescent="0.25">
      <c r="A28" s="134"/>
      <c r="B28" s="131"/>
      <c r="C28" s="136"/>
      <c r="D28" s="137"/>
    </row>
    <row r="29" spans="1:4" x14ac:dyDescent="0.25">
      <c r="A29" s="129" t="s">
        <v>161</v>
      </c>
      <c r="B29" s="130"/>
      <c r="C29" s="136"/>
      <c r="D29" s="137"/>
    </row>
    <row r="30" spans="1:4" x14ac:dyDescent="0.25">
      <c r="A30" s="132" t="s">
        <v>162</v>
      </c>
      <c r="B30" s="133"/>
      <c r="C30" s="143">
        <f>SUM(C31:C33)</f>
        <v>11230425.210000001</v>
      </c>
      <c r="D30" s="144">
        <f>SUM(D31:D33)</f>
        <v>10991264.760000002</v>
      </c>
    </row>
    <row r="31" spans="1:4" x14ac:dyDescent="0.25">
      <c r="A31" s="134"/>
      <c r="B31" s="135" t="s">
        <v>163</v>
      </c>
      <c r="C31" s="136">
        <v>8782261.5600000005</v>
      </c>
      <c r="D31" s="729">
        <v>9143370.0700000003</v>
      </c>
    </row>
    <row r="32" spans="1:4" x14ac:dyDescent="0.25">
      <c r="A32" s="134"/>
      <c r="B32" s="135" t="s">
        <v>164</v>
      </c>
      <c r="C32" s="136">
        <v>884946.34</v>
      </c>
      <c r="D32" s="729">
        <v>788502.46</v>
      </c>
    </row>
    <row r="33" spans="1:4" x14ac:dyDescent="0.25">
      <c r="A33" s="134"/>
      <c r="B33" s="135" t="s">
        <v>165</v>
      </c>
      <c r="C33" s="136">
        <v>1563217.31</v>
      </c>
      <c r="D33" s="729">
        <v>1059392.23</v>
      </c>
    </row>
    <row r="34" spans="1:4" x14ac:dyDescent="0.25">
      <c r="A34" s="132" t="s">
        <v>153</v>
      </c>
      <c r="B34" s="133"/>
      <c r="C34" s="145">
        <f>SUM(C35:C43)</f>
        <v>0</v>
      </c>
      <c r="D34" s="148">
        <f>SUM(D35:D43)</f>
        <v>0</v>
      </c>
    </row>
    <row r="35" spans="1:4" x14ac:dyDescent="0.25">
      <c r="A35" s="134"/>
      <c r="B35" s="135" t="s">
        <v>166</v>
      </c>
      <c r="C35" s="136"/>
      <c r="D35" s="137"/>
    </row>
    <row r="36" spans="1:4" x14ac:dyDescent="0.25">
      <c r="A36" s="134"/>
      <c r="B36" s="135" t="s">
        <v>167</v>
      </c>
      <c r="C36" s="136"/>
      <c r="D36" s="137"/>
    </row>
    <row r="37" spans="1:4" x14ac:dyDescent="0.25">
      <c r="A37" s="134"/>
      <c r="B37" s="135" t="s">
        <v>168</v>
      </c>
      <c r="C37" s="136"/>
      <c r="D37" s="137"/>
    </row>
    <row r="38" spans="1:4" x14ac:dyDescent="0.25">
      <c r="A38" s="134"/>
      <c r="B38" s="135" t="s">
        <v>169</v>
      </c>
      <c r="C38" s="136"/>
      <c r="D38" s="137"/>
    </row>
    <row r="39" spans="1:4" x14ac:dyDescent="0.25">
      <c r="A39" s="134"/>
      <c r="B39" s="135" t="s">
        <v>170</v>
      </c>
      <c r="C39" s="136"/>
      <c r="D39" s="137"/>
    </row>
    <row r="40" spans="1:4" x14ac:dyDescent="0.25">
      <c r="A40" s="134"/>
      <c r="B40" s="135" t="s">
        <v>171</v>
      </c>
      <c r="C40" s="136"/>
      <c r="D40" s="137"/>
    </row>
    <row r="41" spans="1:4" x14ac:dyDescent="0.25">
      <c r="A41" s="134"/>
      <c r="B41" s="135" t="s">
        <v>172</v>
      </c>
      <c r="C41" s="136"/>
      <c r="D41" s="137"/>
    </row>
    <row r="42" spans="1:4" x14ac:dyDescent="0.25">
      <c r="A42" s="134"/>
      <c r="B42" s="135" t="s">
        <v>173</v>
      </c>
      <c r="C42" s="136"/>
      <c r="D42" s="137"/>
    </row>
    <row r="43" spans="1:4" x14ac:dyDescent="0.25">
      <c r="A43" s="134"/>
      <c r="B43" s="135" t="s">
        <v>174</v>
      </c>
      <c r="C43" s="136"/>
      <c r="D43" s="137"/>
    </row>
    <row r="44" spans="1:4" x14ac:dyDescent="0.25">
      <c r="A44" s="132" t="s">
        <v>175</v>
      </c>
      <c r="B44" s="133"/>
      <c r="C44" s="145">
        <f>SUM(C45:C47)</f>
        <v>0</v>
      </c>
      <c r="D44" s="148">
        <f>SUM(D45:D47)</f>
        <v>0</v>
      </c>
    </row>
    <row r="45" spans="1:4" x14ac:dyDescent="0.25">
      <c r="A45" s="134"/>
      <c r="B45" s="135" t="s">
        <v>176</v>
      </c>
      <c r="C45" s="136"/>
      <c r="D45" s="137"/>
    </row>
    <row r="46" spans="1:4" x14ac:dyDescent="0.25">
      <c r="A46" s="134"/>
      <c r="B46" s="135" t="s">
        <v>124</v>
      </c>
      <c r="C46" s="136"/>
      <c r="D46" s="137"/>
    </row>
    <row r="47" spans="1:4" x14ac:dyDescent="0.25">
      <c r="A47" s="134"/>
      <c r="B47" s="135" t="s">
        <v>177</v>
      </c>
      <c r="C47" s="136"/>
      <c r="D47" s="137"/>
    </row>
    <row r="48" spans="1:4" x14ac:dyDescent="0.25">
      <c r="A48" s="132" t="s">
        <v>178</v>
      </c>
      <c r="B48" s="133"/>
      <c r="C48" s="145">
        <f>SUM(C49:C53)</f>
        <v>0</v>
      </c>
      <c r="D48" s="148">
        <f>SUM(D49:D53)</f>
        <v>0</v>
      </c>
    </row>
    <row r="49" spans="1:4" x14ac:dyDescent="0.25">
      <c r="A49" s="134"/>
      <c r="B49" s="135" t="s">
        <v>179</v>
      </c>
      <c r="C49" s="136"/>
      <c r="D49" s="137"/>
    </row>
    <row r="50" spans="1:4" x14ac:dyDescent="0.25">
      <c r="A50" s="134"/>
      <c r="B50" s="135" t="s">
        <v>180</v>
      </c>
      <c r="C50" s="136"/>
      <c r="D50" s="137"/>
    </row>
    <row r="51" spans="1:4" x14ac:dyDescent="0.25">
      <c r="A51" s="134"/>
      <c r="B51" s="135" t="s">
        <v>181</v>
      </c>
      <c r="C51" s="136"/>
      <c r="D51" s="137"/>
    </row>
    <row r="52" spans="1:4" x14ac:dyDescent="0.25">
      <c r="A52" s="134"/>
      <c r="B52" s="135" t="s">
        <v>182</v>
      </c>
      <c r="C52" s="136"/>
      <c r="D52" s="137"/>
    </row>
    <row r="53" spans="1:4" x14ac:dyDescent="0.25">
      <c r="A53" s="134"/>
      <c r="B53" s="135" t="s">
        <v>183</v>
      </c>
      <c r="C53" s="136"/>
      <c r="D53" s="137"/>
    </row>
    <row r="54" spans="1:4" x14ac:dyDescent="0.25">
      <c r="A54" s="132" t="s">
        <v>184</v>
      </c>
      <c r="B54" s="133"/>
      <c r="C54" s="149">
        <f>SUM(C55:C60)</f>
        <v>184799.16</v>
      </c>
      <c r="D54" s="150">
        <f>SUM(D55:D60)</f>
        <v>201908.93</v>
      </c>
    </row>
    <row r="55" spans="1:4" x14ac:dyDescent="0.25">
      <c r="A55" s="134"/>
      <c r="B55" s="135" t="s">
        <v>185</v>
      </c>
      <c r="C55" s="136">
        <v>184799.16</v>
      </c>
      <c r="D55" s="730">
        <v>201908.93</v>
      </c>
    </row>
    <row r="56" spans="1:4" x14ac:dyDescent="0.25">
      <c r="A56" s="134"/>
      <c r="B56" s="135" t="s">
        <v>186</v>
      </c>
      <c r="C56" s="136"/>
      <c r="D56" s="137"/>
    </row>
    <row r="57" spans="1:4" x14ac:dyDescent="0.25">
      <c r="A57" s="134"/>
      <c r="B57" s="135" t="s">
        <v>187</v>
      </c>
      <c r="C57" s="136"/>
      <c r="D57" s="137"/>
    </row>
    <row r="58" spans="1:4" x14ac:dyDescent="0.25">
      <c r="A58" s="134"/>
      <c r="B58" s="135" t="s">
        <v>188</v>
      </c>
      <c r="C58" s="136"/>
      <c r="D58" s="137"/>
    </row>
    <row r="59" spans="1:4" x14ac:dyDescent="0.25">
      <c r="A59" s="134"/>
      <c r="B59" s="135" t="s">
        <v>189</v>
      </c>
      <c r="C59" s="136"/>
      <c r="D59" s="137"/>
    </row>
    <row r="60" spans="1:4" x14ac:dyDescent="0.25">
      <c r="A60" s="134"/>
      <c r="B60" s="135" t="s">
        <v>190</v>
      </c>
      <c r="C60" s="136"/>
      <c r="D60" s="137"/>
    </row>
    <row r="61" spans="1:4" x14ac:dyDescent="0.25">
      <c r="A61" s="132" t="s">
        <v>191</v>
      </c>
      <c r="B61" s="133"/>
      <c r="C61" s="149">
        <f>C62</f>
        <v>11535698.49</v>
      </c>
      <c r="D61" s="150">
        <f>D62</f>
        <v>49712433.539999999</v>
      </c>
    </row>
    <row r="62" spans="1:4" x14ac:dyDescent="0.25">
      <c r="A62" s="134"/>
      <c r="B62" s="135" t="s">
        <v>192</v>
      </c>
      <c r="C62" s="136">
        <v>11535698.49</v>
      </c>
      <c r="D62" s="729">
        <v>49712433.539999999</v>
      </c>
    </row>
    <row r="63" spans="1:4" x14ac:dyDescent="0.25">
      <c r="A63" s="134"/>
      <c r="B63" s="140"/>
      <c r="C63" s="136"/>
      <c r="D63" s="137"/>
    </row>
    <row r="64" spans="1:4" x14ac:dyDescent="0.25">
      <c r="A64" s="132" t="s">
        <v>193</v>
      </c>
      <c r="B64" s="133"/>
      <c r="C64" s="146">
        <f>C61+C54+C48+C34+C30+C44</f>
        <v>22950922.859999999</v>
      </c>
      <c r="D64" s="147">
        <f>D61+D54+D48+D34+D30+D44</f>
        <v>60905607.230000004</v>
      </c>
    </row>
    <row r="65" spans="1:5" x14ac:dyDescent="0.25">
      <c r="A65" s="134"/>
      <c r="B65" s="140"/>
      <c r="C65" s="136"/>
      <c r="D65" s="137"/>
    </row>
    <row r="66" spans="1:5" ht="20.25" x14ac:dyDescent="0.3">
      <c r="A66" s="132" t="s">
        <v>194</v>
      </c>
      <c r="B66" s="133"/>
      <c r="C66" s="146">
        <f>C27-C64</f>
        <v>211429702.68000001</v>
      </c>
      <c r="D66" s="147">
        <f>D27-D64</f>
        <v>261100150.67999995</v>
      </c>
      <c r="E66" s="569" t="str">
        <f>IF(C66&lt;&gt;'ETCA-I-01'!E41,"ERROR!!!, NO COINCIDEN LOS MONTOS CON LO REPORTADO EN EL FORMATO ETCA-I-01 EN EL EJERCICIO 2016","")</f>
        <v/>
      </c>
    </row>
    <row r="67" spans="1:5" ht="21" thickBot="1" x14ac:dyDescent="0.35">
      <c r="A67" s="141"/>
      <c r="B67" s="142"/>
      <c r="C67" s="142"/>
      <c r="D67" s="565"/>
      <c r="E67" s="569"/>
    </row>
    <row r="68" spans="1:5" s="555" customFormat="1" ht="16.5" customHeight="1" x14ac:dyDescent="0.25">
      <c r="A68" s="140"/>
      <c r="B68" s="638" t="s">
        <v>195</v>
      </c>
      <c r="C68" s="140"/>
      <c r="D68" s="639"/>
    </row>
    <row r="69" spans="1:5" s="555" customFormat="1" ht="16.5" customHeight="1" x14ac:dyDescent="0.25">
      <c r="A69" s="140"/>
      <c r="B69" s="140"/>
      <c r="C69" s="140" t="s">
        <v>143</v>
      </c>
      <c r="D69" s="639"/>
    </row>
    <row r="70" spans="1:5" s="555" customFormat="1" ht="16.5" customHeight="1" x14ac:dyDescent="0.25">
      <c r="A70" s="140"/>
      <c r="B70" s="140" t="s">
        <v>143</v>
      </c>
      <c r="C70" s="140" t="s">
        <v>143</v>
      </c>
      <c r="D70" s="639"/>
    </row>
    <row r="71" spans="1:5" s="555" customFormat="1" ht="16.5" customHeight="1" x14ac:dyDescent="0.25">
      <c r="A71" s="140"/>
      <c r="C71" s="466"/>
      <c r="D71" s="639"/>
    </row>
    <row r="72" spans="1:5" s="555" customFormat="1" ht="16.5" customHeight="1" x14ac:dyDescent="0.3">
      <c r="A72" s="554"/>
      <c r="C72" s="466"/>
      <c r="D72" s="566"/>
    </row>
    <row r="73" spans="1:5" x14ac:dyDescent="0.3">
      <c r="C73" s="120"/>
      <c r="D73" s="567"/>
    </row>
    <row r="75" spans="1:5" x14ac:dyDescent="0.3">
      <c r="B75" s="474" t="s">
        <v>1612</v>
      </c>
    </row>
    <row r="76" spans="1:5" x14ac:dyDescent="0.3">
      <c r="B76" s="474" t="s">
        <v>1613</v>
      </c>
    </row>
    <row r="77" spans="1:5" x14ac:dyDescent="0.3">
      <c r="B77" s="66"/>
    </row>
    <row r="78" spans="1:5" x14ac:dyDescent="0.3">
      <c r="B78" s="66"/>
    </row>
    <row r="79" spans="1:5" x14ac:dyDescent="0.3">
      <c r="B79" s="66"/>
    </row>
    <row r="80" spans="1:5" x14ac:dyDescent="0.3">
      <c r="B80" s="474" t="s">
        <v>1614</v>
      </c>
    </row>
    <row r="81" spans="2:2" x14ac:dyDescent="0.3">
      <c r="B81" s="474" t="s">
        <v>1615</v>
      </c>
    </row>
  </sheetData>
  <sheetProtection algorithmName="SHA-512" hashValue="Z+Pz8BSrrqwDYcPrlms9O1wA8Rf1RnTpuW6rTG6VnLUD07NeY1qHj2SqoLOVD7EHhVGQsd6mwd2bblb9hjZZRg==" saltValue="BLE7KK/2p3Kl9w4WwUEc+Q==" spinCount="100000" sheet="1" objects="1" scenarios="1"/>
  <mergeCells count="6">
    <mergeCell ref="A6:B6"/>
    <mergeCell ref="A3:D3"/>
    <mergeCell ref="A2:D2"/>
    <mergeCell ref="A4:D4"/>
    <mergeCell ref="A1:D1"/>
    <mergeCell ref="A5:B5"/>
  </mergeCells>
  <printOptions horizontalCentered="1"/>
  <pageMargins left="0.47244094488188981" right="0.19685039370078741" top="0.39370078740157483" bottom="0.19685039370078741" header="0.31496062992125984" footer="0.19685039370078741"/>
  <pageSetup scale="60"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L103"/>
  <sheetViews>
    <sheetView topLeftCell="B1" zoomScaleNormal="100" workbookViewId="0">
      <selection activeCell="G2" sqref="G2"/>
    </sheetView>
  </sheetViews>
  <sheetFormatPr baseColWidth="10" defaultColWidth="11.42578125" defaultRowHeight="15" x14ac:dyDescent="0.25"/>
  <cols>
    <col min="2" max="2" width="29.85546875" customWidth="1"/>
    <col min="3" max="3" width="17.28515625" customWidth="1"/>
    <col min="4" max="4" width="11.5703125" customWidth="1"/>
    <col min="5" max="5" width="12.140625" customWidth="1"/>
    <col min="6" max="6" width="14.85546875" customWidth="1"/>
    <col min="7" max="7" width="14.140625" customWidth="1"/>
    <col min="8" max="8" width="16.42578125" customWidth="1"/>
    <col min="9" max="9" width="15" customWidth="1"/>
    <col min="10" max="11" width="14.5703125" customWidth="1"/>
    <col min="12" max="12" width="13.140625" bestFit="1" customWidth="1"/>
  </cols>
  <sheetData>
    <row r="2" spans="2:7" x14ac:dyDescent="0.25">
      <c r="G2" s="876" t="s">
        <v>1645</v>
      </c>
    </row>
    <row r="3" spans="2:7" x14ac:dyDescent="0.25">
      <c r="B3" s="1013" t="s">
        <v>1553</v>
      </c>
      <c r="C3" s="1013"/>
      <c r="D3" s="1013"/>
      <c r="E3" s="1013"/>
      <c r="F3" s="1013"/>
      <c r="G3" s="1013"/>
    </row>
    <row r="4" spans="2:7" x14ac:dyDescent="0.25">
      <c r="B4" s="1013" t="s">
        <v>1554</v>
      </c>
      <c r="C4" s="1013"/>
      <c r="D4" s="1013"/>
      <c r="E4" s="1013"/>
      <c r="F4" s="1013"/>
      <c r="G4" s="1013"/>
    </row>
    <row r="5" spans="2:7" x14ac:dyDescent="0.25">
      <c r="B5" s="1013" t="s">
        <v>1555</v>
      </c>
      <c r="C5" s="1013"/>
      <c r="D5" s="1013"/>
      <c r="E5" s="1013"/>
      <c r="F5" s="1013"/>
      <c r="G5" s="1013"/>
    </row>
    <row r="7" spans="2:7" x14ac:dyDescent="0.25">
      <c r="B7" s="1012" t="s">
        <v>1556</v>
      </c>
      <c r="C7" s="1012"/>
      <c r="D7" s="1012"/>
      <c r="E7" s="1012"/>
      <c r="F7" s="1012"/>
      <c r="G7" s="1012"/>
    </row>
    <row r="8" spans="2:7" ht="30" x14ac:dyDescent="0.25">
      <c r="B8" s="1014" t="s">
        <v>1557</v>
      </c>
      <c r="C8" s="1014"/>
      <c r="D8" s="1014" t="s">
        <v>1558</v>
      </c>
      <c r="E8" s="1014"/>
      <c r="F8" s="844" t="s">
        <v>1559</v>
      </c>
      <c r="G8" s="845" t="s">
        <v>1560</v>
      </c>
    </row>
    <row r="9" spans="2:7" ht="409.6" x14ac:dyDescent="0.25">
      <c r="B9" s="846">
        <v>11301</v>
      </c>
      <c r="C9" s="847" t="s">
        <v>597</v>
      </c>
      <c r="D9" s="846">
        <v>11308</v>
      </c>
      <c r="E9" s="847" t="s">
        <v>601</v>
      </c>
      <c r="F9" s="848">
        <v>5713.44</v>
      </c>
      <c r="G9" s="849" t="s">
        <v>1561</v>
      </c>
    </row>
    <row r="10" spans="2:7" ht="409.6" x14ac:dyDescent="0.25">
      <c r="B10" s="846">
        <v>11305</v>
      </c>
      <c r="C10" s="847" t="s">
        <v>598</v>
      </c>
      <c r="D10" s="846">
        <v>11307</v>
      </c>
      <c r="E10" s="847" t="s">
        <v>600</v>
      </c>
      <c r="F10" s="848">
        <v>48248.489999999991</v>
      </c>
      <c r="G10" s="849" t="s">
        <v>1561</v>
      </c>
    </row>
    <row r="11" spans="2:7" ht="409.6" x14ac:dyDescent="0.25">
      <c r="B11" s="846">
        <v>11305</v>
      </c>
      <c r="C11" s="847" t="s">
        <v>598</v>
      </c>
      <c r="D11" s="846">
        <v>11308</v>
      </c>
      <c r="E11" s="847" t="s">
        <v>601</v>
      </c>
      <c r="F11" s="850">
        <v>26452.28</v>
      </c>
      <c r="G11" s="849" t="s">
        <v>1561</v>
      </c>
    </row>
    <row r="12" spans="2:7" ht="156.75" x14ac:dyDescent="0.25">
      <c r="B12" s="851">
        <v>21501</v>
      </c>
      <c r="C12" s="852" t="s">
        <v>629</v>
      </c>
      <c r="D12" s="853">
        <v>21201</v>
      </c>
      <c r="E12" s="847" t="s">
        <v>627</v>
      </c>
      <c r="F12" s="854">
        <f>2461.11+4073.29</f>
        <v>6534.4</v>
      </c>
      <c r="G12" s="855" t="s">
        <v>1562</v>
      </c>
    </row>
    <row r="13" spans="2:7" ht="132.75" x14ac:dyDescent="0.25">
      <c r="B13" s="851">
        <v>21601</v>
      </c>
      <c r="C13" s="852" t="s">
        <v>630</v>
      </c>
      <c r="D13" s="853">
        <v>29101</v>
      </c>
      <c r="E13" s="852" t="s">
        <v>651</v>
      </c>
      <c r="F13" s="854">
        <v>1395</v>
      </c>
      <c r="G13" s="855" t="s">
        <v>1563</v>
      </c>
    </row>
    <row r="14" spans="2:7" ht="144.75" x14ac:dyDescent="0.25">
      <c r="B14" s="851">
        <v>21601</v>
      </c>
      <c r="C14" s="852" t="s">
        <v>630</v>
      </c>
      <c r="D14" s="853">
        <v>29201</v>
      </c>
      <c r="E14" s="852" t="s">
        <v>652</v>
      </c>
      <c r="F14" s="854">
        <v>858.4</v>
      </c>
      <c r="G14" s="855" t="s">
        <v>1564</v>
      </c>
    </row>
    <row r="15" spans="2:7" ht="132.75" x14ac:dyDescent="0.25">
      <c r="B15" s="856">
        <v>21801</v>
      </c>
      <c r="C15" s="852" t="s">
        <v>631</v>
      </c>
      <c r="D15" s="853">
        <v>29401</v>
      </c>
      <c r="E15" s="852" t="s">
        <v>654</v>
      </c>
      <c r="F15" s="854">
        <v>2845.81</v>
      </c>
      <c r="G15" s="855" t="s">
        <v>1565</v>
      </c>
    </row>
    <row r="16" spans="2:7" ht="192.75" x14ac:dyDescent="0.25">
      <c r="B16" s="856">
        <v>22106</v>
      </c>
      <c r="C16" s="852" t="s">
        <v>634</v>
      </c>
      <c r="D16" s="853">
        <v>22101</v>
      </c>
      <c r="E16" s="852" t="s">
        <v>633</v>
      </c>
      <c r="F16" s="854">
        <f>690.48+46.98</f>
        <v>737.46</v>
      </c>
      <c r="G16" s="855" t="s">
        <v>1566</v>
      </c>
    </row>
    <row r="17" spans="2:7" ht="192.75" x14ac:dyDescent="0.25">
      <c r="B17" s="856">
        <v>22301</v>
      </c>
      <c r="C17" s="852" t="s">
        <v>635</v>
      </c>
      <c r="D17" s="853">
        <v>22101</v>
      </c>
      <c r="E17" s="852" t="s">
        <v>633</v>
      </c>
      <c r="F17" s="854">
        <v>1751.61</v>
      </c>
      <c r="G17" s="855" t="s">
        <v>1566</v>
      </c>
    </row>
    <row r="18" spans="2:7" ht="132.75" x14ac:dyDescent="0.25">
      <c r="B18" s="856">
        <v>24801</v>
      </c>
      <c r="C18" s="852" t="s">
        <v>638</v>
      </c>
      <c r="D18" s="853">
        <v>29101</v>
      </c>
      <c r="E18" s="852" t="s">
        <v>651</v>
      </c>
      <c r="F18" s="854">
        <v>1485.51</v>
      </c>
      <c r="G18" s="855" t="s">
        <v>1563</v>
      </c>
    </row>
    <row r="19" spans="2:7" ht="144.75" x14ac:dyDescent="0.25">
      <c r="B19" s="856">
        <v>24801</v>
      </c>
      <c r="C19" s="852" t="s">
        <v>638</v>
      </c>
      <c r="D19" s="853">
        <v>29201</v>
      </c>
      <c r="E19" s="852" t="s">
        <v>652</v>
      </c>
      <c r="F19" s="854">
        <v>46.92</v>
      </c>
      <c r="G19" s="855" t="s">
        <v>1564</v>
      </c>
    </row>
    <row r="20" spans="2:7" ht="132.75" x14ac:dyDescent="0.25">
      <c r="B20" s="856">
        <v>26101</v>
      </c>
      <c r="C20" s="852" t="s">
        <v>643</v>
      </c>
      <c r="D20" s="853">
        <v>29101</v>
      </c>
      <c r="E20" s="852" t="s">
        <v>651</v>
      </c>
      <c r="F20" s="854">
        <v>70</v>
      </c>
      <c r="G20" s="855" t="s">
        <v>1563</v>
      </c>
    </row>
    <row r="21" spans="2:7" ht="132.75" x14ac:dyDescent="0.25">
      <c r="B21" s="856">
        <v>27101</v>
      </c>
      <c r="C21" s="852" t="s">
        <v>646</v>
      </c>
      <c r="D21" s="853">
        <v>29101</v>
      </c>
      <c r="E21" s="852" t="s">
        <v>651</v>
      </c>
      <c r="F21" s="854">
        <f>598.6+429.2</f>
        <v>1027.8</v>
      </c>
      <c r="G21" s="855" t="s">
        <v>1563</v>
      </c>
    </row>
    <row r="22" spans="2:7" ht="132.75" x14ac:dyDescent="0.25">
      <c r="B22" s="856">
        <v>29201</v>
      </c>
      <c r="C22" s="852" t="s">
        <v>652</v>
      </c>
      <c r="D22" s="853">
        <v>29101</v>
      </c>
      <c r="E22" s="852" t="s">
        <v>651</v>
      </c>
      <c r="F22" s="854">
        <v>2737.14</v>
      </c>
      <c r="G22" s="855" t="s">
        <v>1563</v>
      </c>
    </row>
    <row r="23" spans="2:7" ht="144.75" x14ac:dyDescent="0.25">
      <c r="B23" s="856">
        <v>29401</v>
      </c>
      <c r="C23" s="852" t="s">
        <v>654</v>
      </c>
      <c r="D23" s="853">
        <v>29201</v>
      </c>
      <c r="E23" s="852" t="s">
        <v>652</v>
      </c>
      <c r="F23" s="854">
        <v>174.96</v>
      </c>
      <c r="G23" s="855" t="s">
        <v>1564</v>
      </c>
    </row>
    <row r="24" spans="2:7" ht="204.75" x14ac:dyDescent="0.25">
      <c r="B24" s="857">
        <v>29601</v>
      </c>
      <c r="C24" s="852" t="s">
        <v>655</v>
      </c>
      <c r="D24" s="858">
        <v>35501</v>
      </c>
      <c r="E24" s="852" t="s">
        <v>689</v>
      </c>
      <c r="F24" s="854">
        <v>5626</v>
      </c>
      <c r="G24" s="855" t="s">
        <v>1567</v>
      </c>
    </row>
    <row r="25" spans="2:7" ht="204.75" x14ac:dyDescent="0.25">
      <c r="B25" s="857">
        <v>31101</v>
      </c>
      <c r="C25" s="852" t="s">
        <v>658</v>
      </c>
      <c r="D25" s="858">
        <v>29601</v>
      </c>
      <c r="E25" s="852" t="s">
        <v>655</v>
      </c>
      <c r="F25" s="854">
        <v>1357.2</v>
      </c>
      <c r="G25" s="855" t="s">
        <v>1567</v>
      </c>
    </row>
    <row r="26" spans="2:7" ht="264.75" x14ac:dyDescent="0.25">
      <c r="B26" s="857">
        <v>31101</v>
      </c>
      <c r="C26" s="852" t="s">
        <v>658</v>
      </c>
      <c r="D26" s="858">
        <v>31301</v>
      </c>
      <c r="E26" s="852" t="s">
        <v>659</v>
      </c>
      <c r="F26" s="854">
        <f>713+465+1000</f>
        <v>2178</v>
      </c>
      <c r="G26" s="855" t="s">
        <v>1568</v>
      </c>
    </row>
    <row r="27" spans="2:7" ht="132.75" x14ac:dyDescent="0.25">
      <c r="B27" s="857">
        <v>31101</v>
      </c>
      <c r="C27" s="852" t="s">
        <v>658</v>
      </c>
      <c r="D27" s="853">
        <v>29401</v>
      </c>
      <c r="E27" s="852" t="s">
        <v>654</v>
      </c>
      <c r="F27" s="854">
        <v>7000</v>
      </c>
      <c r="G27" s="855" t="s">
        <v>1565</v>
      </c>
    </row>
    <row r="28" spans="2:7" ht="132.75" x14ac:dyDescent="0.25">
      <c r="B28" s="857">
        <v>31301</v>
      </c>
      <c r="C28" s="852" t="s">
        <v>659</v>
      </c>
      <c r="D28" s="858">
        <v>34501</v>
      </c>
      <c r="E28" s="852" t="s">
        <v>681</v>
      </c>
      <c r="F28" s="854">
        <v>14875</v>
      </c>
      <c r="G28" s="855" t="s">
        <v>1569</v>
      </c>
    </row>
    <row r="29" spans="2:7" ht="120.75" x14ac:dyDescent="0.25">
      <c r="B29" s="857">
        <v>31301</v>
      </c>
      <c r="C29" s="852" t="s">
        <v>659</v>
      </c>
      <c r="D29" s="858">
        <v>31101</v>
      </c>
      <c r="E29" s="852" t="s">
        <v>658</v>
      </c>
      <c r="F29" s="854">
        <v>5856</v>
      </c>
      <c r="G29" s="855" t="s">
        <v>1570</v>
      </c>
    </row>
    <row r="30" spans="2:7" ht="144.75" x14ac:dyDescent="0.25">
      <c r="B30" s="856">
        <v>33101</v>
      </c>
      <c r="C30" s="852" t="s">
        <v>671</v>
      </c>
      <c r="D30" s="853">
        <v>32501</v>
      </c>
      <c r="E30" s="852" t="s">
        <v>668</v>
      </c>
      <c r="F30" s="854">
        <v>1500</v>
      </c>
      <c r="G30" s="855" t="s">
        <v>1571</v>
      </c>
    </row>
    <row r="31" spans="2:7" ht="156.75" x14ac:dyDescent="0.25">
      <c r="B31" s="856">
        <v>33201</v>
      </c>
      <c r="C31" s="852" t="s">
        <v>672</v>
      </c>
      <c r="D31" s="859">
        <v>35302</v>
      </c>
      <c r="E31" s="860" t="s">
        <v>688</v>
      </c>
      <c r="F31" s="854">
        <v>12119.2</v>
      </c>
      <c r="G31" s="855" t="s">
        <v>1572</v>
      </c>
    </row>
    <row r="32" spans="2:7" ht="144.75" x14ac:dyDescent="0.25">
      <c r="B32" s="856">
        <v>34501</v>
      </c>
      <c r="C32" s="852" t="s">
        <v>681</v>
      </c>
      <c r="D32" s="858">
        <v>31301</v>
      </c>
      <c r="E32" s="852" t="s">
        <v>659</v>
      </c>
      <c r="F32" s="854">
        <v>5000</v>
      </c>
      <c r="G32" s="855" t="s">
        <v>1573</v>
      </c>
    </row>
    <row r="33" spans="2:7" ht="156.75" x14ac:dyDescent="0.25">
      <c r="B33" s="856">
        <v>34501</v>
      </c>
      <c r="C33" s="852" t="s">
        <v>681</v>
      </c>
      <c r="D33" s="859">
        <v>35302</v>
      </c>
      <c r="E33" s="860" t="s">
        <v>688</v>
      </c>
      <c r="F33" s="854">
        <f>18000+18119.2</f>
        <v>36119.199999999997</v>
      </c>
      <c r="G33" s="855" t="s">
        <v>1572</v>
      </c>
    </row>
    <row r="34" spans="2:7" ht="156.75" x14ac:dyDescent="0.25">
      <c r="B34" s="857">
        <v>35201</v>
      </c>
      <c r="C34" s="852" t="s">
        <v>686</v>
      </c>
      <c r="D34" s="858">
        <v>35701</v>
      </c>
      <c r="E34" s="852" t="s">
        <v>690</v>
      </c>
      <c r="F34" s="854">
        <v>7462</v>
      </c>
      <c r="G34" s="855" t="s">
        <v>1574</v>
      </c>
    </row>
    <row r="35" spans="2:7" ht="204.75" x14ac:dyDescent="0.25">
      <c r="B35" s="857">
        <v>35201</v>
      </c>
      <c r="C35" s="852" t="s">
        <v>686</v>
      </c>
      <c r="D35" s="858">
        <v>35501</v>
      </c>
      <c r="E35" s="852" t="s">
        <v>689</v>
      </c>
      <c r="F35" s="854">
        <v>11220.97</v>
      </c>
      <c r="G35" s="855" t="s">
        <v>1567</v>
      </c>
    </row>
    <row r="36" spans="2:7" ht="156.75" x14ac:dyDescent="0.25">
      <c r="B36" s="857">
        <v>35201</v>
      </c>
      <c r="C36" s="852" t="s">
        <v>686</v>
      </c>
      <c r="D36" s="859">
        <v>35302</v>
      </c>
      <c r="E36" s="860" t="s">
        <v>688</v>
      </c>
      <c r="F36" s="854">
        <v>17268.599999999999</v>
      </c>
      <c r="G36" s="855" t="s">
        <v>1572</v>
      </c>
    </row>
    <row r="37" spans="2:7" ht="144.75" x14ac:dyDescent="0.25">
      <c r="B37" s="851">
        <v>35302</v>
      </c>
      <c r="C37" s="860" t="s">
        <v>688</v>
      </c>
      <c r="D37" s="853">
        <v>39501</v>
      </c>
      <c r="E37" s="852" t="s">
        <v>706</v>
      </c>
      <c r="F37" s="854">
        <v>1030</v>
      </c>
      <c r="G37" s="855" t="s">
        <v>1575</v>
      </c>
    </row>
    <row r="38" spans="2:7" ht="156.75" x14ac:dyDescent="0.25">
      <c r="B38" s="857">
        <v>35501</v>
      </c>
      <c r="C38" s="852" t="s">
        <v>689</v>
      </c>
      <c r="D38" s="858">
        <v>35701</v>
      </c>
      <c r="E38" s="852" t="s">
        <v>690</v>
      </c>
      <c r="F38" s="854">
        <v>0.21</v>
      </c>
      <c r="G38" s="855" t="s">
        <v>1574</v>
      </c>
    </row>
    <row r="39" spans="2:7" ht="144.75" x14ac:dyDescent="0.25">
      <c r="B39" s="857">
        <v>35501</v>
      </c>
      <c r="C39" s="852" t="s">
        <v>689</v>
      </c>
      <c r="D39" s="853">
        <v>28201</v>
      </c>
      <c r="E39" s="852" t="s">
        <v>649</v>
      </c>
      <c r="F39" s="854">
        <v>14453.6</v>
      </c>
      <c r="G39" s="855" t="s">
        <v>1576</v>
      </c>
    </row>
    <row r="40" spans="2:7" ht="144" x14ac:dyDescent="0.25">
      <c r="B40" s="857">
        <v>35501</v>
      </c>
      <c r="C40" s="852" t="s">
        <v>689</v>
      </c>
      <c r="D40" s="853">
        <v>36101</v>
      </c>
      <c r="E40" s="852" t="s">
        <v>693</v>
      </c>
      <c r="F40" s="854">
        <f>1960.41+21000+5800</f>
        <v>28760.41</v>
      </c>
      <c r="G40" s="855" t="s">
        <v>1577</v>
      </c>
    </row>
    <row r="41" spans="2:7" ht="144.75" x14ac:dyDescent="0.25">
      <c r="B41" s="857">
        <v>35501</v>
      </c>
      <c r="C41" s="852" t="s">
        <v>689</v>
      </c>
      <c r="D41" s="853">
        <v>39501</v>
      </c>
      <c r="E41" s="852" t="s">
        <v>706</v>
      </c>
      <c r="F41" s="854">
        <f>1201</f>
        <v>1201</v>
      </c>
      <c r="G41" s="855" t="s">
        <v>1575</v>
      </c>
    </row>
    <row r="42" spans="2:7" ht="204.75" x14ac:dyDescent="0.25">
      <c r="B42" s="857">
        <v>35501</v>
      </c>
      <c r="C42" s="852" t="s">
        <v>689</v>
      </c>
      <c r="D42" s="858">
        <v>29601</v>
      </c>
      <c r="E42" s="852" t="s">
        <v>655</v>
      </c>
      <c r="F42" s="854">
        <v>20000</v>
      </c>
      <c r="G42" s="855" t="s">
        <v>1567</v>
      </c>
    </row>
    <row r="43" spans="2:7" ht="108.75" x14ac:dyDescent="0.25">
      <c r="B43" s="857">
        <v>35501</v>
      </c>
      <c r="C43" s="852" t="s">
        <v>689</v>
      </c>
      <c r="D43" s="853">
        <v>51501</v>
      </c>
      <c r="E43" s="852" t="s">
        <v>710</v>
      </c>
      <c r="F43" s="854">
        <v>8123.03</v>
      </c>
      <c r="G43" s="855" t="s">
        <v>1578</v>
      </c>
    </row>
    <row r="44" spans="2:7" ht="120.75" x14ac:dyDescent="0.25">
      <c r="B44" s="856">
        <v>35701</v>
      </c>
      <c r="C44" s="852" t="s">
        <v>690</v>
      </c>
      <c r="D44" s="853">
        <v>33501</v>
      </c>
      <c r="E44" s="852" t="s">
        <v>675</v>
      </c>
      <c r="F44" s="854">
        <v>5468.24</v>
      </c>
      <c r="G44" s="855" t="s">
        <v>1579</v>
      </c>
    </row>
    <row r="45" spans="2:7" ht="120.75" x14ac:dyDescent="0.25">
      <c r="B45" s="856">
        <v>35701</v>
      </c>
      <c r="C45" s="852" t="s">
        <v>690</v>
      </c>
      <c r="D45" s="853">
        <v>35301</v>
      </c>
      <c r="E45" s="852" t="s">
        <v>687</v>
      </c>
      <c r="F45" s="854">
        <v>3899</v>
      </c>
      <c r="G45" s="855" t="s">
        <v>1580</v>
      </c>
    </row>
    <row r="46" spans="2:7" ht="108.75" x14ac:dyDescent="0.25">
      <c r="B46" s="856">
        <v>35901</v>
      </c>
      <c r="C46" s="852" t="s">
        <v>691</v>
      </c>
      <c r="D46" s="853">
        <v>51501</v>
      </c>
      <c r="E46" s="852" t="s">
        <v>710</v>
      </c>
      <c r="F46" s="854">
        <v>4812.1000000000004</v>
      </c>
      <c r="G46" s="855" t="s">
        <v>1578</v>
      </c>
    </row>
    <row r="47" spans="2:7" ht="144.75" x14ac:dyDescent="0.25">
      <c r="B47" s="856">
        <v>35901</v>
      </c>
      <c r="C47" s="852" t="s">
        <v>691</v>
      </c>
      <c r="D47" s="853">
        <v>39501</v>
      </c>
      <c r="E47" s="852" t="s">
        <v>706</v>
      </c>
      <c r="F47" s="854">
        <v>1130</v>
      </c>
      <c r="G47" s="855" t="s">
        <v>1575</v>
      </c>
    </row>
    <row r="48" spans="2:7" ht="144" x14ac:dyDescent="0.25">
      <c r="B48" s="856">
        <v>37101</v>
      </c>
      <c r="C48" s="852" t="s">
        <v>695</v>
      </c>
      <c r="D48" s="853">
        <v>36101</v>
      </c>
      <c r="E48" s="852" t="s">
        <v>693</v>
      </c>
      <c r="F48" s="854">
        <v>14000</v>
      </c>
      <c r="G48" s="855" t="s">
        <v>1577</v>
      </c>
    </row>
    <row r="49" spans="2:7" ht="156.75" x14ac:dyDescent="0.25">
      <c r="B49" s="856">
        <v>37501</v>
      </c>
      <c r="C49" s="852" t="s">
        <v>697</v>
      </c>
      <c r="D49" s="853">
        <v>37901</v>
      </c>
      <c r="E49" s="852" t="s">
        <v>699</v>
      </c>
      <c r="F49" s="854">
        <f>320+5000</f>
        <v>5320</v>
      </c>
      <c r="G49" s="855" t="s">
        <v>1581</v>
      </c>
    </row>
    <row r="50" spans="2:7" ht="144" x14ac:dyDescent="0.25">
      <c r="B50" s="856">
        <v>37501</v>
      </c>
      <c r="C50" s="852" t="s">
        <v>697</v>
      </c>
      <c r="D50" s="853">
        <v>36101</v>
      </c>
      <c r="E50" s="852" t="s">
        <v>693</v>
      </c>
      <c r="F50" s="854">
        <f>10000+40020</f>
        <v>50020</v>
      </c>
      <c r="G50" s="855" t="s">
        <v>1577</v>
      </c>
    </row>
    <row r="51" spans="2:7" ht="144.75" x14ac:dyDescent="0.25">
      <c r="B51" s="856">
        <v>37501</v>
      </c>
      <c r="C51" s="852" t="s">
        <v>697</v>
      </c>
      <c r="D51" s="853">
        <v>37101</v>
      </c>
      <c r="E51" s="852" t="s">
        <v>695</v>
      </c>
      <c r="F51" s="854">
        <v>5961</v>
      </c>
      <c r="G51" s="855" t="s">
        <v>1582</v>
      </c>
    </row>
    <row r="52" spans="2:7" x14ac:dyDescent="0.25">
      <c r="B52" s="868"/>
      <c r="C52" s="869"/>
      <c r="D52" s="870"/>
      <c r="E52" s="869"/>
      <c r="F52" s="871"/>
      <c r="G52" s="872"/>
    </row>
    <row r="53" spans="2:7" x14ac:dyDescent="0.25">
      <c r="B53" s="868"/>
      <c r="C53" s="869"/>
      <c r="D53" s="870"/>
      <c r="E53" s="869"/>
      <c r="F53" s="871"/>
      <c r="G53" s="872"/>
    </row>
    <row r="54" spans="2:7" x14ac:dyDescent="0.25">
      <c r="B54" t="s">
        <v>1605</v>
      </c>
    </row>
    <row r="55" spans="2:7" x14ac:dyDescent="0.25">
      <c r="B55" t="s">
        <v>1583</v>
      </c>
    </row>
    <row r="56" spans="2:7" x14ac:dyDescent="0.25">
      <c r="B56" t="s">
        <v>1584</v>
      </c>
    </row>
    <row r="57" spans="2:7" x14ac:dyDescent="0.25">
      <c r="B57" t="s">
        <v>1585</v>
      </c>
    </row>
    <row r="58" spans="2:7" x14ac:dyDescent="0.25">
      <c r="B58" t="s">
        <v>1611</v>
      </c>
    </row>
    <row r="60" spans="2:7" x14ac:dyDescent="0.25">
      <c r="B60" s="1011" t="s">
        <v>1593</v>
      </c>
      <c r="C60" s="1011"/>
    </row>
    <row r="61" spans="2:7" x14ac:dyDescent="0.25">
      <c r="B61" s="861" t="s">
        <v>1586</v>
      </c>
      <c r="C61" s="862">
        <v>6049379.3700000001</v>
      </c>
    </row>
    <row r="62" spans="2:7" x14ac:dyDescent="0.25">
      <c r="B62" s="861" t="s">
        <v>1587</v>
      </c>
      <c r="C62" s="862">
        <v>169799.6</v>
      </c>
    </row>
    <row r="63" spans="2:7" x14ac:dyDescent="0.25">
      <c r="B63" s="861" t="s">
        <v>1586</v>
      </c>
      <c r="C63" s="862">
        <v>416488.51</v>
      </c>
    </row>
    <row r="64" spans="2:7" x14ac:dyDescent="0.25">
      <c r="B64" s="861" t="s">
        <v>1588</v>
      </c>
      <c r="C64" s="862">
        <v>217317.71</v>
      </c>
    </row>
    <row r="65" spans="2:12" x14ac:dyDescent="0.25">
      <c r="B65" s="861" t="s">
        <v>1589</v>
      </c>
      <c r="C65" s="862">
        <v>64071.47</v>
      </c>
    </row>
    <row r="66" spans="2:12" x14ac:dyDescent="0.25">
      <c r="B66" s="861" t="s">
        <v>1590</v>
      </c>
      <c r="C66" s="862">
        <v>113566.58</v>
      </c>
    </row>
    <row r="67" spans="2:12" x14ac:dyDescent="0.25">
      <c r="B67" s="861" t="s">
        <v>1591</v>
      </c>
      <c r="C67" s="862">
        <v>579679.21</v>
      </c>
    </row>
    <row r="68" spans="2:12" x14ac:dyDescent="0.25">
      <c r="B68" s="861" t="s">
        <v>1592</v>
      </c>
      <c r="C68" s="862">
        <v>597471.06999999995</v>
      </c>
    </row>
    <row r="71" spans="2:12" x14ac:dyDescent="0.25">
      <c r="B71" s="1012" t="s">
        <v>1594</v>
      </c>
      <c r="C71" s="1012"/>
      <c r="D71" s="1012"/>
      <c r="E71" s="1012"/>
      <c r="F71" s="1012"/>
      <c r="G71" s="1012"/>
      <c r="H71" s="1012"/>
      <c r="I71" s="1012"/>
      <c r="J71" s="1012"/>
      <c r="K71" s="1012"/>
      <c r="L71" s="1012"/>
    </row>
    <row r="72" spans="2:12" x14ac:dyDescent="0.25">
      <c r="B72" s="863" t="s">
        <v>1595</v>
      </c>
      <c r="C72" s="864" t="s">
        <v>1559</v>
      </c>
      <c r="D72" s="865">
        <v>61201</v>
      </c>
      <c r="E72" s="865">
        <v>61203</v>
      </c>
      <c r="F72" s="865">
        <v>61211</v>
      </c>
      <c r="G72" s="865">
        <v>61212</v>
      </c>
      <c r="H72" s="865">
        <v>61213</v>
      </c>
      <c r="I72" s="865">
        <v>61214</v>
      </c>
      <c r="J72" s="865">
        <v>61215</v>
      </c>
      <c r="K72" s="865">
        <v>61218</v>
      </c>
      <c r="L72" s="865">
        <v>61222</v>
      </c>
    </row>
    <row r="73" spans="2:12" x14ac:dyDescent="0.25">
      <c r="B73" s="861" t="s">
        <v>1596</v>
      </c>
      <c r="C73" s="862">
        <f>SUM(D73:L73)</f>
        <v>59340000</v>
      </c>
      <c r="D73" s="862">
        <v>476254.66</v>
      </c>
      <c r="E73" s="862">
        <v>965873.6</v>
      </c>
      <c r="F73" s="862">
        <v>56874768.280000001</v>
      </c>
      <c r="G73" s="866"/>
      <c r="H73" s="866"/>
      <c r="I73" s="866"/>
      <c r="J73" s="866"/>
      <c r="K73" s="866"/>
      <c r="L73" s="866">
        <v>1023103.46</v>
      </c>
    </row>
    <row r="74" spans="2:12" x14ac:dyDescent="0.25">
      <c r="B74" s="861" t="s">
        <v>1597</v>
      </c>
      <c r="C74" s="862">
        <v>47851579</v>
      </c>
      <c r="D74" s="862"/>
      <c r="E74" s="862"/>
      <c r="F74" s="862"/>
      <c r="G74" s="862">
        <v>203685</v>
      </c>
      <c r="H74" s="862">
        <v>12264833</v>
      </c>
      <c r="I74" s="862">
        <v>24376039</v>
      </c>
      <c r="J74" s="862">
        <v>9613289</v>
      </c>
      <c r="K74" s="862">
        <v>0</v>
      </c>
      <c r="L74" s="862">
        <v>1393733</v>
      </c>
    </row>
    <row r="75" spans="2:12" x14ac:dyDescent="0.25">
      <c r="B75" s="861" t="s">
        <v>1598</v>
      </c>
      <c r="C75" s="862">
        <v>23442629</v>
      </c>
      <c r="D75" s="862"/>
      <c r="E75" s="862"/>
      <c r="F75" s="862"/>
      <c r="G75" s="862">
        <v>0</v>
      </c>
      <c r="H75" s="862">
        <v>5764667</v>
      </c>
      <c r="I75" s="862">
        <v>9373467</v>
      </c>
      <c r="J75" s="862">
        <v>6278564</v>
      </c>
      <c r="K75" s="862">
        <v>1343137</v>
      </c>
      <c r="L75" s="862">
        <v>682794</v>
      </c>
    </row>
    <row r="76" spans="2:12" x14ac:dyDescent="0.25">
      <c r="B76" s="861" t="s">
        <v>1599</v>
      </c>
      <c r="C76" s="862">
        <v>24518942</v>
      </c>
      <c r="D76" s="862"/>
      <c r="E76" s="862"/>
      <c r="F76" s="862"/>
      <c r="G76" s="862">
        <v>329199</v>
      </c>
      <c r="H76" s="862">
        <v>4217916</v>
      </c>
      <c r="I76" s="862">
        <v>16789865</v>
      </c>
      <c r="J76" s="862">
        <v>1413115</v>
      </c>
      <c r="K76" s="862">
        <v>1054703</v>
      </c>
      <c r="L76" s="862">
        <v>714144</v>
      </c>
    </row>
    <row r="77" spans="2:12" x14ac:dyDescent="0.25">
      <c r="B77" s="861" t="s">
        <v>1600</v>
      </c>
      <c r="C77" s="862">
        <v>31147605</v>
      </c>
      <c r="D77" s="862"/>
      <c r="E77" s="862"/>
      <c r="F77" s="862"/>
      <c r="G77" s="862">
        <v>616015</v>
      </c>
      <c r="H77" s="862">
        <v>5189423</v>
      </c>
      <c r="I77" s="862">
        <v>13967948</v>
      </c>
      <c r="J77" s="862">
        <v>8656734</v>
      </c>
      <c r="K77" s="862">
        <v>1810279</v>
      </c>
      <c r="L77" s="862">
        <v>907206</v>
      </c>
    </row>
    <row r="78" spans="2:12" x14ac:dyDescent="0.25">
      <c r="B78" s="861" t="s">
        <v>1601</v>
      </c>
      <c r="C78" s="862">
        <v>22066168</v>
      </c>
      <c r="D78" s="862"/>
      <c r="E78" s="862"/>
      <c r="F78" s="862"/>
      <c r="G78" s="862">
        <v>0</v>
      </c>
      <c r="H78" s="862">
        <v>6609179</v>
      </c>
      <c r="I78" s="862">
        <v>10414662</v>
      </c>
      <c r="J78" s="862">
        <v>4086280</v>
      </c>
      <c r="K78" s="862">
        <v>313348</v>
      </c>
      <c r="L78" s="862">
        <v>642699</v>
      </c>
    </row>
    <row r="79" spans="2:12" x14ac:dyDescent="0.25">
      <c r="B79" s="861" t="s">
        <v>1602</v>
      </c>
      <c r="C79" s="862">
        <v>30623601</v>
      </c>
      <c r="D79" s="862"/>
      <c r="E79" s="862"/>
      <c r="F79" s="862"/>
      <c r="G79" s="862">
        <v>0</v>
      </c>
      <c r="H79" s="862">
        <v>10927072</v>
      </c>
      <c r="I79" s="862">
        <v>14847365</v>
      </c>
      <c r="J79" s="862">
        <v>1514736</v>
      </c>
      <c r="K79" s="862">
        <v>2442479</v>
      </c>
      <c r="L79" s="862">
        <v>891949</v>
      </c>
    </row>
    <row r="80" spans="2:12" x14ac:dyDescent="0.25">
      <c r="B80" s="861" t="s">
        <v>1603</v>
      </c>
      <c r="C80" s="862">
        <v>21190290</v>
      </c>
      <c r="D80" s="862"/>
      <c r="E80" s="862"/>
      <c r="F80" s="862"/>
      <c r="G80" s="862">
        <v>0</v>
      </c>
      <c r="H80" s="862">
        <v>4980632</v>
      </c>
      <c r="I80" s="862">
        <v>8289975</v>
      </c>
      <c r="J80" s="862">
        <v>6488955</v>
      </c>
      <c r="K80" s="862">
        <v>813535</v>
      </c>
      <c r="L80" s="862">
        <v>617193</v>
      </c>
    </row>
    <row r="81" spans="2:12" x14ac:dyDescent="0.25">
      <c r="B81" s="861" t="s">
        <v>1604</v>
      </c>
      <c r="C81" s="862">
        <v>19119937</v>
      </c>
      <c r="D81" s="862"/>
      <c r="E81" s="862"/>
      <c r="F81" s="862"/>
      <c r="G81" s="862">
        <v>0</v>
      </c>
      <c r="H81" s="862">
        <v>5784338</v>
      </c>
      <c r="I81" s="862">
        <v>8194395</v>
      </c>
      <c r="J81" s="862">
        <v>3283775</v>
      </c>
      <c r="K81" s="862">
        <v>1857429</v>
      </c>
      <c r="L81" s="862">
        <v>0</v>
      </c>
    </row>
    <row r="82" spans="2:12" x14ac:dyDescent="0.25">
      <c r="B82" s="861"/>
      <c r="C82" s="862"/>
      <c r="D82" s="862"/>
      <c r="E82" s="862"/>
      <c r="F82" s="862"/>
      <c r="G82" s="862"/>
      <c r="H82" s="862"/>
      <c r="I82" s="862"/>
      <c r="J82" s="862"/>
      <c r="K82" s="862"/>
      <c r="L82" s="862"/>
    </row>
    <row r="83" spans="2:12" x14ac:dyDescent="0.25">
      <c r="B83" s="861"/>
      <c r="C83" s="867">
        <f>SUM(C73:C81)</f>
        <v>279300751</v>
      </c>
      <c r="D83" s="867">
        <f>SUM(D73:D81)</f>
        <v>476254.66</v>
      </c>
      <c r="E83" s="867">
        <f t="shared" ref="E83:L83" si="0">SUM(E73:E81)</f>
        <v>965873.6</v>
      </c>
      <c r="F83" s="867">
        <f t="shared" si="0"/>
        <v>56874768.280000001</v>
      </c>
      <c r="G83" s="867">
        <f t="shared" si="0"/>
        <v>1148899</v>
      </c>
      <c r="H83" s="867">
        <f t="shared" si="0"/>
        <v>55738060</v>
      </c>
      <c r="I83" s="867">
        <f t="shared" si="0"/>
        <v>106253716</v>
      </c>
      <c r="J83" s="867">
        <f t="shared" si="0"/>
        <v>41335448</v>
      </c>
      <c r="K83" s="867">
        <f t="shared" si="0"/>
        <v>9634910</v>
      </c>
      <c r="L83" s="867">
        <f t="shared" si="0"/>
        <v>6872821.46</v>
      </c>
    </row>
    <row r="87" spans="2:12" x14ac:dyDescent="0.25">
      <c r="B87" t="s">
        <v>1606</v>
      </c>
    </row>
    <row r="88" spans="2:12" x14ac:dyDescent="0.25">
      <c r="B88" t="s">
        <v>1607</v>
      </c>
    </row>
    <row r="90" spans="2:12" x14ac:dyDescent="0.25">
      <c r="B90" t="s">
        <v>1608</v>
      </c>
    </row>
    <row r="91" spans="2:12" x14ac:dyDescent="0.25">
      <c r="B91" t="s">
        <v>1609</v>
      </c>
    </row>
    <row r="92" spans="2:12" x14ac:dyDescent="0.25">
      <c r="B92" t="s">
        <v>1610</v>
      </c>
    </row>
    <row r="97" spans="2:2" x14ac:dyDescent="0.25">
      <c r="B97" s="474" t="s">
        <v>1612</v>
      </c>
    </row>
    <row r="98" spans="2:2" x14ac:dyDescent="0.25">
      <c r="B98" s="474" t="s">
        <v>1613</v>
      </c>
    </row>
    <row r="99" spans="2:2" ht="16.5" x14ac:dyDescent="0.3">
      <c r="B99" s="66"/>
    </row>
    <row r="100" spans="2:2" ht="16.5" x14ac:dyDescent="0.3">
      <c r="B100" s="66"/>
    </row>
    <row r="101" spans="2:2" ht="16.5" x14ac:dyDescent="0.3">
      <c r="B101" s="66"/>
    </row>
    <row r="102" spans="2:2" x14ac:dyDescent="0.25">
      <c r="B102" s="474" t="s">
        <v>1614</v>
      </c>
    </row>
    <row r="103" spans="2:2" x14ac:dyDescent="0.25">
      <c r="B103" s="474" t="s">
        <v>1615</v>
      </c>
    </row>
  </sheetData>
  <mergeCells count="8">
    <mergeCell ref="B60:C60"/>
    <mergeCell ref="B71:L71"/>
    <mergeCell ref="B3:G3"/>
    <mergeCell ref="B4:G4"/>
    <mergeCell ref="B5:G5"/>
    <mergeCell ref="B7:G7"/>
    <mergeCell ref="B8:C8"/>
    <mergeCell ref="D8:E8"/>
  </mergeCells>
  <pageMargins left="0.15748031496062992" right="0.11811023622047245" top="0.74803149606299213" bottom="0.74803149606299213" header="0.35433070866141736"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7030A0"/>
    <pageSetUpPr fitToPage="1"/>
  </sheetPr>
  <dimension ref="A1:H49"/>
  <sheetViews>
    <sheetView zoomScaleNormal="100" zoomScaleSheetLayoutView="100" workbookViewId="0">
      <selection activeCell="A2" sqref="A2:F2"/>
    </sheetView>
  </sheetViews>
  <sheetFormatPr baseColWidth="10" defaultColWidth="11.42578125" defaultRowHeight="16.5" x14ac:dyDescent="0.3"/>
  <cols>
    <col min="1" max="1" width="47.5703125" style="126" customWidth="1"/>
    <col min="2" max="6" width="14.85546875" style="126" customWidth="1"/>
    <col min="7" max="7" width="73.28515625" style="201" customWidth="1"/>
    <col min="8" max="8" width="47.85546875" style="126" customWidth="1"/>
    <col min="9" max="16384" width="11.42578125" style="126"/>
  </cols>
  <sheetData>
    <row r="1" spans="1:7" ht="18.75" x14ac:dyDescent="0.3">
      <c r="A1" s="886" t="s">
        <v>76</v>
      </c>
      <c r="B1" s="886"/>
      <c r="C1" s="886"/>
      <c r="D1" s="886"/>
      <c r="E1" s="886"/>
      <c r="F1" s="886"/>
      <c r="G1" s="570"/>
    </row>
    <row r="2" spans="1:7" s="127" customFormat="1" ht="18" x14ac:dyDescent="0.25">
      <c r="A2" s="885" t="s">
        <v>1621</v>
      </c>
      <c r="B2" s="885"/>
      <c r="C2" s="885"/>
      <c r="D2" s="885"/>
      <c r="E2" s="885"/>
      <c r="F2" s="885"/>
      <c r="G2" s="570"/>
    </row>
    <row r="3" spans="1:7" s="127" customFormat="1" ht="18" x14ac:dyDescent="0.25">
      <c r="A3" s="884" t="s">
        <v>587</v>
      </c>
      <c r="B3" s="884"/>
      <c r="C3" s="884"/>
      <c r="D3" s="884"/>
      <c r="E3" s="884"/>
      <c r="F3" s="884"/>
      <c r="G3" s="570"/>
    </row>
    <row r="4" spans="1:7" s="127" customFormat="1" ht="18" x14ac:dyDescent="0.25">
      <c r="A4" s="884" t="s">
        <v>590</v>
      </c>
      <c r="B4" s="884"/>
      <c r="C4" s="884"/>
      <c r="D4" s="884"/>
      <c r="E4" s="884"/>
      <c r="F4" s="884"/>
      <c r="G4" s="570"/>
    </row>
    <row r="5" spans="1:7" s="128" customFormat="1" ht="19.5" thickBot="1" x14ac:dyDescent="0.35">
      <c r="A5" s="887" t="s">
        <v>196</v>
      </c>
      <c r="B5" s="887"/>
      <c r="C5" s="887"/>
      <c r="D5" s="887"/>
      <c r="E5" s="68" t="s">
        <v>79</v>
      </c>
      <c r="F5" s="562" t="s">
        <v>589</v>
      </c>
      <c r="G5" s="570"/>
    </row>
    <row r="6" spans="1:7" s="155" customFormat="1" ht="64.5" thickBot="1" x14ac:dyDescent="0.3">
      <c r="A6" s="413" t="s">
        <v>197</v>
      </c>
      <c r="B6" s="247" t="s">
        <v>198</v>
      </c>
      <c r="C6" s="247" t="s">
        <v>199</v>
      </c>
      <c r="D6" s="247" t="s">
        <v>200</v>
      </c>
      <c r="E6" s="247" t="s">
        <v>201</v>
      </c>
      <c r="F6" s="414" t="s">
        <v>202</v>
      </c>
      <c r="G6" s="570"/>
    </row>
    <row r="7" spans="1:7" s="156" customFormat="1" ht="18" x14ac:dyDescent="0.25">
      <c r="A7" s="415"/>
      <c r="B7" s="416"/>
      <c r="C7" s="416"/>
      <c r="D7" s="416"/>
      <c r="E7" s="416"/>
      <c r="F7" s="417"/>
      <c r="G7" s="570"/>
    </row>
    <row r="8" spans="1:7" s="157" customFormat="1" ht="18" x14ac:dyDescent="0.25">
      <c r="A8" s="418" t="s">
        <v>132</v>
      </c>
      <c r="B8" s="732"/>
      <c r="C8" s="731">
        <v>-77821412.159999996</v>
      </c>
      <c r="D8" s="731">
        <v>-468588726.12</v>
      </c>
      <c r="E8" s="419"/>
      <c r="F8" s="424">
        <f>+D8+C8</f>
        <v>-546410138.27999997</v>
      </c>
      <c r="G8" s="570"/>
    </row>
    <row r="9" spans="1:7" s="157" customFormat="1" ht="16.5" customHeight="1" x14ac:dyDescent="0.25">
      <c r="A9" s="418"/>
      <c r="B9" s="419"/>
      <c r="C9" s="419"/>
      <c r="D9" s="419"/>
      <c r="E9" s="419"/>
      <c r="F9" s="420"/>
      <c r="G9" s="570"/>
    </row>
    <row r="10" spans="1:7" s="157" customFormat="1" ht="16.5" customHeight="1" x14ac:dyDescent="0.25">
      <c r="A10" s="418" t="s">
        <v>203</v>
      </c>
      <c r="B10" s="421">
        <f>SUM(B11:B13)</f>
        <v>0</v>
      </c>
      <c r="C10" s="421">
        <f t="shared" ref="C10:E10" si="0">SUM(C11:C13)</f>
        <v>0</v>
      </c>
      <c r="D10" s="421">
        <f>SUM(D11:D13)</f>
        <v>0</v>
      </c>
      <c r="E10" s="421">
        <f t="shared" si="0"/>
        <v>0</v>
      </c>
      <c r="F10" s="421">
        <f>SUM(B10:E10)</f>
        <v>0</v>
      </c>
      <c r="G10" s="570"/>
    </row>
    <row r="11" spans="1:7" s="157" customFormat="1" ht="16.5" customHeight="1" x14ac:dyDescent="0.25">
      <c r="A11" s="423" t="s">
        <v>124</v>
      </c>
      <c r="B11" s="424"/>
      <c r="C11" s="424"/>
      <c r="D11" s="424"/>
      <c r="E11" s="424"/>
      <c r="F11" s="424">
        <f>SUM(B11:E11)</f>
        <v>0</v>
      </c>
      <c r="G11" s="570"/>
    </row>
    <row r="12" spans="1:7" s="157" customFormat="1" ht="16.5" customHeight="1" x14ac:dyDescent="0.25">
      <c r="A12" s="423" t="s">
        <v>125</v>
      </c>
      <c r="B12" s="424" t="s">
        <v>143</v>
      </c>
      <c r="C12" s="424"/>
      <c r="D12" s="424"/>
      <c r="E12" s="424"/>
      <c r="F12" s="424">
        <f t="shared" ref="F12:F13" si="1">SUM(B12:E12)</f>
        <v>0</v>
      </c>
      <c r="G12" s="570"/>
    </row>
    <row r="13" spans="1:7" s="157" customFormat="1" ht="16.5" customHeight="1" x14ac:dyDescent="0.25">
      <c r="A13" s="423" t="s">
        <v>126</v>
      </c>
      <c r="B13" s="424"/>
      <c r="C13" s="424"/>
      <c r="D13" s="424"/>
      <c r="E13" s="424"/>
      <c r="F13" s="424">
        <f t="shared" si="1"/>
        <v>0</v>
      </c>
      <c r="G13" s="570"/>
    </row>
    <row r="14" spans="1:7" s="157" customFormat="1" ht="16.5" customHeight="1" x14ac:dyDescent="0.25">
      <c r="A14" s="418"/>
      <c r="B14" s="424"/>
      <c r="C14" s="424"/>
      <c r="D14" s="424"/>
      <c r="E14" s="424"/>
      <c r="F14" s="426"/>
      <c r="G14" s="570"/>
    </row>
    <row r="15" spans="1:7" s="157" customFormat="1" ht="18" x14ac:dyDescent="0.25">
      <c r="A15" s="418" t="s">
        <v>204</v>
      </c>
      <c r="B15" s="421">
        <f>SUM(B16:B19)</f>
        <v>0</v>
      </c>
      <c r="C15" s="421">
        <f>SUM(C16:C19)+C8</f>
        <v>124120384.80000001</v>
      </c>
      <c r="D15" s="421">
        <f t="shared" ref="D15:F15" si="2">SUM(D16:D19)</f>
        <v>468588726.12</v>
      </c>
      <c r="E15" s="421">
        <f t="shared" si="2"/>
        <v>0</v>
      </c>
      <c r="F15" s="422">
        <f t="shared" si="2"/>
        <v>670530523.08000004</v>
      </c>
      <c r="G15" s="570"/>
    </row>
    <row r="16" spans="1:7" s="157" customFormat="1" ht="16.5" customHeight="1" x14ac:dyDescent="0.25">
      <c r="A16" s="423" t="s">
        <v>194</v>
      </c>
      <c r="B16" s="424"/>
      <c r="C16" s="424" t="s">
        <v>143</v>
      </c>
      <c r="D16" s="424">
        <v>468588726.12</v>
      </c>
      <c r="E16" s="424"/>
      <c r="F16" s="425">
        <f>SUM(B16:E16)</f>
        <v>468588726.12</v>
      </c>
      <c r="G16" s="570"/>
    </row>
    <row r="17" spans="1:7" s="157" customFormat="1" ht="16.5" customHeight="1" x14ac:dyDescent="0.25">
      <c r="A17" s="423" t="s">
        <v>129</v>
      </c>
      <c r="B17" s="424"/>
      <c r="C17" s="424">
        <v>201941796.96000001</v>
      </c>
      <c r="D17" s="424" t="s">
        <v>143</v>
      </c>
      <c r="E17" s="424"/>
      <c r="F17" s="425">
        <f t="shared" ref="F17:F19" si="3">SUM(B17:E17)</f>
        <v>201941796.96000001</v>
      </c>
      <c r="G17" s="570"/>
    </row>
    <row r="18" spans="1:7" s="157" customFormat="1" ht="16.5" customHeight="1" x14ac:dyDescent="0.25">
      <c r="A18" s="423" t="s">
        <v>130</v>
      </c>
      <c r="B18" s="424"/>
      <c r="C18" s="424"/>
      <c r="D18" s="424"/>
      <c r="E18" s="424"/>
      <c r="F18" s="425">
        <f t="shared" si="3"/>
        <v>0</v>
      </c>
      <c r="G18" s="570"/>
    </row>
    <row r="19" spans="1:7" s="157" customFormat="1" ht="16.5" customHeight="1" x14ac:dyDescent="0.25">
      <c r="A19" s="423" t="s">
        <v>131</v>
      </c>
      <c r="B19" s="424" t="s">
        <v>143</v>
      </c>
      <c r="C19" s="424" t="s">
        <v>143</v>
      </c>
      <c r="D19" s="424"/>
      <c r="E19" s="424"/>
      <c r="F19" s="425">
        <f t="shared" si="3"/>
        <v>0</v>
      </c>
      <c r="G19" s="570"/>
    </row>
    <row r="20" spans="1:7" s="157" customFormat="1" ht="16.5" customHeight="1" x14ac:dyDescent="0.25">
      <c r="A20" s="418"/>
      <c r="B20" s="424"/>
      <c r="C20" s="424"/>
      <c r="D20" s="424"/>
      <c r="E20" s="424" t="s">
        <v>143</v>
      </c>
      <c r="F20" s="426"/>
      <c r="G20" s="570"/>
    </row>
    <row r="21" spans="1:7" s="157" customFormat="1" ht="18" x14ac:dyDescent="0.25">
      <c r="A21" s="418" t="s">
        <v>205</v>
      </c>
      <c r="B21" s="427">
        <f>B10</f>
        <v>0</v>
      </c>
      <c r="C21" s="427">
        <f>C15</f>
        <v>124120384.80000001</v>
      </c>
      <c r="D21" s="427">
        <f>D15</f>
        <v>468588726.12</v>
      </c>
      <c r="E21" s="427">
        <f>E15+E10</f>
        <v>0</v>
      </c>
      <c r="F21" s="422">
        <f t="shared" ref="F21" si="4">F15++F10</f>
        <v>670530523.08000004</v>
      </c>
      <c r="G21" s="570"/>
    </row>
    <row r="22" spans="1:7" s="157" customFormat="1" ht="16.5" customHeight="1" x14ac:dyDescent="0.25">
      <c r="A22" s="418"/>
      <c r="B22" s="424"/>
      <c r="C22" s="424"/>
      <c r="D22" s="424"/>
      <c r="E22" s="424"/>
      <c r="F22" s="426"/>
      <c r="G22" s="570"/>
    </row>
    <row r="23" spans="1:7" s="157" customFormat="1" ht="18" x14ac:dyDescent="0.25">
      <c r="A23" s="418" t="s">
        <v>206</v>
      </c>
      <c r="B23" s="421">
        <f>SUM(B24:B26)</f>
        <v>0</v>
      </c>
      <c r="C23" s="421">
        <f t="shared" ref="C23:F23" si="5">SUM(C24:C26)</f>
        <v>0</v>
      </c>
      <c r="D23" s="421">
        <f t="shared" si="5"/>
        <v>0</v>
      </c>
      <c r="E23" s="421">
        <f t="shared" si="5"/>
        <v>0</v>
      </c>
      <c r="F23" s="422">
        <f t="shared" si="5"/>
        <v>0</v>
      </c>
      <c r="G23" s="570"/>
    </row>
    <row r="24" spans="1:7" s="157" customFormat="1" ht="16.5" customHeight="1" x14ac:dyDescent="0.25">
      <c r="A24" s="423" t="s">
        <v>124</v>
      </c>
      <c r="B24" s="424"/>
      <c r="C24" s="424"/>
      <c r="D24" s="424"/>
      <c r="E24" s="424"/>
      <c r="F24" s="425">
        <f t="shared" ref="F24:F26" si="6">SUM(B24:E24)</f>
        <v>0</v>
      </c>
      <c r="G24" s="570"/>
    </row>
    <row r="25" spans="1:7" s="157" customFormat="1" ht="16.5" customHeight="1" x14ac:dyDescent="0.25">
      <c r="A25" s="423" t="s">
        <v>125</v>
      </c>
      <c r="B25" s="424" t="s">
        <v>143</v>
      </c>
      <c r="C25" s="424"/>
      <c r="D25" s="424"/>
      <c r="E25" s="424"/>
      <c r="F25" s="425">
        <f t="shared" si="6"/>
        <v>0</v>
      </c>
      <c r="G25" s="570"/>
    </row>
    <row r="26" spans="1:7" s="157" customFormat="1" ht="16.5" customHeight="1" x14ac:dyDescent="0.25">
      <c r="A26" s="423" t="s">
        <v>126</v>
      </c>
      <c r="B26" s="424"/>
      <c r="C26" s="424"/>
      <c r="D26" s="424"/>
      <c r="E26" s="424"/>
      <c r="F26" s="425">
        <f t="shared" si="6"/>
        <v>0</v>
      </c>
      <c r="G26" s="570"/>
    </row>
    <row r="27" spans="1:7" s="157" customFormat="1" ht="16.5" customHeight="1" x14ac:dyDescent="0.25">
      <c r="A27" s="418"/>
      <c r="B27" s="424"/>
      <c r="C27" s="424"/>
      <c r="D27" s="424"/>
      <c r="E27" s="424"/>
      <c r="F27" s="426"/>
      <c r="G27" s="570"/>
    </row>
    <row r="28" spans="1:7" s="157" customFormat="1" ht="18" x14ac:dyDescent="0.25">
      <c r="A28" s="418" t="s">
        <v>204</v>
      </c>
      <c r="B28" s="421">
        <f>SUM(B29:B32)</f>
        <v>0</v>
      </c>
      <c r="C28" s="421">
        <f>SUM(C30:C32)</f>
        <v>468588726.12</v>
      </c>
      <c r="D28" s="421">
        <f t="shared" ref="D28:F28" si="7">SUM(D29:D32)</f>
        <v>211429702.68000001</v>
      </c>
      <c r="E28" s="421">
        <f t="shared" si="7"/>
        <v>0</v>
      </c>
      <c r="F28" s="422">
        <f t="shared" si="7"/>
        <v>680018428.79999995</v>
      </c>
      <c r="G28" s="570"/>
    </row>
    <row r="29" spans="1:7" s="157" customFormat="1" ht="16.5" customHeight="1" x14ac:dyDescent="0.25">
      <c r="A29" s="423" t="s">
        <v>194</v>
      </c>
      <c r="B29" s="424"/>
      <c r="C29" s="157" t="s">
        <v>143</v>
      </c>
      <c r="D29" s="424">
        <v>211429702.68000001</v>
      </c>
      <c r="E29" s="424"/>
      <c r="F29" s="425">
        <f t="shared" ref="F29:F32" si="8">SUM(B29:E29)</f>
        <v>211429702.68000001</v>
      </c>
      <c r="G29" s="570"/>
    </row>
    <row r="30" spans="1:7" s="157" customFormat="1" ht="16.5" customHeight="1" x14ac:dyDescent="0.25">
      <c r="A30" s="423" t="s">
        <v>129</v>
      </c>
      <c r="B30" s="424"/>
      <c r="C30" s="424">
        <v>468588726.12</v>
      </c>
      <c r="D30" s="424"/>
      <c r="E30" s="424"/>
      <c r="F30" s="425">
        <f t="shared" si="8"/>
        <v>468588726.12</v>
      </c>
      <c r="G30" s="570"/>
    </row>
    <row r="31" spans="1:7" s="157" customFormat="1" ht="16.5" customHeight="1" x14ac:dyDescent="0.25">
      <c r="A31" s="423" t="s">
        <v>130</v>
      </c>
      <c r="B31" s="424"/>
      <c r="C31" s="424"/>
      <c r="D31" s="424"/>
      <c r="E31" s="424"/>
      <c r="F31" s="425">
        <f t="shared" si="8"/>
        <v>0</v>
      </c>
      <c r="G31" s="570"/>
    </row>
    <row r="32" spans="1:7" s="157" customFormat="1" ht="16.5" customHeight="1" x14ac:dyDescent="0.25">
      <c r="A32" s="423" t="s">
        <v>131</v>
      </c>
      <c r="B32" s="424"/>
      <c r="C32" s="424"/>
      <c r="D32" s="424"/>
      <c r="E32" s="424"/>
      <c r="F32" s="425">
        <f t="shared" si="8"/>
        <v>0</v>
      </c>
      <c r="G32" s="570"/>
    </row>
    <row r="33" spans="1:8" s="157" customFormat="1" ht="16.5" customHeight="1" x14ac:dyDescent="0.25">
      <c r="A33" s="418"/>
      <c r="B33" s="428"/>
      <c r="C33" s="428"/>
      <c r="D33" s="428"/>
      <c r="E33" s="428"/>
      <c r="F33" s="429"/>
      <c r="G33" s="570"/>
    </row>
    <row r="34" spans="1:8" s="157" customFormat="1" ht="16.5" customHeight="1" x14ac:dyDescent="0.25">
      <c r="A34" s="418" t="s">
        <v>207</v>
      </c>
      <c r="B34" s="427">
        <f>B23+B21</f>
        <v>0</v>
      </c>
      <c r="C34" s="427">
        <f>C28+C21</f>
        <v>592709110.92000008</v>
      </c>
      <c r="D34" s="427">
        <f>D28+D21</f>
        <v>680018428.79999995</v>
      </c>
      <c r="E34" s="427">
        <f t="shared" ref="E34" si="9">E28+E23+E21</f>
        <v>0</v>
      </c>
      <c r="F34" s="422">
        <f>F28+F23+F21+F8</f>
        <v>804138813.60000014</v>
      </c>
      <c r="G34" s="549" t="str">
        <f>IF((B34+C34+D34+E34)&lt;&gt;F34,"ERROR!!!!! LA SUMA DE LOS TOTALES DE LAS COLUMNAS DEL PATRIMONIO 2016, NO COINCIDE CON LO REPORTADO EN LA COLUMNA DEL TOTAL","")</f>
        <v>ERROR!!!!! LA SUMA DE LOS TOTALES DE LAS COLUMNAS DEL PATRIMONIO 2016, NO COINCIDE CON LO REPORTADO EN LA COLUMNA DEL TOTAL</v>
      </c>
    </row>
    <row r="35" spans="1:8" s="156" customFormat="1" ht="16.5" customHeight="1" thickBot="1" x14ac:dyDescent="0.25">
      <c r="A35" s="430"/>
      <c r="B35" s="431"/>
      <c r="C35" s="431"/>
      <c r="D35" s="431"/>
      <c r="E35" s="431"/>
      <c r="F35" s="432"/>
      <c r="G35" s="635" t="s">
        <v>143</v>
      </c>
      <c r="H35" s="635" t="str">
        <f>IF(C$34-'ETCA-I-01'!K35&gt;0.99,"ERROR!!!,NO CONCUERDA CON LO REPORTADO EN EL ETCA-I-01 EN EL MISMO RUBRO","")</f>
        <v>ERROR!!!,NO CONCUERDA CON LO REPORTADO EN EL ETCA-I-01 EN EL MISMO RUBRO</v>
      </c>
    </row>
    <row r="36" spans="1:8" s="156" customFormat="1" ht="16.5" customHeight="1" x14ac:dyDescent="0.3">
      <c r="A36" s="577" t="s">
        <v>138</v>
      </c>
      <c r="B36" s="636"/>
      <c r="C36" s="636"/>
      <c r="D36" s="70"/>
      <c r="E36" s="638" t="s">
        <v>143</v>
      </c>
      <c r="F36" s="638" t="s">
        <v>143</v>
      </c>
      <c r="G36" s="549" t="str">
        <f>IF(F34&lt;&gt;'ETCA-I-03'!E50,"ERROR!!!!! EL PATRIMONIO 2016 PRESENTADO, NO CONCUERDA CON LO REPORTADO EN EL ESTADO DE SITUACION FINANCIERA","")</f>
        <v>ERROR!!!!! EL PATRIMONIO 2016 PRESENTADO, NO CONCUERDA CON LO REPORTADO EN EL ESTADO DE SITUACION FINANCIERA</v>
      </c>
      <c r="H36" s="635"/>
    </row>
    <row r="37" spans="1:8" s="156" customFormat="1" ht="16.5" customHeight="1" x14ac:dyDescent="0.2">
      <c r="A37" s="638" t="s">
        <v>143</v>
      </c>
      <c r="B37" s="140" t="s">
        <v>143</v>
      </c>
      <c r="C37" s="639"/>
      <c r="D37" s="638" t="s">
        <v>143</v>
      </c>
      <c r="E37" s="638" t="s">
        <v>143</v>
      </c>
      <c r="F37" s="638" t="s">
        <v>143</v>
      </c>
      <c r="G37" s="549" t="str">
        <f>IF(B34&lt;&gt;'ETCA-I-01'!E36,"ERROR!!!!! EL PATRIMONIO CONTRIBUIDO 2016 PRESENTADO, NO CONCUERDA CON LO REPORTADO EN EL ESTADO DE SITUACION FINANCIERA","")</f>
        <v/>
      </c>
      <c r="H37" s="635"/>
    </row>
    <row r="38" spans="1:8" s="156" customFormat="1" ht="16.5" customHeight="1" x14ac:dyDescent="0.3">
      <c r="A38" s="638" t="s">
        <v>143</v>
      </c>
      <c r="B38" s="66" t="s">
        <v>143</v>
      </c>
      <c r="C38" s="66" t="s">
        <v>143</v>
      </c>
      <c r="D38" s="66" t="s">
        <v>143</v>
      </c>
      <c r="E38" s="66"/>
      <c r="F38" s="66"/>
      <c r="G38" s="549"/>
      <c r="H38" s="635"/>
    </row>
    <row r="39" spans="1:8" s="156" customFormat="1" ht="16.5" customHeight="1" x14ac:dyDescent="0.3">
      <c r="A39" s="474" t="s">
        <v>1612</v>
      </c>
      <c r="B39" s="474"/>
      <c r="C39" s="66" t="s">
        <v>143</v>
      </c>
      <c r="D39" s="66" t="s">
        <v>143</v>
      </c>
      <c r="E39" s="66"/>
      <c r="F39" s="66"/>
      <c r="G39" s="549"/>
      <c r="H39" s="635"/>
    </row>
    <row r="40" spans="1:8" s="156" customFormat="1" ht="16.5" customHeight="1" x14ac:dyDescent="0.3">
      <c r="A40" s="474" t="s">
        <v>1613</v>
      </c>
      <c r="B40" s="66"/>
      <c r="C40" s="66" t="s">
        <v>143</v>
      </c>
      <c r="D40" s="66" t="s">
        <v>143</v>
      </c>
      <c r="E40" s="66"/>
      <c r="F40" s="66"/>
      <c r="G40" s="635"/>
      <c r="H40" s="635"/>
    </row>
    <row r="41" spans="1:8" ht="19.5" customHeight="1" x14ac:dyDescent="0.3">
      <c r="A41" s="66"/>
      <c r="B41" s="561" t="s">
        <v>143</v>
      </c>
      <c r="D41" s="561"/>
      <c r="E41" s="561"/>
      <c r="F41" s="561"/>
      <c r="G41" s="549" t="s">
        <v>143</v>
      </c>
      <c r="H41" s="561"/>
    </row>
    <row r="42" spans="1:8" ht="17.25" customHeight="1" x14ac:dyDescent="0.3">
      <c r="A42" s="66"/>
      <c r="G42" s="549"/>
    </row>
    <row r="43" spans="1:8" ht="17.25" customHeight="1" x14ac:dyDescent="0.3">
      <c r="A43" s="66"/>
      <c r="G43" s="549" t="str">
        <f>IF(D34&lt;&gt;'ETCA-I-01'!E41,"ERROR!!!!! EL MONTO NO COINCIDE CON LO REPORTADO EN EL FORMATO ETCA-I-01 EN EL TOTAL RESULTADO DEL EJERCICIO","")</f>
        <v>ERROR!!!!! EL MONTO NO COINCIDE CON LO REPORTADO EN EL FORMATO ETCA-I-01 EN EL TOTAL RESULTADO DEL EJERCICIO</v>
      </c>
    </row>
    <row r="44" spans="1:8" ht="17.25" customHeight="1" x14ac:dyDescent="0.3">
      <c r="A44" s="474" t="s">
        <v>1614</v>
      </c>
      <c r="G44" s="549" t="str">
        <f>IF(C34&lt;&gt;'ETCA-I-01'!E42,"ERROR!!!!! EL MONTO NO COINCIDE CON LO REPORTADO EN EL FORMATO ETCA-I-01 EN EL TOTAL RESULTADO DE EJERCICIOS ANTERIORES","")</f>
        <v/>
      </c>
    </row>
    <row r="45" spans="1:8" ht="17.25" customHeight="1" x14ac:dyDescent="0.3">
      <c r="A45" s="474" t="s">
        <v>1615</v>
      </c>
      <c r="G45" s="561"/>
    </row>
    <row r="46" spans="1:8" ht="17.25" customHeight="1" x14ac:dyDescent="0.3">
      <c r="A46" s="578"/>
      <c r="G46" s="561"/>
    </row>
    <row r="47" spans="1:8" ht="17.25" customHeight="1" x14ac:dyDescent="0.3">
      <c r="G47" s="635"/>
    </row>
    <row r="48" spans="1:8" ht="17.25" customHeight="1" x14ac:dyDescent="0.3">
      <c r="G48" s="201" t="s">
        <v>143</v>
      </c>
    </row>
    <row r="49" ht="17.25" customHeight="1" x14ac:dyDescent="0.3"/>
  </sheetData>
  <sheetProtection algorithmName="SHA-512" hashValue="Kh0UB6e8dERgrzvp//GstJEknKzxNYc2U09Vy+SmZgy4Y2m0IwqVIXblvavX6gNLNQgZf9kxnMycOo75HvQ/9A==" saltValue="fLRtee4B7k0+MC+YZQRSDw==" spinCount="100000" sheet="1" objects="1" scenarios="1" insertHyperlinks="0"/>
  <protectedRanges>
    <protectedRange algorithmName="SHA-512" hashValue="DnxZCsiWzkVfajEoNeh3bWR/KSkaQlGg69WdGxxA6j9+CqYObjdoi330+Pa3qIXionKkr1yfl1vUWI4ywnjIJA==" saltValue="PnCamTnDeR83jrwH4hVKjg==" spinCount="100000" sqref="B41:F41" name="Rango1"/>
  </protectedRanges>
  <mergeCells count="5">
    <mergeCell ref="A4:F4"/>
    <mergeCell ref="A2:F2"/>
    <mergeCell ref="A3:F3"/>
    <mergeCell ref="A1:F1"/>
    <mergeCell ref="A5:D5"/>
  </mergeCells>
  <printOptions horizontalCentered="1"/>
  <pageMargins left="0.39370078740157483" right="0.39370078740157483" top="0.74803149606299213" bottom="0.74803149606299213" header="0.31496062992125984" footer="0.31496062992125984"/>
  <pageSetup scale="8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7030A0"/>
    <pageSetUpPr fitToPage="1"/>
  </sheetPr>
  <dimension ref="A1:D74"/>
  <sheetViews>
    <sheetView view="pageBreakPreview" zoomScaleNormal="100" zoomScaleSheetLayoutView="100" workbookViewId="0">
      <selection activeCell="A2" sqref="A2:C2"/>
    </sheetView>
  </sheetViews>
  <sheetFormatPr baseColWidth="10" defaultColWidth="11.42578125" defaultRowHeight="16.5" x14ac:dyDescent="0.3"/>
  <cols>
    <col min="1" max="1" width="80.85546875" style="158" bestFit="1" customWidth="1"/>
    <col min="2" max="3" width="17" style="158" customWidth="1"/>
    <col min="4" max="16384" width="11.42578125" style="158"/>
  </cols>
  <sheetData>
    <row r="1" spans="1:4" x14ac:dyDescent="0.3">
      <c r="A1" s="886" t="s">
        <v>76</v>
      </c>
      <c r="B1" s="886"/>
      <c r="C1" s="886"/>
    </row>
    <row r="2" spans="1:4" s="127" customFormat="1" ht="15.75" x14ac:dyDescent="0.25">
      <c r="A2" s="885" t="s">
        <v>1622</v>
      </c>
      <c r="B2" s="885"/>
      <c r="C2" s="885"/>
    </row>
    <row r="3" spans="1:4" s="127" customFormat="1" x14ac:dyDescent="0.25">
      <c r="A3" s="884" t="s">
        <v>587</v>
      </c>
      <c r="B3" s="884"/>
      <c r="C3" s="884"/>
    </row>
    <row r="4" spans="1:4" s="127" customFormat="1" x14ac:dyDescent="0.25">
      <c r="A4" s="884" t="s">
        <v>590</v>
      </c>
      <c r="B4" s="884"/>
      <c r="C4" s="884"/>
    </row>
    <row r="5" spans="1:4" s="128" customFormat="1" ht="17.25" thickBot="1" x14ac:dyDescent="0.35">
      <c r="A5" s="71" t="s">
        <v>208</v>
      </c>
      <c r="B5" s="68" t="s">
        <v>79</v>
      </c>
      <c r="C5" s="72" t="s">
        <v>589</v>
      </c>
    </row>
    <row r="6" spans="1:4" ht="30" customHeight="1" thickBot="1" x14ac:dyDescent="0.35">
      <c r="A6" s="168"/>
      <c r="B6" s="169" t="s">
        <v>209</v>
      </c>
      <c r="C6" s="170" t="s">
        <v>210</v>
      </c>
    </row>
    <row r="7" spans="1:4" ht="17.25" thickTop="1" x14ac:dyDescent="0.3">
      <c r="A7" s="159" t="s">
        <v>211</v>
      </c>
      <c r="B7" s="171">
        <f>B8+B17</f>
        <v>53312997.769999996</v>
      </c>
      <c r="C7" s="172">
        <f>C8+C17</f>
        <v>4895706.57</v>
      </c>
    </row>
    <row r="8" spans="1:4" x14ac:dyDescent="0.3">
      <c r="A8" s="160" t="s">
        <v>82</v>
      </c>
      <c r="B8" s="173">
        <f>SUM(B9:B15)</f>
        <v>5187475.55</v>
      </c>
      <c r="C8" s="174">
        <f>SUM(C9:C15)</f>
        <v>3769769.86</v>
      </c>
    </row>
    <row r="9" spans="1:4" s="163" customFormat="1" ht="13.5" x14ac:dyDescent="0.25">
      <c r="A9" s="161" t="s">
        <v>84</v>
      </c>
      <c r="B9" s="162"/>
      <c r="C9" s="175">
        <v>3765110.58</v>
      </c>
      <c r="D9" s="579"/>
    </row>
    <row r="10" spans="1:4" s="163" customFormat="1" ht="13.5" x14ac:dyDescent="0.25">
      <c r="A10" s="161" t="s">
        <v>86</v>
      </c>
      <c r="B10" s="162"/>
      <c r="C10" s="175">
        <v>4659.28</v>
      </c>
    </row>
    <row r="11" spans="1:4" s="163" customFormat="1" ht="13.5" x14ac:dyDescent="0.25">
      <c r="A11" s="161" t="s">
        <v>88</v>
      </c>
      <c r="B11" s="162">
        <v>5187475.55</v>
      </c>
      <c r="C11" s="175"/>
    </row>
    <row r="12" spans="1:4" s="163" customFormat="1" ht="13.5" x14ac:dyDescent="0.25">
      <c r="A12" s="161" t="s">
        <v>212</v>
      </c>
      <c r="B12" s="162"/>
      <c r="C12" s="175"/>
    </row>
    <row r="13" spans="1:4" s="163" customFormat="1" ht="13.5" x14ac:dyDescent="0.25">
      <c r="A13" s="161" t="s">
        <v>92</v>
      </c>
      <c r="B13" s="162"/>
      <c r="C13" s="175"/>
    </row>
    <row r="14" spans="1:4" s="163" customFormat="1" ht="13.5" x14ac:dyDescent="0.25">
      <c r="A14" s="161" t="s">
        <v>94</v>
      </c>
      <c r="B14" s="162"/>
      <c r="C14" s="175"/>
    </row>
    <row r="15" spans="1:4" s="163" customFormat="1" ht="13.5" x14ac:dyDescent="0.25">
      <c r="A15" s="161" t="s">
        <v>96</v>
      </c>
      <c r="B15" s="162"/>
      <c r="C15" s="175"/>
    </row>
    <row r="16" spans="1:4" ht="5.25" customHeight="1" x14ac:dyDescent="0.3">
      <c r="A16" s="159"/>
      <c r="B16" s="176"/>
      <c r="C16" s="177"/>
    </row>
    <row r="17" spans="1:3" x14ac:dyDescent="0.3">
      <c r="A17" s="160" t="s">
        <v>101</v>
      </c>
      <c r="B17" s="173">
        <f>SUM(B18:B26)</f>
        <v>48125522.219999999</v>
      </c>
      <c r="C17" s="174">
        <f>SUM(C18:C26)</f>
        <v>1125936.71</v>
      </c>
    </row>
    <row r="18" spans="1:3" s="163" customFormat="1" ht="13.5" x14ac:dyDescent="0.25">
      <c r="A18" s="161" t="s">
        <v>103</v>
      </c>
      <c r="B18" s="162"/>
      <c r="C18" s="175"/>
    </row>
    <row r="19" spans="1:3" s="163" customFormat="1" ht="13.5" x14ac:dyDescent="0.25">
      <c r="A19" s="161" t="s">
        <v>105</v>
      </c>
      <c r="B19" s="162"/>
      <c r="C19" s="175"/>
    </row>
    <row r="20" spans="1:3" s="163" customFormat="1" ht="13.5" x14ac:dyDescent="0.25">
      <c r="A20" s="161" t="s">
        <v>107</v>
      </c>
      <c r="B20" s="162">
        <v>47940723.060000002</v>
      </c>
      <c r="C20" s="175"/>
    </row>
    <row r="21" spans="1:3" s="163" customFormat="1" ht="13.5" x14ac:dyDescent="0.25">
      <c r="A21" s="161" t="s">
        <v>109</v>
      </c>
      <c r="B21" s="162"/>
      <c r="C21" s="175">
        <v>1125936.71</v>
      </c>
    </row>
    <row r="22" spans="1:3" s="163" customFormat="1" ht="13.5" x14ac:dyDescent="0.25">
      <c r="A22" s="161" t="s">
        <v>111</v>
      </c>
      <c r="B22" s="162"/>
      <c r="C22" s="175"/>
    </row>
    <row r="23" spans="1:3" s="163" customFormat="1" ht="13.5" x14ac:dyDescent="0.25">
      <c r="A23" s="161" t="s">
        <v>113</v>
      </c>
      <c r="B23" s="162">
        <v>184799.16</v>
      </c>
      <c r="C23" s="175"/>
    </row>
    <row r="24" spans="1:3" s="163" customFormat="1" ht="13.5" x14ac:dyDescent="0.25">
      <c r="A24" s="161" t="s">
        <v>115</v>
      </c>
      <c r="B24" s="162"/>
      <c r="C24" s="175"/>
    </row>
    <row r="25" spans="1:3" s="163" customFormat="1" ht="13.5" x14ac:dyDescent="0.25">
      <c r="A25" s="161" t="s">
        <v>116</v>
      </c>
      <c r="B25" s="162"/>
      <c r="C25" s="175"/>
    </row>
    <row r="26" spans="1:3" s="163" customFormat="1" ht="13.5" x14ac:dyDescent="0.25">
      <c r="A26" s="161" t="s">
        <v>117</v>
      </c>
      <c r="B26" s="162"/>
      <c r="C26" s="175"/>
    </row>
    <row r="27" spans="1:3" ht="6.75" customHeight="1" x14ac:dyDescent="0.3">
      <c r="A27" s="164"/>
      <c r="B27" s="176"/>
      <c r="C27" s="177"/>
    </row>
    <row r="28" spans="1:3" x14ac:dyDescent="0.3">
      <c r="A28" s="159" t="s">
        <v>213</v>
      </c>
      <c r="B28" s="171">
        <f>B29+B39</f>
        <v>3647.82</v>
      </c>
      <c r="C28" s="172">
        <f>C29+C39</f>
        <v>182029229.53999999</v>
      </c>
    </row>
    <row r="29" spans="1:3" x14ac:dyDescent="0.3">
      <c r="A29" s="160" t="s">
        <v>83</v>
      </c>
      <c r="B29" s="173">
        <f>SUM(B30:B37)</f>
        <v>3647.82</v>
      </c>
      <c r="C29" s="174">
        <f>SUM(C30:C37)</f>
        <v>182029229.53999999</v>
      </c>
    </row>
    <row r="30" spans="1:3" s="163" customFormat="1" ht="13.5" x14ac:dyDescent="0.25">
      <c r="A30" s="161" t="s">
        <v>85</v>
      </c>
      <c r="B30" s="162"/>
      <c r="C30" s="175">
        <v>182029229.53999999</v>
      </c>
    </row>
    <row r="31" spans="1:3" s="163" customFormat="1" ht="13.5" x14ac:dyDescent="0.25">
      <c r="A31" s="161" t="s">
        <v>87</v>
      </c>
      <c r="B31" s="162"/>
      <c r="C31" s="175"/>
    </row>
    <row r="32" spans="1:3" s="163" customFormat="1" ht="13.5" x14ac:dyDescent="0.25">
      <c r="A32" s="161" t="s">
        <v>89</v>
      </c>
      <c r="B32" s="162"/>
      <c r="C32" s="175"/>
    </row>
    <row r="33" spans="1:3" s="163" customFormat="1" ht="13.5" x14ac:dyDescent="0.25">
      <c r="A33" s="161" t="s">
        <v>91</v>
      </c>
      <c r="B33" s="162"/>
      <c r="C33" s="175"/>
    </row>
    <row r="34" spans="1:3" s="163" customFormat="1" ht="13.5" x14ac:dyDescent="0.25">
      <c r="A34" s="161" t="s">
        <v>93</v>
      </c>
      <c r="B34" s="162"/>
      <c r="C34" s="175"/>
    </row>
    <row r="35" spans="1:3" s="163" customFormat="1" ht="13.5" x14ac:dyDescent="0.25">
      <c r="A35" s="161" t="s">
        <v>95</v>
      </c>
      <c r="B35" s="162"/>
      <c r="C35" s="175"/>
    </row>
    <row r="36" spans="1:3" s="163" customFormat="1" ht="13.5" x14ac:dyDescent="0.25">
      <c r="A36" s="161" t="s">
        <v>97</v>
      </c>
      <c r="B36" s="162"/>
      <c r="C36" s="175"/>
    </row>
    <row r="37" spans="1:3" s="163" customFormat="1" ht="13.5" x14ac:dyDescent="0.25">
      <c r="A37" s="161" t="s">
        <v>98</v>
      </c>
      <c r="B37" s="162">
        <v>3647.82</v>
      </c>
      <c r="C37" s="175"/>
    </row>
    <row r="38" spans="1:3" ht="6" customHeight="1" x14ac:dyDescent="0.3">
      <c r="A38" s="159"/>
      <c r="B38" s="178"/>
      <c r="C38" s="179"/>
    </row>
    <row r="39" spans="1:3" x14ac:dyDescent="0.3">
      <c r="A39" s="160" t="s">
        <v>102</v>
      </c>
      <c r="B39" s="173">
        <f>SUM(B40:B45)</f>
        <v>0</v>
      </c>
      <c r="C39" s="174">
        <f>SUM(C40:C45)</f>
        <v>0</v>
      </c>
    </row>
    <row r="40" spans="1:3" s="163" customFormat="1" ht="13.5" x14ac:dyDescent="0.25">
      <c r="A40" s="161" t="s">
        <v>104</v>
      </c>
      <c r="B40" s="162"/>
      <c r="C40" s="175"/>
    </row>
    <row r="41" spans="1:3" s="163" customFormat="1" ht="13.5" x14ac:dyDescent="0.25">
      <c r="A41" s="161" t="s">
        <v>106</v>
      </c>
      <c r="B41" s="162"/>
      <c r="C41" s="175"/>
    </row>
    <row r="42" spans="1:3" s="163" customFormat="1" ht="13.5" x14ac:dyDescent="0.25">
      <c r="A42" s="161" t="s">
        <v>108</v>
      </c>
      <c r="B42" s="162"/>
      <c r="C42" s="175"/>
    </row>
    <row r="43" spans="1:3" s="163" customFormat="1" ht="13.5" x14ac:dyDescent="0.25">
      <c r="A43" s="161" t="s">
        <v>110</v>
      </c>
      <c r="B43" s="162"/>
      <c r="C43" s="175"/>
    </row>
    <row r="44" spans="1:3" s="163" customFormat="1" ht="13.5" x14ac:dyDescent="0.25">
      <c r="A44" s="161" t="s">
        <v>112</v>
      </c>
      <c r="B44" s="162"/>
      <c r="C44" s="175"/>
    </row>
    <row r="45" spans="1:3" s="163" customFormat="1" ht="13.5" x14ac:dyDescent="0.25">
      <c r="A45" s="161" t="s">
        <v>114</v>
      </c>
      <c r="B45" s="162"/>
      <c r="C45" s="175"/>
    </row>
    <row r="46" spans="1:3" x14ac:dyDescent="0.3">
      <c r="A46" s="165"/>
      <c r="B46" s="176"/>
      <c r="C46" s="177"/>
    </row>
    <row r="47" spans="1:3" x14ac:dyDescent="0.3">
      <c r="A47" s="159" t="s">
        <v>214</v>
      </c>
      <c r="B47" s="171">
        <f>B48+B53</f>
        <v>390767313.95999998</v>
      </c>
      <c r="C47" s="172">
        <f>C48+C53</f>
        <v>257159023.44</v>
      </c>
    </row>
    <row r="48" spans="1:3" x14ac:dyDescent="0.3">
      <c r="A48" s="160" t="s">
        <v>123</v>
      </c>
      <c r="B48" s="173">
        <f>SUM(B49:B51)</f>
        <v>0</v>
      </c>
      <c r="C48" s="174">
        <f>SUM(C49:C51)</f>
        <v>0</v>
      </c>
    </row>
    <row r="49" spans="1:3" s="163" customFormat="1" ht="13.5" x14ac:dyDescent="0.25">
      <c r="A49" s="161" t="s">
        <v>124</v>
      </c>
      <c r="B49" s="162"/>
      <c r="C49" s="175"/>
    </row>
    <row r="50" spans="1:3" s="163" customFormat="1" ht="13.5" x14ac:dyDescent="0.25">
      <c r="A50" s="161" t="s">
        <v>125</v>
      </c>
      <c r="B50" s="162"/>
      <c r="C50" s="175"/>
    </row>
    <row r="51" spans="1:3" s="163" customFormat="1" ht="13.5" x14ac:dyDescent="0.25">
      <c r="A51" s="161" t="s">
        <v>126</v>
      </c>
      <c r="B51" s="162"/>
      <c r="C51" s="175"/>
    </row>
    <row r="52" spans="1:3" ht="6" customHeight="1" x14ac:dyDescent="0.3">
      <c r="A52" s="160"/>
      <c r="B52" s="178"/>
      <c r="C52" s="179"/>
    </row>
    <row r="53" spans="1:3" ht="15.75" customHeight="1" x14ac:dyDescent="0.3">
      <c r="A53" s="160" t="s">
        <v>127</v>
      </c>
      <c r="B53" s="173">
        <f>SUM(B54:B58)</f>
        <v>390767313.95999998</v>
      </c>
      <c r="C53" s="174">
        <f>SUM(C54:C58)</f>
        <v>257159023.44</v>
      </c>
    </row>
    <row r="54" spans="1:3" s="163" customFormat="1" ht="13.5" x14ac:dyDescent="0.25">
      <c r="A54" s="161" t="s">
        <v>128</v>
      </c>
      <c r="B54" s="162"/>
      <c r="C54" s="175">
        <v>257159023.44</v>
      </c>
    </row>
    <row r="55" spans="1:3" s="163" customFormat="1" ht="13.5" x14ac:dyDescent="0.25">
      <c r="A55" s="161" t="s">
        <v>129</v>
      </c>
      <c r="B55" s="162">
        <v>390767313.95999998</v>
      </c>
      <c r="C55" s="175"/>
    </row>
    <row r="56" spans="1:3" s="163" customFormat="1" ht="13.5" x14ac:dyDescent="0.25">
      <c r="A56" s="161" t="s">
        <v>130</v>
      </c>
      <c r="B56" s="162"/>
      <c r="C56" s="175"/>
    </row>
    <row r="57" spans="1:3" s="163" customFormat="1" ht="13.5" x14ac:dyDescent="0.25">
      <c r="A57" s="161" t="s">
        <v>131</v>
      </c>
      <c r="B57" s="162"/>
      <c r="C57" s="175"/>
    </row>
    <row r="58" spans="1:3" s="163" customFormat="1" ht="13.5" x14ac:dyDescent="0.25">
      <c r="A58" s="161" t="s">
        <v>132</v>
      </c>
      <c r="B58" s="180"/>
      <c r="C58" s="181"/>
    </row>
    <row r="59" spans="1:3" ht="7.5" customHeight="1" x14ac:dyDescent="0.3">
      <c r="A59" s="160"/>
      <c r="B59" s="176"/>
      <c r="C59" s="177"/>
    </row>
    <row r="60" spans="1:3" x14ac:dyDescent="0.3">
      <c r="A60" s="160" t="s">
        <v>215</v>
      </c>
      <c r="B60" s="173">
        <f>SUM(B61:B62)</f>
        <v>0</v>
      </c>
      <c r="C60" s="174">
        <f>SUM(C61:C62)</f>
        <v>0</v>
      </c>
    </row>
    <row r="61" spans="1:3" s="163" customFormat="1" ht="13.5" x14ac:dyDescent="0.25">
      <c r="A61" s="161" t="s">
        <v>134</v>
      </c>
      <c r="B61" s="162"/>
      <c r="C61" s="175"/>
    </row>
    <row r="62" spans="1:3" s="163" customFormat="1" ht="14.25" thickBot="1" x14ac:dyDescent="0.3">
      <c r="A62" s="166" t="s">
        <v>135</v>
      </c>
      <c r="B62" s="167"/>
      <c r="C62" s="182"/>
    </row>
    <row r="63" spans="1:3" s="163" customFormat="1" ht="13.5" x14ac:dyDescent="0.25">
      <c r="A63" s="155" t="s">
        <v>195</v>
      </c>
      <c r="B63" s="162"/>
      <c r="C63" s="162"/>
    </row>
    <row r="64" spans="1:3" s="163" customFormat="1" ht="13.5" x14ac:dyDescent="0.25">
      <c r="A64" s="640"/>
      <c r="B64" s="162"/>
      <c r="C64" s="162"/>
    </row>
    <row r="65" spans="1:3" s="163" customFormat="1" ht="13.5" x14ac:dyDescent="0.25">
      <c r="A65" s="640" t="s">
        <v>143</v>
      </c>
      <c r="B65" s="162"/>
      <c r="C65" s="162"/>
    </row>
    <row r="66" spans="1:3" s="163" customFormat="1" ht="13.5" x14ac:dyDescent="0.25">
      <c r="A66" s="640" t="s">
        <v>143</v>
      </c>
      <c r="B66" s="162"/>
      <c r="C66" s="162"/>
    </row>
    <row r="67" spans="1:3" x14ac:dyDescent="0.3">
      <c r="A67" s="155" t="s">
        <v>143</v>
      </c>
    </row>
    <row r="68" spans="1:3" x14ac:dyDescent="0.3">
      <c r="A68" s="474" t="s">
        <v>1612</v>
      </c>
    </row>
    <row r="69" spans="1:3" x14ac:dyDescent="0.3">
      <c r="A69" s="474" t="s">
        <v>1613</v>
      </c>
    </row>
    <row r="70" spans="1:3" x14ac:dyDescent="0.3">
      <c r="A70" s="66"/>
    </row>
    <row r="71" spans="1:3" x14ac:dyDescent="0.3">
      <c r="A71" s="66"/>
    </row>
    <row r="72" spans="1:3" x14ac:dyDescent="0.3">
      <c r="A72" s="66"/>
    </row>
    <row r="73" spans="1:3" x14ac:dyDescent="0.3">
      <c r="A73" s="474" t="s">
        <v>1614</v>
      </c>
    </row>
    <row r="74" spans="1:3" x14ac:dyDescent="0.3">
      <c r="A74" s="474" t="s">
        <v>1615</v>
      </c>
    </row>
  </sheetData>
  <sheetProtection algorithmName="SHA-512" hashValue="DB5ZPjquwMXKZ/okpudfI9m8N/1Ia10j6YZKoKK6UCP9u1MDt4SAoXCA7vg/4a2cnYx0vZc6yF3tFi5bpKKE5g==" saltValue="TzXJ8cYg9Lkb+PFwPsYv/Q==" spinCount="100000" sheet="1" objects="1" scenarios="1" insertHyperlinks="0" selectLockedCells="1"/>
  <mergeCells count="4">
    <mergeCell ref="A1:C1"/>
    <mergeCell ref="A3:C3"/>
    <mergeCell ref="A2:C2"/>
    <mergeCell ref="A4:C4"/>
  </mergeCells>
  <printOptions horizontalCentered="1"/>
  <pageMargins left="0.39370078740157483" right="0.39370078740157483" top="0.47244094488188981" bottom="0.39370078740157483" header="0.31496062992125984" footer="0.19685039370078741"/>
  <pageSetup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7030A0"/>
    <pageSetUpPr fitToPage="1"/>
  </sheetPr>
  <dimension ref="A1:E79"/>
  <sheetViews>
    <sheetView view="pageBreakPreview" zoomScale="150" zoomScaleNormal="100" zoomScaleSheetLayoutView="150" workbookViewId="0">
      <selection activeCell="A2" sqref="A2:D2"/>
    </sheetView>
  </sheetViews>
  <sheetFormatPr baseColWidth="10" defaultColWidth="11.42578125" defaultRowHeight="16.5" x14ac:dyDescent="0.3"/>
  <cols>
    <col min="1" max="1" width="2.85546875" style="66" customWidth="1"/>
    <col min="2" max="2" width="63.85546875" style="66" customWidth="1"/>
    <col min="3" max="4" width="12.7109375" style="66" customWidth="1"/>
    <col min="5" max="16384" width="11.42578125" style="66"/>
  </cols>
  <sheetData>
    <row r="1" spans="1:4" x14ac:dyDescent="0.3">
      <c r="A1" s="886" t="s">
        <v>76</v>
      </c>
      <c r="B1" s="886"/>
      <c r="C1" s="886"/>
      <c r="D1" s="886"/>
    </row>
    <row r="2" spans="1:4" x14ac:dyDescent="0.3">
      <c r="A2" s="885" t="s">
        <v>1623</v>
      </c>
      <c r="B2" s="885"/>
      <c r="C2" s="885"/>
      <c r="D2" s="885"/>
    </row>
    <row r="3" spans="1:4" x14ac:dyDescent="0.3">
      <c r="A3" s="884" t="s">
        <v>587</v>
      </c>
      <c r="B3" s="884"/>
      <c r="C3" s="884"/>
      <c r="D3" s="884"/>
    </row>
    <row r="4" spans="1:4" x14ac:dyDescent="0.3">
      <c r="A4" s="884" t="s">
        <v>588</v>
      </c>
      <c r="B4" s="884"/>
      <c r="C4" s="884"/>
      <c r="D4" s="884"/>
    </row>
    <row r="5" spans="1:4" ht="17.25" thickBot="1" x14ac:dyDescent="0.35">
      <c r="A5" s="881" t="s">
        <v>216</v>
      </c>
      <c r="B5" s="881"/>
      <c r="C5" s="68" t="s">
        <v>79</v>
      </c>
      <c r="D5" s="65"/>
    </row>
    <row r="6" spans="1:4" ht="23.25" customHeight="1" thickBot="1" x14ac:dyDescent="0.35">
      <c r="A6" s="890" t="s">
        <v>197</v>
      </c>
      <c r="B6" s="891"/>
      <c r="C6" s="218">
        <v>2016</v>
      </c>
      <c r="D6" s="219" t="s">
        <v>1617</v>
      </c>
    </row>
    <row r="7" spans="1:4" s="184" customFormat="1" ht="12" customHeight="1" thickTop="1" x14ac:dyDescent="0.25">
      <c r="A7" s="888" t="s">
        <v>217</v>
      </c>
      <c r="B7" s="889"/>
      <c r="C7" s="889"/>
      <c r="D7" s="183"/>
    </row>
    <row r="8" spans="1:4" s="184" customFormat="1" ht="12.75" customHeight="1" x14ac:dyDescent="0.25">
      <c r="A8" s="185"/>
      <c r="B8" s="186" t="s">
        <v>209</v>
      </c>
      <c r="C8" s="202">
        <f>SUM(C9:C19)</f>
        <v>232253640.22999999</v>
      </c>
      <c r="D8" s="203">
        <f>SUM(D9:D19)</f>
        <v>320351966.88999999</v>
      </c>
    </row>
    <row r="9" spans="1:4" s="188" customFormat="1" ht="11.1" customHeight="1" x14ac:dyDescent="0.25">
      <c r="A9" s="187"/>
      <c r="B9" s="199" t="s">
        <v>142</v>
      </c>
      <c r="C9" s="204"/>
      <c r="D9" s="205"/>
    </row>
    <row r="10" spans="1:4" s="188" customFormat="1" ht="11.1" customHeight="1" x14ac:dyDescent="0.25">
      <c r="A10" s="187"/>
      <c r="B10" s="199" t="s">
        <v>144</v>
      </c>
      <c r="C10" s="204"/>
      <c r="D10" s="205"/>
    </row>
    <row r="11" spans="1:4" s="188" customFormat="1" ht="11.1" customHeight="1" x14ac:dyDescent="0.25">
      <c r="A11" s="187"/>
      <c r="B11" s="199" t="s">
        <v>218</v>
      </c>
      <c r="C11" s="204"/>
      <c r="D11" s="205"/>
    </row>
    <row r="12" spans="1:4" s="188" customFormat="1" ht="11.1" customHeight="1" x14ac:dyDescent="0.25">
      <c r="A12" s="187"/>
      <c r="B12" s="199" t="s">
        <v>146</v>
      </c>
      <c r="C12" s="204"/>
      <c r="D12" s="205"/>
    </row>
    <row r="13" spans="1:4" s="188" customFormat="1" ht="11.1" customHeight="1" x14ac:dyDescent="0.25">
      <c r="A13" s="187"/>
      <c r="B13" s="199" t="s">
        <v>219</v>
      </c>
      <c r="C13" s="204"/>
      <c r="D13" s="205"/>
    </row>
    <row r="14" spans="1:4" s="188" customFormat="1" ht="11.1" customHeight="1" x14ac:dyDescent="0.25">
      <c r="A14" s="187"/>
      <c r="B14" s="199" t="s">
        <v>148</v>
      </c>
      <c r="C14" s="204"/>
      <c r="D14" s="205"/>
    </row>
    <row r="15" spans="1:4" s="188" customFormat="1" ht="11.1" customHeight="1" x14ac:dyDescent="0.25">
      <c r="A15" s="187"/>
      <c r="B15" s="199" t="s">
        <v>149</v>
      </c>
      <c r="C15" s="204"/>
      <c r="D15" s="205"/>
    </row>
    <row r="16" spans="1:4" s="188" customFormat="1" ht="22.5" customHeight="1" x14ac:dyDescent="0.25">
      <c r="A16" s="187"/>
      <c r="B16" s="199" t="s">
        <v>150</v>
      </c>
      <c r="C16" s="204"/>
      <c r="D16" s="205"/>
    </row>
    <row r="17" spans="1:4" s="188" customFormat="1" ht="12" customHeight="1" x14ac:dyDescent="0.25">
      <c r="A17" s="187"/>
      <c r="B17" s="199" t="s">
        <v>152</v>
      </c>
      <c r="C17" s="204">
        <v>29670000</v>
      </c>
      <c r="D17" s="733">
        <v>175442113.72</v>
      </c>
    </row>
    <row r="18" spans="1:4" s="188" customFormat="1" ht="12" customHeight="1" x14ac:dyDescent="0.25">
      <c r="A18" s="187"/>
      <c r="B18" s="199" t="s">
        <v>220</v>
      </c>
      <c r="C18" s="204">
        <v>202583640.22999999</v>
      </c>
      <c r="D18" s="733">
        <v>144909853.16999999</v>
      </c>
    </row>
    <row r="19" spans="1:4" s="188" customFormat="1" ht="12" customHeight="1" x14ac:dyDescent="0.25">
      <c r="A19" s="187"/>
      <c r="B19" s="199" t="s">
        <v>221</v>
      </c>
      <c r="C19" s="204"/>
      <c r="D19" s="733">
        <v>0</v>
      </c>
    </row>
    <row r="20" spans="1:4" s="184" customFormat="1" ht="13.5" customHeight="1" x14ac:dyDescent="0.25">
      <c r="A20" s="185"/>
      <c r="B20" s="186" t="s">
        <v>210</v>
      </c>
      <c r="C20" s="202">
        <f>SUM(C21:C36)</f>
        <v>174464846.45000002</v>
      </c>
      <c r="D20" s="203">
        <f>SUM(D21:D36)</f>
        <v>207435256.88999999</v>
      </c>
    </row>
    <row r="21" spans="1:4" s="184" customFormat="1" ht="11.1" customHeight="1" x14ac:dyDescent="0.25">
      <c r="A21" s="185"/>
      <c r="B21" s="199" t="s">
        <v>163</v>
      </c>
      <c r="C21" s="204">
        <v>8782261.5600000005</v>
      </c>
      <c r="D21" s="205">
        <v>9143370.0700000003</v>
      </c>
    </row>
    <row r="22" spans="1:4" s="184" customFormat="1" ht="11.1" customHeight="1" x14ac:dyDescent="0.25">
      <c r="A22" s="185"/>
      <c r="B22" s="199" t="s">
        <v>164</v>
      </c>
      <c r="C22" s="204">
        <v>884946.34</v>
      </c>
      <c r="D22" s="205">
        <v>788502.46</v>
      </c>
    </row>
    <row r="23" spans="1:4" s="184" customFormat="1" ht="11.1" customHeight="1" x14ac:dyDescent="0.25">
      <c r="A23" s="185"/>
      <c r="B23" s="199" t="s">
        <v>165</v>
      </c>
      <c r="C23" s="204">
        <v>1563217.31</v>
      </c>
      <c r="D23" s="205">
        <v>1059392.23</v>
      </c>
    </row>
    <row r="24" spans="1:4" s="184" customFormat="1" ht="11.1" customHeight="1" x14ac:dyDescent="0.25">
      <c r="A24" s="185"/>
      <c r="B24" s="199" t="s">
        <v>166</v>
      </c>
      <c r="C24" s="204"/>
      <c r="D24" s="205"/>
    </row>
    <row r="25" spans="1:4" s="184" customFormat="1" ht="11.1" customHeight="1" x14ac:dyDescent="0.25">
      <c r="A25" s="185"/>
      <c r="B25" s="199" t="s">
        <v>222</v>
      </c>
      <c r="C25" s="204"/>
      <c r="D25" s="205"/>
    </row>
    <row r="26" spans="1:4" s="184" customFormat="1" ht="11.1" customHeight="1" x14ac:dyDescent="0.25">
      <c r="A26" s="185"/>
      <c r="B26" s="199" t="s">
        <v>223</v>
      </c>
      <c r="C26" s="204"/>
      <c r="D26" s="205"/>
    </row>
    <row r="27" spans="1:4" s="184" customFormat="1" ht="11.1" customHeight="1" x14ac:dyDescent="0.25">
      <c r="A27" s="185"/>
      <c r="B27" s="199" t="s">
        <v>169</v>
      </c>
      <c r="C27" s="204"/>
      <c r="D27" s="205"/>
    </row>
    <row r="28" spans="1:4" s="184" customFormat="1" ht="11.1" customHeight="1" x14ac:dyDescent="0.25">
      <c r="A28" s="185"/>
      <c r="B28" s="199" t="s">
        <v>170</v>
      </c>
      <c r="C28" s="204"/>
      <c r="D28" s="205"/>
    </row>
    <row r="29" spans="1:4" s="184" customFormat="1" ht="11.1" customHeight="1" x14ac:dyDescent="0.25">
      <c r="A29" s="185"/>
      <c r="B29" s="199" t="s">
        <v>171</v>
      </c>
      <c r="C29" s="204"/>
      <c r="D29" s="205"/>
    </row>
    <row r="30" spans="1:4" s="184" customFormat="1" ht="11.1" customHeight="1" x14ac:dyDescent="0.25">
      <c r="A30" s="185"/>
      <c r="B30" s="199" t="s">
        <v>172</v>
      </c>
      <c r="C30" s="204"/>
      <c r="D30" s="205"/>
    </row>
    <row r="31" spans="1:4" s="184" customFormat="1" ht="11.1" customHeight="1" x14ac:dyDescent="0.25">
      <c r="A31" s="185"/>
      <c r="B31" s="199" t="s">
        <v>173</v>
      </c>
      <c r="C31" s="204"/>
      <c r="D31" s="205"/>
    </row>
    <row r="32" spans="1:4" s="184" customFormat="1" ht="11.1" customHeight="1" x14ac:dyDescent="0.25">
      <c r="A32" s="185"/>
      <c r="B32" s="199" t="s">
        <v>174</v>
      </c>
      <c r="C32" s="204"/>
      <c r="D32" s="205"/>
    </row>
    <row r="33" spans="1:4" s="184" customFormat="1" ht="11.1" customHeight="1" x14ac:dyDescent="0.25">
      <c r="A33" s="185"/>
      <c r="B33" s="199" t="s">
        <v>224</v>
      </c>
      <c r="C33" s="204"/>
      <c r="D33" s="205"/>
    </row>
    <row r="34" spans="1:4" s="184" customFormat="1" ht="11.1" customHeight="1" x14ac:dyDescent="0.25">
      <c r="A34" s="185"/>
      <c r="B34" s="199" t="s">
        <v>124</v>
      </c>
      <c r="C34" s="204"/>
      <c r="D34" s="205"/>
    </row>
    <row r="35" spans="1:4" s="184" customFormat="1" ht="11.1" customHeight="1" x14ac:dyDescent="0.25">
      <c r="A35" s="185"/>
      <c r="B35" s="199" t="s">
        <v>177</v>
      </c>
      <c r="C35" s="204"/>
      <c r="D35" s="205"/>
    </row>
    <row r="36" spans="1:4" s="184" customFormat="1" ht="11.1" customHeight="1" x14ac:dyDescent="0.25">
      <c r="A36" s="185"/>
      <c r="B36" s="199" t="s">
        <v>225</v>
      </c>
      <c r="C36" s="204">
        <v>163234421.24000001</v>
      </c>
      <c r="D36" s="205">
        <v>196443992.13</v>
      </c>
    </row>
    <row r="37" spans="1:4" s="184" customFormat="1" ht="12" customHeight="1" x14ac:dyDescent="0.25">
      <c r="A37" s="189" t="s">
        <v>226</v>
      </c>
      <c r="B37" s="190"/>
      <c r="C37" s="206">
        <f>C8-C20</f>
        <v>57788793.779999971</v>
      </c>
      <c r="D37" s="207">
        <f>D8-D20</f>
        <v>112916710</v>
      </c>
    </row>
    <row r="38" spans="1:4" s="184" customFormat="1" ht="4.5" customHeight="1" x14ac:dyDescent="0.25">
      <c r="A38" s="191"/>
      <c r="B38" s="192"/>
      <c r="C38" s="208"/>
      <c r="D38" s="209"/>
    </row>
    <row r="39" spans="1:4" s="184" customFormat="1" ht="12.75" x14ac:dyDescent="0.25">
      <c r="A39" s="193" t="s">
        <v>227</v>
      </c>
      <c r="B39" s="186"/>
      <c r="C39" s="210"/>
      <c r="D39" s="211"/>
    </row>
    <row r="40" spans="1:4" s="184" customFormat="1" ht="10.5" customHeight="1" x14ac:dyDescent="0.25">
      <c r="A40" s="185"/>
      <c r="B40" s="186" t="s">
        <v>209</v>
      </c>
      <c r="C40" s="202">
        <f>SUM(C41:C43)</f>
        <v>0</v>
      </c>
      <c r="D40" s="203">
        <f>SUM(D41:D43)</f>
        <v>0</v>
      </c>
    </row>
    <row r="41" spans="1:4" s="184" customFormat="1" ht="11.1" customHeight="1" x14ac:dyDescent="0.25">
      <c r="A41" s="185"/>
      <c r="B41" s="200" t="s">
        <v>107</v>
      </c>
    </row>
    <row r="42" spans="1:4" s="184" customFormat="1" ht="11.1" customHeight="1" x14ac:dyDescent="0.25">
      <c r="A42" s="185"/>
      <c r="B42" s="200" t="s">
        <v>109</v>
      </c>
    </row>
    <row r="43" spans="1:4" s="184" customFormat="1" ht="11.1" customHeight="1" x14ac:dyDescent="0.25">
      <c r="A43" s="185"/>
      <c r="B43" s="200" t="s">
        <v>228</v>
      </c>
      <c r="C43" s="204"/>
      <c r="D43" s="205"/>
    </row>
    <row r="44" spans="1:4" s="184" customFormat="1" ht="10.5" customHeight="1" x14ac:dyDescent="0.25">
      <c r="A44" s="185"/>
      <c r="B44" s="186" t="s">
        <v>210</v>
      </c>
      <c r="C44" s="202">
        <f>SUM(C45:C47)</f>
        <v>54023683.199999996</v>
      </c>
      <c r="D44" s="203">
        <f>SUM(D45:D47)</f>
        <v>109496623.94</v>
      </c>
    </row>
    <row r="45" spans="1:4" s="184" customFormat="1" ht="11.1" customHeight="1" x14ac:dyDescent="0.25">
      <c r="A45" s="185"/>
      <c r="B45" s="200" t="s">
        <v>107</v>
      </c>
      <c r="C45" s="204">
        <v>52974648.479999997</v>
      </c>
      <c r="D45" s="205">
        <v>109453703.94</v>
      </c>
    </row>
    <row r="46" spans="1:4" s="184" customFormat="1" ht="11.1" customHeight="1" x14ac:dyDescent="0.25">
      <c r="A46" s="185"/>
      <c r="B46" s="200" t="s">
        <v>109</v>
      </c>
      <c r="C46" s="204">
        <v>1049034.72</v>
      </c>
      <c r="D46" s="205">
        <v>42920</v>
      </c>
    </row>
    <row r="47" spans="1:4" s="184" customFormat="1" ht="11.1" customHeight="1" x14ac:dyDescent="0.25">
      <c r="A47" s="185"/>
      <c r="B47" s="200" t="s">
        <v>229</v>
      </c>
      <c r="C47" s="204"/>
      <c r="D47" s="205"/>
    </row>
    <row r="48" spans="1:4" s="184" customFormat="1" ht="12" customHeight="1" x14ac:dyDescent="0.25">
      <c r="A48" s="189" t="s">
        <v>230</v>
      </c>
      <c r="B48" s="190"/>
      <c r="C48" s="206">
        <f>C40-C44</f>
        <v>-54023683.199999996</v>
      </c>
      <c r="D48" s="207">
        <f>D40-D44</f>
        <v>-109496623.94</v>
      </c>
    </row>
    <row r="49" spans="1:4" s="184" customFormat="1" ht="2.25" customHeight="1" x14ac:dyDescent="0.25">
      <c r="A49" s="191"/>
      <c r="B49" s="192"/>
      <c r="C49" s="212"/>
      <c r="D49" s="213"/>
    </row>
    <row r="50" spans="1:4" s="184" customFormat="1" ht="12" customHeight="1" x14ac:dyDescent="0.25">
      <c r="A50" s="193" t="s">
        <v>231</v>
      </c>
      <c r="B50" s="186"/>
      <c r="C50" s="210"/>
      <c r="D50" s="211"/>
    </row>
    <row r="51" spans="1:4" s="184" customFormat="1" ht="12.75" x14ac:dyDescent="0.25">
      <c r="A51" s="185"/>
      <c r="B51" s="186" t="s">
        <v>209</v>
      </c>
      <c r="C51" s="202">
        <f>SUM(C52:C55)</f>
        <v>0</v>
      </c>
      <c r="D51" s="203">
        <f>SUM(D52:D55)</f>
        <v>0</v>
      </c>
    </row>
    <row r="52" spans="1:4" s="184" customFormat="1" ht="11.1" customHeight="1" x14ac:dyDescent="0.25">
      <c r="A52" s="185"/>
      <c r="B52" s="200" t="s">
        <v>51</v>
      </c>
      <c r="C52" s="204"/>
      <c r="D52" s="205"/>
    </row>
    <row r="53" spans="1:4" s="184" customFormat="1" ht="11.1" customHeight="1" x14ac:dyDescent="0.25">
      <c r="A53" s="185"/>
      <c r="B53" s="200" t="s">
        <v>232</v>
      </c>
      <c r="C53" s="204"/>
      <c r="D53" s="205"/>
    </row>
    <row r="54" spans="1:4" s="184" customFormat="1" ht="11.1" customHeight="1" x14ac:dyDescent="0.25">
      <c r="A54" s="185"/>
      <c r="B54" s="200" t="s">
        <v>233</v>
      </c>
      <c r="C54" s="204"/>
      <c r="D54" s="205"/>
    </row>
    <row r="55" spans="1:4" s="184" customFormat="1" ht="11.1" customHeight="1" x14ac:dyDescent="0.25">
      <c r="A55" s="185"/>
      <c r="B55" s="200" t="s">
        <v>234</v>
      </c>
      <c r="C55" s="204"/>
      <c r="D55" s="205"/>
    </row>
    <row r="56" spans="1:4" s="184" customFormat="1" ht="11.25" customHeight="1" x14ac:dyDescent="0.25">
      <c r="A56" s="185"/>
      <c r="B56" s="186" t="s">
        <v>210</v>
      </c>
      <c r="C56" s="202">
        <f>SUM(C57:C60)</f>
        <v>0</v>
      </c>
      <c r="D56" s="203">
        <f>SUM(D57:D60)</f>
        <v>0</v>
      </c>
    </row>
    <row r="57" spans="1:4" s="184" customFormat="1" ht="11.1" customHeight="1" x14ac:dyDescent="0.25">
      <c r="A57" s="185"/>
      <c r="B57" s="200" t="s">
        <v>235</v>
      </c>
      <c r="C57" s="204"/>
      <c r="D57" s="205"/>
    </row>
    <row r="58" spans="1:4" s="184" customFormat="1" ht="11.1" customHeight="1" x14ac:dyDescent="0.25">
      <c r="A58" s="185"/>
      <c r="B58" s="200" t="s">
        <v>232</v>
      </c>
      <c r="C58" s="204"/>
      <c r="D58" s="205"/>
    </row>
    <row r="59" spans="1:4" s="184" customFormat="1" ht="11.1" customHeight="1" x14ac:dyDescent="0.25">
      <c r="A59" s="185"/>
      <c r="B59" s="200" t="s">
        <v>233</v>
      </c>
      <c r="C59" s="204"/>
      <c r="D59" s="205"/>
    </row>
    <row r="60" spans="1:4" s="184" customFormat="1" ht="11.1" customHeight="1" x14ac:dyDescent="0.25">
      <c r="A60" s="185"/>
      <c r="B60" s="200" t="s">
        <v>236</v>
      </c>
      <c r="C60" s="204"/>
      <c r="D60" s="205"/>
    </row>
    <row r="61" spans="1:4" s="184" customFormat="1" ht="12" customHeight="1" x14ac:dyDescent="0.25">
      <c r="A61" s="189" t="s">
        <v>237</v>
      </c>
      <c r="B61" s="190"/>
      <c r="C61" s="206">
        <f>C51-C56</f>
        <v>0</v>
      </c>
      <c r="D61" s="207">
        <f>D51-D56</f>
        <v>0</v>
      </c>
    </row>
    <row r="62" spans="1:4" s="184" customFormat="1" ht="2.25" customHeight="1" x14ac:dyDescent="0.25">
      <c r="A62" s="191"/>
      <c r="B62" s="192"/>
      <c r="C62" s="212"/>
      <c r="D62" s="213"/>
    </row>
    <row r="63" spans="1:4" s="184" customFormat="1" ht="12" customHeight="1" x14ac:dyDescent="0.25">
      <c r="A63" s="189" t="s">
        <v>238</v>
      </c>
      <c r="B63" s="194"/>
      <c r="C63" s="214">
        <f>C61+C48+C37</f>
        <v>3765110.5799999759</v>
      </c>
      <c r="D63" s="215">
        <f>D61+D48+D37</f>
        <v>3420086.0600000024</v>
      </c>
    </row>
    <row r="64" spans="1:4" ht="2.25" customHeight="1" x14ac:dyDescent="0.3">
      <c r="A64" s="195"/>
      <c r="B64" s="196"/>
      <c r="C64" s="212"/>
      <c r="D64" s="213"/>
    </row>
    <row r="65" spans="1:5" s="184" customFormat="1" ht="12" customHeight="1" x14ac:dyDescent="0.25">
      <c r="A65" s="189" t="s">
        <v>239</v>
      </c>
      <c r="B65" s="190"/>
      <c r="C65" s="204">
        <v>221910826.15000001</v>
      </c>
      <c r="D65" s="205">
        <v>153900623.47</v>
      </c>
      <c r="E65" s="576" t="str">
        <f>IF(C65-'ETCA-I-01'!C9&gt;0.99,"ERROR!!!, NO COINCIDEN LOS MONTOS CON LO REPORTADO EN EL FORMATO ETCA-I-01 EN EL EJERCICIO 2015","")</f>
        <v/>
      </c>
    </row>
    <row r="66" spans="1:5" s="184" customFormat="1" ht="12" customHeight="1" thickBot="1" x14ac:dyDescent="0.3">
      <c r="A66" s="198" t="s">
        <v>240</v>
      </c>
      <c r="B66" s="197"/>
      <c r="C66" s="216">
        <f>C65+C63</f>
        <v>225675936.72999999</v>
      </c>
      <c r="D66" s="217">
        <f>D65+D63</f>
        <v>157320709.53</v>
      </c>
      <c r="E66" s="576" t="str">
        <f>IF(C66-'ETCA-I-01'!B9&gt;0.99,"ERROR!!!, NO COINCIDEN LOS MONTOS CON LO REPORTADO EN EL FORMATO ETCA-I-01 EN EL EJERCICIO 2016","")</f>
        <v/>
      </c>
    </row>
    <row r="67" spans="1:5" s="184" customFormat="1" ht="12" customHeight="1" x14ac:dyDescent="0.3">
      <c r="A67" s="577" t="s">
        <v>195</v>
      </c>
      <c r="B67" s="66"/>
      <c r="C67" s="66"/>
      <c r="D67" s="66"/>
      <c r="E67" s="576"/>
    </row>
    <row r="68" spans="1:5" s="184" customFormat="1" ht="12" customHeight="1" x14ac:dyDescent="0.25">
      <c r="A68" s="190"/>
      <c r="B68" s="194"/>
      <c r="C68" s="214"/>
      <c r="D68" s="214"/>
      <c r="E68" s="576"/>
    </row>
    <row r="69" spans="1:5" s="184" customFormat="1" ht="12" customHeight="1" x14ac:dyDescent="0.25">
      <c r="A69" s="190"/>
      <c r="B69" s="194"/>
      <c r="C69" s="214"/>
      <c r="D69" s="214"/>
      <c r="E69" s="576"/>
    </row>
    <row r="70" spans="1:5" s="184" customFormat="1" ht="12" customHeight="1" x14ac:dyDescent="0.25">
      <c r="A70" s="190"/>
      <c r="B70" s="194"/>
      <c r="C70" s="214"/>
      <c r="D70" s="214"/>
      <c r="E70" s="576"/>
    </row>
    <row r="71" spans="1:5" ht="12" customHeight="1" x14ac:dyDescent="0.3">
      <c r="A71" s="577" t="s">
        <v>143</v>
      </c>
    </row>
    <row r="73" spans="1:5" x14ac:dyDescent="0.3">
      <c r="B73" s="474" t="s">
        <v>1612</v>
      </c>
    </row>
    <row r="74" spans="1:5" x14ac:dyDescent="0.3">
      <c r="B74" s="474" t="s">
        <v>1613</v>
      </c>
    </row>
    <row r="78" spans="1:5" x14ac:dyDescent="0.3">
      <c r="B78" s="474" t="s">
        <v>1614</v>
      </c>
    </row>
    <row r="79" spans="1:5" x14ac:dyDescent="0.3">
      <c r="B79" s="474" t="s">
        <v>1615</v>
      </c>
    </row>
  </sheetData>
  <sheetProtection algorithmName="SHA-512" hashValue="VAxSilPpWo1ehiG/Kla4pBT824lHH08/B/GteuR8xYptA1kGGQoVFTRxoiHEo59q+9qMAAyRv3OXYu1AHuRZCg==" saltValue="QaMkGg/e5sisihZ1D8fnIA==" spinCount="100000" sheet="1" objects="1" scenarios="1" insertHyperlinks="0"/>
  <mergeCells count="7">
    <mergeCell ref="A7:C7"/>
    <mergeCell ref="A1:D1"/>
    <mergeCell ref="A3:D3"/>
    <mergeCell ref="A2:D2"/>
    <mergeCell ref="A4:D4"/>
    <mergeCell ref="A5:B5"/>
    <mergeCell ref="A6:B6"/>
  </mergeCells>
  <printOptions horizontalCentered="1"/>
  <pageMargins left="0.39370078740157483" right="0.39370078740157483" top="0.39370078740157483" bottom="0.39370078740157483" header="0.31496062992125984" footer="0.31496062992125984"/>
  <pageSetup scale="7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7"/>
    <pageSetUpPr fitToPage="1"/>
  </sheetPr>
  <dimension ref="A1:H41"/>
  <sheetViews>
    <sheetView view="pageBreakPreview" zoomScaleNormal="100" zoomScaleSheetLayoutView="100" workbookViewId="0">
      <selection activeCell="A2" sqref="A2:G2"/>
    </sheetView>
  </sheetViews>
  <sheetFormatPr baseColWidth="10" defaultColWidth="11.42578125" defaultRowHeight="16.5" x14ac:dyDescent="0.25"/>
  <cols>
    <col min="1" max="1" width="1.42578125" style="156" customWidth="1"/>
    <col min="2" max="2" width="32.28515625" style="156" customWidth="1"/>
    <col min="3" max="7" width="12.7109375" style="156" customWidth="1"/>
    <col min="8" max="8" width="63.85546875" style="156" customWidth="1"/>
    <col min="9" max="16384" width="11.42578125" style="156"/>
  </cols>
  <sheetData>
    <row r="1" spans="1:8" x14ac:dyDescent="0.25">
      <c r="A1" s="894" t="s">
        <v>76</v>
      </c>
      <c r="B1" s="894"/>
      <c r="C1" s="894"/>
      <c r="D1" s="894"/>
      <c r="E1" s="894"/>
      <c r="F1" s="894"/>
      <c r="G1" s="894"/>
    </row>
    <row r="2" spans="1:8" s="220" customFormat="1" ht="18" x14ac:dyDescent="0.25">
      <c r="A2" s="894" t="s">
        <v>1624</v>
      </c>
      <c r="B2" s="894"/>
      <c r="C2" s="894"/>
      <c r="D2" s="894"/>
      <c r="E2" s="894"/>
      <c r="F2" s="894"/>
      <c r="G2" s="894"/>
      <c r="H2" s="558" t="s">
        <v>241</v>
      </c>
    </row>
    <row r="3" spans="1:8" s="220" customFormat="1" x14ac:dyDescent="0.25">
      <c r="A3" s="895" t="s">
        <v>587</v>
      </c>
      <c r="B3" s="895"/>
      <c r="C3" s="895"/>
      <c r="D3" s="895"/>
      <c r="E3" s="895"/>
      <c r="F3" s="895"/>
      <c r="G3" s="895"/>
    </row>
    <row r="4" spans="1:8" s="220" customFormat="1" x14ac:dyDescent="0.25">
      <c r="A4" s="895" t="s">
        <v>591</v>
      </c>
      <c r="B4" s="895"/>
      <c r="C4" s="895"/>
      <c r="D4" s="895"/>
      <c r="E4" s="895"/>
      <c r="F4" s="895"/>
      <c r="G4" s="895"/>
    </row>
    <row r="5" spans="1:8" s="222" customFormat="1" ht="17.25" thickBot="1" x14ac:dyDescent="0.3">
      <c r="A5" s="221"/>
      <c r="B5" s="221"/>
      <c r="C5" s="896" t="s">
        <v>78</v>
      </c>
      <c r="D5" s="896"/>
      <c r="E5" s="221"/>
      <c r="F5" s="68" t="s">
        <v>79</v>
      </c>
      <c r="G5" s="221" t="s">
        <v>589</v>
      </c>
    </row>
    <row r="6" spans="1:8" s="223" customFormat="1" ht="50.25" thickBot="1" x14ac:dyDescent="0.3">
      <c r="A6" s="892" t="s">
        <v>197</v>
      </c>
      <c r="B6" s="893"/>
      <c r="C6" s="229" t="s">
        <v>242</v>
      </c>
      <c r="D6" s="229" t="s">
        <v>243</v>
      </c>
      <c r="E6" s="229" t="s">
        <v>244</v>
      </c>
      <c r="F6" s="229" t="s">
        <v>245</v>
      </c>
      <c r="G6" s="230" t="s">
        <v>246</v>
      </c>
    </row>
    <row r="7" spans="1:8" ht="20.100000000000001" customHeight="1" x14ac:dyDescent="0.25">
      <c r="A7" s="224"/>
      <c r="B7" s="240"/>
      <c r="C7" s="231"/>
      <c r="D7" s="231"/>
      <c r="E7" s="231"/>
      <c r="F7" s="231"/>
      <c r="G7" s="232"/>
    </row>
    <row r="8" spans="1:8" ht="20.100000000000001" customHeight="1" x14ac:dyDescent="0.25">
      <c r="A8" s="225" t="s">
        <v>80</v>
      </c>
      <c r="B8" s="241"/>
      <c r="C8" s="233">
        <f>C10+C19</f>
        <v>874169609.98000002</v>
      </c>
      <c r="D8" s="233">
        <f t="shared" ref="D8:E8" si="0">D10+D19</f>
        <v>1077304137.98</v>
      </c>
      <c r="E8" s="233">
        <f t="shared" si="0"/>
        <v>1125721429.1799998</v>
      </c>
      <c r="F8" s="234">
        <f>C8+D8-E8</f>
        <v>825752318.78000021</v>
      </c>
      <c r="G8" s="235">
        <f>F8-C8</f>
        <v>-48417291.199999809</v>
      </c>
      <c r="H8" s="549" t="str">
        <f>IF(F8&lt;&gt;'ETCA-I-01'!B33,"ERROR!!!!! EL MONTO NO COINCIDE CON LO REPORTADO EN EL FORMATO ETCA-I-1 EN EL TOTAL ","")</f>
        <v/>
      </c>
    </row>
    <row r="9" spans="1:8" ht="20.100000000000001" customHeight="1" x14ac:dyDescent="0.25">
      <c r="A9" s="226"/>
      <c r="B9" s="242"/>
      <c r="C9" s="236"/>
      <c r="D9" s="236"/>
      <c r="E9" s="236"/>
      <c r="F9" s="236"/>
      <c r="G9" s="237"/>
    </row>
    <row r="10" spans="1:8" ht="20.100000000000001" customHeight="1" x14ac:dyDescent="0.25">
      <c r="A10" s="226"/>
      <c r="B10" s="242" t="s">
        <v>82</v>
      </c>
      <c r="C10" s="233">
        <f>SUM(C11:C17)</f>
        <v>232160878.07999998</v>
      </c>
      <c r="D10" s="233">
        <f t="shared" ref="D10:E10" si="1">SUM(D11:D17)</f>
        <v>1002888551.51</v>
      </c>
      <c r="E10" s="233">
        <f t="shared" si="1"/>
        <v>1004306257.1999999</v>
      </c>
      <c r="F10" s="234">
        <f>C10+D10-E10</f>
        <v>230743172.38999999</v>
      </c>
      <c r="G10" s="235">
        <f>F10-C10</f>
        <v>-1417705.6899999976</v>
      </c>
      <c r="H10" s="549" t="str">
        <f>IF(F10&lt;&gt;'ETCA-I-01'!B18,"ERROR!!!!! EL MONTO NO COINCIDE CON LO REPORTADO EN EL FORMATO ETCA-I-1 EN EL TOTAL","")</f>
        <v/>
      </c>
    </row>
    <row r="11" spans="1:8" ht="20.100000000000001" customHeight="1" x14ac:dyDescent="0.25">
      <c r="A11" s="227"/>
      <c r="B11" s="243" t="s">
        <v>84</v>
      </c>
      <c r="C11" s="236">
        <f>39257623.53+182633481.24+19725-3.62</f>
        <v>221910826.15000001</v>
      </c>
      <c r="D11" s="236">
        <f>37000+568099667.67+197161243.42</f>
        <v>765297911.08999991</v>
      </c>
      <c r="E11" s="236">
        <f>15000+481486717.06+280031083.45</f>
        <v>761532800.50999999</v>
      </c>
      <c r="F11" s="245">
        <f>C11+D11-E11</f>
        <v>225675936.7299999</v>
      </c>
      <c r="G11" s="246">
        <f>F11-C11</f>
        <v>3765110.5799998939</v>
      </c>
    </row>
    <row r="12" spans="1:8" ht="20.100000000000001" customHeight="1" x14ac:dyDescent="0.25">
      <c r="A12" s="227"/>
      <c r="B12" s="243" t="s">
        <v>86</v>
      </c>
      <c r="C12" s="236">
        <f>175979.4+9402.3</f>
        <v>185381.69999999998</v>
      </c>
      <c r="D12" s="236">
        <f>232253640.23+992742.99+56383.97</f>
        <v>233302767.19</v>
      </c>
      <c r="E12" s="236">
        <f>232253640.23+999801.68+44666</f>
        <v>233298107.91</v>
      </c>
      <c r="F12" s="245">
        <f t="shared" ref="F12:F17" si="2">C12+D12-E12</f>
        <v>190040.97999998927</v>
      </c>
      <c r="G12" s="246">
        <f t="shared" ref="G12:G17" si="3">F12-C12</f>
        <v>4659.2799999892886</v>
      </c>
    </row>
    <row r="13" spans="1:8" ht="20.100000000000001" customHeight="1" x14ac:dyDescent="0.25">
      <c r="A13" s="227"/>
      <c r="B13" s="243" t="s">
        <v>88</v>
      </c>
      <c r="C13" s="236">
        <v>10064670.23</v>
      </c>
      <c r="D13" s="236">
        <v>4287873.2300000004</v>
      </c>
      <c r="E13" s="236">
        <v>9475348.7799999993</v>
      </c>
      <c r="F13" s="245">
        <f t="shared" si="2"/>
        <v>4877194.6800000016</v>
      </c>
      <c r="G13" s="246">
        <f t="shared" si="3"/>
        <v>-5187475.5499999989</v>
      </c>
    </row>
    <row r="14" spans="1:8" ht="20.100000000000001" customHeight="1" x14ac:dyDescent="0.25">
      <c r="A14" s="227"/>
      <c r="B14" s="243" t="s">
        <v>90</v>
      </c>
      <c r="C14" s="236"/>
      <c r="D14" s="236"/>
      <c r="E14" s="236"/>
      <c r="F14" s="245">
        <f t="shared" si="2"/>
        <v>0</v>
      </c>
      <c r="G14" s="246">
        <f t="shared" si="3"/>
        <v>0</v>
      </c>
    </row>
    <row r="15" spans="1:8" ht="20.100000000000001" customHeight="1" x14ac:dyDescent="0.25">
      <c r="A15" s="227"/>
      <c r="B15" s="243" t="s">
        <v>92</v>
      </c>
      <c r="C15" s="236"/>
      <c r="D15" s="236"/>
      <c r="E15" s="236"/>
      <c r="F15" s="245">
        <f t="shared" si="2"/>
        <v>0</v>
      </c>
      <c r="G15" s="246">
        <f t="shared" si="3"/>
        <v>0</v>
      </c>
    </row>
    <row r="16" spans="1:8" ht="25.5" x14ac:dyDescent="0.25">
      <c r="A16" s="227"/>
      <c r="B16" s="243" t="s">
        <v>94</v>
      </c>
      <c r="C16" s="236"/>
      <c r="D16" s="236"/>
      <c r="E16" s="236"/>
      <c r="F16" s="245">
        <f t="shared" si="2"/>
        <v>0</v>
      </c>
      <c r="G16" s="246">
        <f t="shared" si="3"/>
        <v>0</v>
      </c>
    </row>
    <row r="17" spans="1:8" ht="20.100000000000001" customHeight="1" x14ac:dyDescent="0.25">
      <c r="A17" s="227"/>
      <c r="B17" s="243" t="s">
        <v>96</v>
      </c>
      <c r="C17" s="236"/>
      <c r="D17" s="236"/>
      <c r="E17" s="236"/>
      <c r="F17" s="245">
        <f t="shared" si="2"/>
        <v>0</v>
      </c>
      <c r="G17" s="246">
        <f t="shared" si="3"/>
        <v>0</v>
      </c>
    </row>
    <row r="18" spans="1:8" ht="20.100000000000001" customHeight="1" x14ac:dyDescent="0.25">
      <c r="A18" s="226"/>
      <c r="B18" s="242"/>
      <c r="C18" s="236"/>
      <c r="D18" s="236"/>
      <c r="E18" s="236"/>
      <c r="F18" s="236"/>
      <c r="G18" s="237"/>
    </row>
    <row r="19" spans="1:8" ht="20.100000000000001" customHeight="1" x14ac:dyDescent="0.25">
      <c r="A19" s="226"/>
      <c r="B19" s="242" t="s">
        <v>101</v>
      </c>
      <c r="C19" s="233">
        <f>SUM(C20:C28)</f>
        <v>642008731.89999998</v>
      </c>
      <c r="D19" s="233">
        <f t="shared" ref="D19:E19" si="4">SUM(D20:D28)</f>
        <v>74415586.469999999</v>
      </c>
      <c r="E19" s="233">
        <f t="shared" si="4"/>
        <v>121415171.97999999</v>
      </c>
      <c r="F19" s="234">
        <f>C19+D19-E19</f>
        <v>595009146.38999999</v>
      </c>
      <c r="G19" s="235">
        <f>F19-C19</f>
        <v>-46999585.50999999</v>
      </c>
      <c r="H19" s="549" t="str">
        <f>IF(F19&lt;&gt;'ETCA-I-01'!B31,"ERROR!!!!! EL MONTO NO COINCIDE CON LO REPORTADO EN EL FORMATO ETCA-I-1 EN EL TOTAL","")</f>
        <v/>
      </c>
    </row>
    <row r="20" spans="1:8" ht="20.100000000000001" customHeight="1" x14ac:dyDescent="0.25">
      <c r="A20" s="227"/>
      <c r="B20" s="243" t="s">
        <v>103</v>
      </c>
      <c r="C20" s="236"/>
      <c r="D20" s="236"/>
      <c r="E20" s="236"/>
      <c r="F20" s="245">
        <f>C20+D20-E20</f>
        <v>0</v>
      </c>
      <c r="G20" s="246">
        <f>F20-C20</f>
        <v>0</v>
      </c>
    </row>
    <row r="21" spans="1:8" ht="25.5" x14ac:dyDescent="0.25">
      <c r="A21" s="227"/>
      <c r="B21" s="243" t="s">
        <v>105</v>
      </c>
      <c r="C21" s="236"/>
      <c r="D21" s="236"/>
      <c r="E21" s="236"/>
      <c r="F21" s="245">
        <f t="shared" ref="F21:F26" si="5">C21+D21-E21</f>
        <v>0</v>
      </c>
      <c r="G21" s="246">
        <f t="shared" ref="G21:G26" si="6">F21-C21</f>
        <v>0</v>
      </c>
    </row>
    <row r="22" spans="1:8" ht="25.5" x14ac:dyDescent="0.25">
      <c r="A22" s="227"/>
      <c r="B22" s="243" t="s">
        <v>107</v>
      </c>
      <c r="C22" s="236">
        <f>588532004.26+52973085.75</f>
        <v>641505090.00999999</v>
      </c>
      <c r="D22" s="236">
        <v>73289649.760000005</v>
      </c>
      <c r="E22" s="236">
        <v>121230372.81999999</v>
      </c>
      <c r="F22" s="245">
        <f t="shared" si="5"/>
        <v>593564366.95000005</v>
      </c>
      <c r="G22" s="246">
        <f t="shared" si="6"/>
        <v>-47940723.059999943</v>
      </c>
    </row>
    <row r="23" spans="1:8" ht="20.100000000000001" customHeight="1" x14ac:dyDescent="0.25">
      <c r="A23" s="227"/>
      <c r="B23" s="243" t="s">
        <v>109</v>
      </c>
      <c r="C23" s="236">
        <f>2505999.28+140201.64+2730272.43</f>
        <v>5376473.3499999996</v>
      </c>
      <c r="D23" s="236">
        <f>170236.72+936900+18799.99</f>
        <v>1125936.71</v>
      </c>
      <c r="E23" s="236">
        <v>0</v>
      </c>
      <c r="F23" s="245">
        <f t="shared" si="5"/>
        <v>6502410.0599999996</v>
      </c>
      <c r="G23" s="246">
        <f t="shared" si="6"/>
        <v>1125936.71</v>
      </c>
    </row>
    <row r="24" spans="1:8" ht="20.100000000000001" customHeight="1" x14ac:dyDescent="0.25">
      <c r="A24" s="227"/>
      <c r="B24" s="243" t="s">
        <v>111</v>
      </c>
      <c r="C24" s="236"/>
      <c r="D24" s="236"/>
      <c r="E24" s="236"/>
      <c r="F24" s="245">
        <f t="shared" si="5"/>
        <v>0</v>
      </c>
      <c r="G24" s="246">
        <f t="shared" si="6"/>
        <v>0</v>
      </c>
    </row>
    <row r="25" spans="1:8" ht="25.5" x14ac:dyDescent="0.25">
      <c r="A25" s="227"/>
      <c r="B25" s="243" t="s">
        <v>113</v>
      </c>
      <c r="C25" s="236">
        <v>-4872831.46</v>
      </c>
      <c r="D25" s="236"/>
      <c r="E25" s="236">
        <v>184799.16</v>
      </c>
      <c r="F25" s="245">
        <f t="shared" si="5"/>
        <v>-5057630.62</v>
      </c>
      <c r="G25" s="246">
        <f t="shared" si="6"/>
        <v>-184799.16000000015</v>
      </c>
    </row>
    <row r="26" spans="1:8" ht="20.100000000000001" customHeight="1" x14ac:dyDescent="0.25">
      <c r="A26" s="227"/>
      <c r="B26" s="243" t="s">
        <v>115</v>
      </c>
      <c r="C26" s="236"/>
      <c r="D26" s="236"/>
      <c r="E26" s="236"/>
      <c r="F26" s="245">
        <f t="shared" si="5"/>
        <v>0</v>
      </c>
      <c r="G26" s="246">
        <f t="shared" si="6"/>
        <v>0</v>
      </c>
    </row>
    <row r="27" spans="1:8" ht="25.5" x14ac:dyDescent="0.25">
      <c r="A27" s="227"/>
      <c r="B27" s="243" t="s">
        <v>116</v>
      </c>
      <c r="C27" s="236"/>
      <c r="D27" s="236"/>
      <c r="E27" s="236"/>
      <c r="F27" s="245">
        <f t="shared" ref="F27:F28" si="7">C27+D27-E27</f>
        <v>0</v>
      </c>
      <c r="G27" s="246">
        <f t="shared" ref="G27:G28" si="8">F27-C27</f>
        <v>0</v>
      </c>
    </row>
    <row r="28" spans="1:8" ht="20.100000000000001" customHeight="1" x14ac:dyDescent="0.25">
      <c r="A28" s="227"/>
      <c r="B28" s="243" t="s">
        <v>117</v>
      </c>
      <c r="C28" s="236"/>
      <c r="D28" s="236"/>
      <c r="E28" s="236"/>
      <c r="F28" s="245">
        <f t="shared" si="7"/>
        <v>0</v>
      </c>
      <c r="G28" s="246">
        <f t="shared" si="8"/>
        <v>0</v>
      </c>
    </row>
    <row r="29" spans="1:8" ht="20.100000000000001" customHeight="1" thickBot="1" x14ac:dyDescent="0.3">
      <c r="A29" s="228"/>
      <c r="B29" s="244"/>
      <c r="C29" s="238"/>
      <c r="D29" s="238"/>
      <c r="E29" s="238"/>
      <c r="F29" s="238"/>
      <c r="G29" s="239"/>
    </row>
    <row r="30" spans="1:8" ht="20.100000000000001" customHeight="1" x14ac:dyDescent="0.25">
      <c r="A30" s="325" t="s">
        <v>195</v>
      </c>
      <c r="B30" s="370"/>
      <c r="C30" s="660"/>
      <c r="D30" s="660"/>
      <c r="E30" s="660"/>
      <c r="F30" s="660"/>
      <c r="G30" s="660"/>
    </row>
    <row r="31" spans="1:8" ht="20.100000000000001" customHeight="1" x14ac:dyDescent="0.25">
      <c r="A31" s="650"/>
      <c r="B31" s="650"/>
      <c r="C31" s="660"/>
      <c r="D31" s="660"/>
      <c r="E31" s="660"/>
      <c r="F31" s="660"/>
      <c r="G31" s="660"/>
    </row>
    <row r="32" spans="1:8" ht="20.100000000000001" customHeight="1" x14ac:dyDescent="0.25">
      <c r="A32" s="650"/>
      <c r="B32" s="650" t="s">
        <v>143</v>
      </c>
      <c r="C32" s="660"/>
      <c r="D32" s="660" t="s">
        <v>143</v>
      </c>
      <c r="E32" s="660"/>
      <c r="F32" s="660"/>
      <c r="G32" s="660"/>
    </row>
    <row r="33" spans="1:7" ht="20.100000000000001" customHeight="1" x14ac:dyDescent="0.25">
      <c r="A33" s="650"/>
      <c r="B33" s="650"/>
      <c r="C33" s="660"/>
      <c r="D33" s="660"/>
      <c r="E33" s="660"/>
      <c r="F33" s="660"/>
      <c r="G33" s="660"/>
    </row>
    <row r="34" spans="1:7" x14ac:dyDescent="0.25">
      <c r="A34" s="370" t="s">
        <v>143</v>
      </c>
      <c r="B34" s="370"/>
      <c r="C34" s="370"/>
      <c r="D34" s="370"/>
      <c r="E34" s="370"/>
      <c r="F34" s="370"/>
      <c r="G34" s="370"/>
    </row>
    <row r="35" spans="1:7" x14ac:dyDescent="0.25">
      <c r="B35" s="474" t="s">
        <v>1612</v>
      </c>
    </row>
    <row r="36" spans="1:7" x14ac:dyDescent="0.25">
      <c r="B36" s="474" t="s">
        <v>1613</v>
      </c>
    </row>
    <row r="37" spans="1:7" x14ac:dyDescent="0.3">
      <c r="B37" s="66"/>
    </row>
    <row r="38" spans="1:7" x14ac:dyDescent="0.3">
      <c r="B38" s="66"/>
    </row>
    <row r="39" spans="1:7" x14ac:dyDescent="0.3">
      <c r="B39" s="66"/>
    </row>
    <row r="40" spans="1:7" x14ac:dyDescent="0.25">
      <c r="B40" s="474" t="s">
        <v>1614</v>
      </c>
    </row>
    <row r="41" spans="1:7" x14ac:dyDescent="0.25">
      <c r="B41" s="474" t="s">
        <v>1615</v>
      </c>
    </row>
  </sheetData>
  <sheetProtection algorithmName="SHA-512" hashValue="t+JvH0It5aXRt7zxhL/Ry9lGe7XMFcakjLJjFbp/d8fiVZRRy90m7DyFBcMmU6cUyEp0uRjvkw2cuacdaPYhrQ==" saltValue="YDnFSXJeV2mwXz20ar1Wag==" spinCount="100000" sheet="1" objects="1" scenarios="1" insertHyperlinks="0"/>
  <mergeCells count="6">
    <mergeCell ref="A6:B6"/>
    <mergeCell ref="A1:G1"/>
    <mergeCell ref="A3:G3"/>
    <mergeCell ref="A2:G2"/>
    <mergeCell ref="A4:G4"/>
    <mergeCell ref="C5:D5"/>
  </mergeCells>
  <printOptions horizontalCentered="1"/>
  <pageMargins left="0.39370078740157483" right="0.39370078740157483" top="0.74803149606299213" bottom="0.74803149606299213" header="0.31496062992125984" footer="0.31496062992125984"/>
  <pageSetup scale="84"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7"/>
    <pageSetUpPr fitToPage="1"/>
  </sheetPr>
  <dimension ref="A1:G54"/>
  <sheetViews>
    <sheetView view="pageBreakPreview" zoomScaleNormal="100" zoomScaleSheetLayoutView="100" workbookViewId="0">
      <selection activeCell="D6" sqref="D6"/>
    </sheetView>
  </sheetViews>
  <sheetFormatPr baseColWidth="10" defaultColWidth="11.42578125" defaultRowHeight="16.5" x14ac:dyDescent="0.3"/>
  <cols>
    <col min="1" max="1" width="2.140625" style="126" customWidth="1"/>
    <col min="2" max="2" width="28.42578125" style="126" customWidth="1"/>
    <col min="3" max="6" width="16.7109375" style="126" customWidth="1"/>
    <col min="7" max="7" width="79" style="126" customWidth="1"/>
    <col min="8" max="16384" width="11.42578125" style="126"/>
  </cols>
  <sheetData>
    <row r="1" spans="1:7" s="156" customFormat="1" ht="18" x14ac:dyDescent="0.25">
      <c r="A1" s="894" t="s">
        <v>76</v>
      </c>
      <c r="B1" s="894"/>
      <c r="C1" s="894"/>
      <c r="D1" s="894"/>
      <c r="E1" s="894"/>
      <c r="F1" s="894"/>
      <c r="G1" s="557"/>
    </row>
    <row r="2" spans="1:7" s="220" customFormat="1" ht="15.75" x14ac:dyDescent="0.25">
      <c r="A2" s="894" t="s">
        <v>1625</v>
      </c>
      <c r="B2" s="894"/>
      <c r="C2" s="894"/>
      <c r="D2" s="894"/>
      <c r="E2" s="894"/>
      <c r="F2" s="894"/>
    </row>
    <row r="3" spans="1:7" s="220" customFormat="1" x14ac:dyDescent="0.25">
      <c r="A3" s="895" t="s">
        <v>587</v>
      </c>
      <c r="B3" s="895"/>
      <c r="C3" s="895"/>
      <c r="D3" s="895"/>
      <c r="E3" s="895"/>
      <c r="F3" s="895"/>
    </row>
    <row r="4" spans="1:7" s="220" customFormat="1" x14ac:dyDescent="0.25">
      <c r="A4" s="895" t="s">
        <v>590</v>
      </c>
      <c r="B4" s="895"/>
      <c r="C4" s="895"/>
      <c r="D4" s="895"/>
      <c r="E4" s="895"/>
      <c r="F4" s="895"/>
    </row>
    <row r="5" spans="1:7" s="222" customFormat="1" ht="17.25" thickBot="1" x14ac:dyDescent="0.3">
      <c r="A5" s="221"/>
      <c r="B5" s="221"/>
      <c r="C5" s="896" t="s">
        <v>78</v>
      </c>
      <c r="D5" s="896"/>
      <c r="E5" s="68" t="s">
        <v>79</v>
      </c>
      <c r="F5" s="221" t="s">
        <v>589</v>
      </c>
    </row>
    <row r="6" spans="1:7" s="249" customFormat="1" ht="37.5" customHeight="1" thickBot="1" x14ac:dyDescent="0.35">
      <c r="A6" s="897" t="s">
        <v>247</v>
      </c>
      <c r="B6" s="898"/>
      <c r="C6" s="247" t="s">
        <v>248</v>
      </c>
      <c r="D6" s="247" t="s">
        <v>249</v>
      </c>
      <c r="E6" s="247" t="s">
        <v>250</v>
      </c>
      <c r="F6" s="248" t="s">
        <v>251</v>
      </c>
    </row>
    <row r="7" spans="1:7" x14ac:dyDescent="0.3">
      <c r="A7" s="901"/>
      <c r="B7" s="902"/>
      <c r="C7" s="250"/>
      <c r="D7" s="250"/>
      <c r="E7" s="251"/>
      <c r="F7" s="252"/>
    </row>
    <row r="8" spans="1:7" x14ac:dyDescent="0.3">
      <c r="A8" s="905" t="s">
        <v>252</v>
      </c>
      <c r="B8" s="906"/>
      <c r="C8" s="253"/>
      <c r="D8" s="253"/>
      <c r="E8" s="253"/>
      <c r="F8" s="254"/>
    </row>
    <row r="9" spans="1:7" x14ac:dyDescent="0.3">
      <c r="A9" s="907" t="s">
        <v>253</v>
      </c>
      <c r="B9" s="908"/>
      <c r="C9" s="253"/>
      <c r="D9" s="253"/>
      <c r="E9" s="253"/>
      <c r="F9" s="254"/>
    </row>
    <row r="10" spans="1:7" x14ac:dyDescent="0.3">
      <c r="A10" s="903" t="s">
        <v>254</v>
      </c>
      <c r="B10" s="904"/>
      <c r="C10" s="255"/>
      <c r="D10" s="255"/>
      <c r="E10" s="268">
        <f t="shared" ref="E10:F10" si="0">SUM(E11:E13)</f>
        <v>0</v>
      </c>
      <c r="F10" s="269">
        <f t="shared" si="0"/>
        <v>0</v>
      </c>
    </row>
    <row r="11" spans="1:7" x14ac:dyDescent="0.3">
      <c r="A11" s="707"/>
      <c r="B11" s="257" t="s">
        <v>255</v>
      </c>
      <c r="C11" s="255"/>
      <c r="D11" s="255"/>
      <c r="E11" s="255">
        <v>0</v>
      </c>
      <c r="F11" s="256">
        <v>0</v>
      </c>
    </row>
    <row r="12" spans="1:7" x14ac:dyDescent="0.3">
      <c r="A12" s="258"/>
      <c r="B12" s="257" t="s">
        <v>256</v>
      </c>
      <c r="C12" s="259"/>
      <c r="D12" s="259"/>
      <c r="E12" s="259"/>
      <c r="F12" s="260"/>
    </row>
    <row r="13" spans="1:7" x14ac:dyDescent="0.3">
      <c r="A13" s="258"/>
      <c r="B13" s="257" t="s">
        <v>257</v>
      </c>
      <c r="C13" s="259"/>
      <c r="D13" s="259"/>
      <c r="E13" s="259"/>
      <c r="F13" s="260"/>
    </row>
    <row r="14" spans="1:7" x14ac:dyDescent="0.3">
      <c r="A14" s="258"/>
      <c r="B14" s="261"/>
      <c r="C14" s="259"/>
      <c r="D14" s="259"/>
      <c r="E14" s="259"/>
      <c r="F14" s="260"/>
    </row>
    <row r="15" spans="1:7" x14ac:dyDescent="0.3">
      <c r="A15" s="903" t="s">
        <v>258</v>
      </c>
      <c r="B15" s="904"/>
      <c r="C15" s="255"/>
      <c r="D15" s="255"/>
      <c r="E15" s="268">
        <f t="shared" ref="E15:F15" si="1">SUM(E16:E19)</f>
        <v>0</v>
      </c>
      <c r="F15" s="269">
        <f t="shared" si="1"/>
        <v>0</v>
      </c>
    </row>
    <row r="16" spans="1:7" x14ac:dyDescent="0.3">
      <c r="A16" s="258"/>
      <c r="B16" s="257" t="s">
        <v>259</v>
      </c>
      <c r="C16" s="259"/>
      <c r="D16" s="259"/>
      <c r="E16" s="259"/>
      <c r="F16" s="260"/>
    </row>
    <row r="17" spans="1:7" x14ac:dyDescent="0.3">
      <c r="A17" s="707"/>
      <c r="B17" s="257" t="s">
        <v>260</v>
      </c>
      <c r="C17" s="259"/>
      <c r="D17" s="259"/>
      <c r="E17" s="259"/>
      <c r="F17" s="260"/>
    </row>
    <row r="18" spans="1:7" x14ac:dyDescent="0.3">
      <c r="A18" s="707"/>
      <c r="B18" s="257" t="s">
        <v>256</v>
      </c>
      <c r="C18" s="255"/>
      <c r="D18" s="255"/>
      <c r="E18" s="255"/>
      <c r="F18" s="256"/>
    </row>
    <row r="19" spans="1:7" x14ac:dyDescent="0.3">
      <c r="A19" s="258"/>
      <c r="B19" s="257" t="s">
        <v>257</v>
      </c>
      <c r="C19" s="259"/>
      <c r="D19" s="259"/>
      <c r="E19" s="259"/>
      <c r="F19" s="260"/>
    </row>
    <row r="20" spans="1:7" x14ac:dyDescent="0.3">
      <c r="A20" s="707"/>
      <c r="B20" s="708"/>
      <c r="C20" s="255"/>
      <c r="D20" s="255"/>
      <c r="E20" s="255"/>
      <c r="F20" s="256"/>
    </row>
    <row r="21" spans="1:7" x14ac:dyDescent="0.3">
      <c r="A21" s="262"/>
      <c r="B21" s="263" t="s">
        <v>261</v>
      </c>
      <c r="C21" s="253"/>
      <c r="D21" s="253"/>
      <c r="E21" s="270">
        <f>E10+E15</f>
        <v>0</v>
      </c>
      <c r="F21" s="271">
        <f>F10+F15</f>
        <v>0</v>
      </c>
      <c r="G21" s="438"/>
    </row>
    <row r="22" spans="1:7" x14ac:dyDescent="0.3">
      <c r="A22" s="262"/>
      <c r="B22" s="263"/>
      <c r="C22" s="264"/>
      <c r="D22" s="264"/>
      <c r="E22" s="264"/>
      <c r="F22" s="265"/>
    </row>
    <row r="23" spans="1:7" x14ac:dyDescent="0.3">
      <c r="A23" s="907" t="s">
        <v>262</v>
      </c>
      <c r="B23" s="908"/>
      <c r="C23" s="253"/>
      <c r="D23" s="253"/>
      <c r="E23" s="253"/>
      <c r="F23" s="254"/>
    </row>
    <row r="24" spans="1:7" x14ac:dyDescent="0.3">
      <c r="A24" s="903" t="s">
        <v>254</v>
      </c>
      <c r="B24" s="904"/>
      <c r="C24" s="255"/>
      <c r="D24" s="255"/>
      <c r="E24" s="268">
        <f t="shared" ref="E24" si="2">SUM(E25:E27)</f>
        <v>0</v>
      </c>
      <c r="F24" s="269">
        <f t="shared" ref="F24" si="3">SUM(F25:F27)</f>
        <v>0</v>
      </c>
    </row>
    <row r="25" spans="1:7" x14ac:dyDescent="0.3">
      <c r="A25" s="707"/>
      <c r="B25" s="257" t="s">
        <v>255</v>
      </c>
      <c r="C25" s="255"/>
      <c r="D25" s="255"/>
      <c r="E25" s="255"/>
      <c r="F25" s="256"/>
    </row>
    <row r="26" spans="1:7" x14ac:dyDescent="0.3">
      <c r="A26" s="258"/>
      <c r="B26" s="257" t="s">
        <v>256</v>
      </c>
      <c r="C26" s="259"/>
      <c r="D26" s="259"/>
      <c r="E26" s="259"/>
      <c r="F26" s="260"/>
    </row>
    <row r="27" spans="1:7" x14ac:dyDescent="0.3">
      <c r="A27" s="258"/>
      <c r="B27" s="257" t="s">
        <v>257</v>
      </c>
      <c r="C27" s="259"/>
      <c r="D27" s="259"/>
      <c r="E27" s="259"/>
      <c r="F27" s="260"/>
    </row>
    <row r="28" spans="1:7" x14ac:dyDescent="0.3">
      <c r="A28" s="258"/>
      <c r="B28" s="261"/>
      <c r="C28" s="259"/>
      <c r="D28" s="259"/>
      <c r="E28" s="259"/>
      <c r="F28" s="260"/>
    </row>
    <row r="29" spans="1:7" x14ac:dyDescent="0.3">
      <c r="A29" s="903" t="s">
        <v>258</v>
      </c>
      <c r="B29" s="904"/>
      <c r="C29" s="255"/>
      <c r="D29" s="255"/>
      <c r="E29" s="268">
        <f t="shared" ref="E29" si="4">SUM(E30:E33)</f>
        <v>0</v>
      </c>
      <c r="F29" s="269">
        <f t="shared" ref="F29" si="5">SUM(F30:F33)</f>
        <v>0</v>
      </c>
    </row>
    <row r="30" spans="1:7" x14ac:dyDescent="0.3">
      <c r="A30" s="258"/>
      <c r="B30" s="257" t="s">
        <v>259</v>
      </c>
      <c r="C30" s="259"/>
      <c r="D30" s="259"/>
      <c r="E30" s="259"/>
      <c r="F30" s="260"/>
    </row>
    <row r="31" spans="1:7" x14ac:dyDescent="0.3">
      <c r="A31" s="707"/>
      <c r="B31" s="257" t="s">
        <v>260</v>
      </c>
      <c r="C31" s="259"/>
      <c r="D31" s="259"/>
      <c r="E31" s="259"/>
      <c r="F31" s="260"/>
    </row>
    <row r="32" spans="1:7" x14ac:dyDescent="0.3">
      <c r="A32" s="707"/>
      <c r="B32" s="257" t="s">
        <v>256</v>
      </c>
      <c r="C32" s="255"/>
      <c r="D32" s="255"/>
      <c r="E32" s="255"/>
      <c r="F32" s="256"/>
    </row>
    <row r="33" spans="1:7" x14ac:dyDescent="0.3">
      <c r="A33" s="258"/>
      <c r="B33" s="257" t="s">
        <v>257</v>
      </c>
      <c r="C33" s="259"/>
      <c r="D33" s="259"/>
      <c r="E33" s="259"/>
      <c r="F33" s="260"/>
    </row>
    <row r="34" spans="1:7" x14ac:dyDescent="0.3">
      <c r="A34" s="707"/>
      <c r="B34" s="708"/>
      <c r="C34" s="255"/>
      <c r="D34" s="255"/>
      <c r="E34" s="255"/>
      <c r="F34" s="256"/>
    </row>
    <row r="35" spans="1:7" x14ac:dyDescent="0.3">
      <c r="A35" s="262"/>
      <c r="B35" s="263" t="s">
        <v>263</v>
      </c>
      <c r="C35" s="253"/>
      <c r="D35" s="253"/>
      <c r="E35" s="270">
        <f>E24+E29</f>
        <v>0</v>
      </c>
      <c r="F35" s="271">
        <f>F24+F29</f>
        <v>0</v>
      </c>
      <c r="G35" s="438"/>
    </row>
    <row r="36" spans="1:7" x14ac:dyDescent="0.3">
      <c r="A36" s="258"/>
      <c r="B36" s="261"/>
      <c r="C36" s="259"/>
      <c r="D36" s="259"/>
      <c r="E36" s="259"/>
      <c r="F36" s="260"/>
    </row>
    <row r="37" spans="1:7" x14ac:dyDescent="0.3">
      <c r="A37" s="258"/>
      <c r="B37" s="257" t="s">
        <v>264</v>
      </c>
      <c r="C37" s="259"/>
      <c r="D37" s="259"/>
      <c r="E37" s="259">
        <v>203639086.90000001</v>
      </c>
      <c r="F37" s="260">
        <v>21613505.18</v>
      </c>
    </row>
    <row r="38" spans="1:7" x14ac:dyDescent="0.3">
      <c r="A38" s="258"/>
      <c r="B38" s="261"/>
      <c r="C38" s="259"/>
      <c r="D38" s="259"/>
      <c r="E38" s="259"/>
      <c r="F38" s="260"/>
    </row>
    <row r="39" spans="1:7" x14ac:dyDescent="0.3">
      <c r="A39" s="707"/>
      <c r="B39" s="708" t="s">
        <v>265</v>
      </c>
      <c r="C39" s="253"/>
      <c r="D39" s="253"/>
      <c r="E39" s="270">
        <f t="shared" ref="E39:F39" si="6">E37+E35+E21</f>
        <v>203639086.90000001</v>
      </c>
      <c r="F39" s="271">
        <f t="shared" si="6"/>
        <v>21613505.18</v>
      </c>
      <c r="G39" s="438" t="str">
        <f>IF(F39-'ETCA-I-01'!E33&gt;0.9,"ERROR!!!!!, NO COINCIDE CON LO REPORTADO EN EL ETCA-I-01 EN EL MISMO RUBRO","")</f>
        <v/>
      </c>
    </row>
    <row r="40" spans="1:7" ht="5.25" customHeight="1" thickBot="1" x14ac:dyDescent="0.35">
      <c r="A40" s="899"/>
      <c r="B40" s="900"/>
      <c r="C40" s="266"/>
      <c r="D40" s="266"/>
      <c r="E40" s="266"/>
      <c r="F40" s="267"/>
    </row>
    <row r="41" spans="1:7" ht="11.1" customHeight="1" x14ac:dyDescent="0.3">
      <c r="A41" s="155" t="s">
        <v>195</v>
      </c>
      <c r="F41" s="641"/>
    </row>
    <row r="42" spans="1:7" ht="11.1" customHeight="1" x14ac:dyDescent="0.3">
      <c r="A42" s="641"/>
      <c r="B42" s="641"/>
      <c r="C42" s="641"/>
      <c r="D42" s="641"/>
      <c r="E42" s="641"/>
      <c r="F42" s="641"/>
    </row>
    <row r="43" spans="1:7" ht="11.1" customHeight="1" x14ac:dyDescent="0.3">
      <c r="A43" s="641"/>
      <c r="B43" s="641"/>
      <c r="C43" s="641"/>
      <c r="D43" s="641"/>
      <c r="E43" s="641"/>
      <c r="F43" s="641"/>
    </row>
    <row r="44" spans="1:7" ht="11.1" customHeight="1" x14ac:dyDescent="0.3">
      <c r="A44" s="641"/>
      <c r="B44" s="641" t="s">
        <v>143</v>
      </c>
      <c r="C44" s="641"/>
      <c r="D44" s="641"/>
      <c r="E44" s="641"/>
      <c r="F44" s="641"/>
    </row>
    <row r="45" spans="1:7" ht="11.1" customHeight="1" x14ac:dyDescent="0.3">
      <c r="A45" s="641"/>
      <c r="B45" s="641"/>
      <c r="C45" s="641"/>
      <c r="D45" s="641"/>
      <c r="E45" s="641"/>
      <c r="F45" s="641"/>
    </row>
    <row r="46" spans="1:7" x14ac:dyDescent="0.3">
      <c r="A46" s="638" t="s">
        <v>143</v>
      </c>
      <c r="B46" s="638"/>
      <c r="C46" s="638"/>
      <c r="D46" s="638"/>
      <c r="E46" s="638"/>
      <c r="F46" s="638"/>
    </row>
    <row r="48" spans="1:7" x14ac:dyDescent="0.3">
      <c r="B48" s="474" t="s">
        <v>1612</v>
      </c>
    </row>
    <row r="49" spans="2:2" x14ac:dyDescent="0.3">
      <c r="B49" s="474" t="s">
        <v>1613</v>
      </c>
    </row>
    <row r="50" spans="2:2" x14ac:dyDescent="0.3">
      <c r="B50" s="66"/>
    </row>
    <row r="51" spans="2:2" x14ac:dyDescent="0.3">
      <c r="B51" s="66"/>
    </row>
    <row r="52" spans="2:2" x14ac:dyDescent="0.3">
      <c r="B52" s="66"/>
    </row>
    <row r="53" spans="2:2" x14ac:dyDescent="0.3">
      <c r="B53" s="474" t="s">
        <v>1614</v>
      </c>
    </row>
    <row r="54" spans="2:2" x14ac:dyDescent="0.3">
      <c r="B54" s="474" t="s">
        <v>1615</v>
      </c>
    </row>
  </sheetData>
  <sheetProtection algorithmName="SHA-512" hashValue="07vwIH5h0obmfqQYvvLi+HkDFU5i11yLPgISOp1CqTKLPVp/RH9ej/7lh6IWSnXXOEZ4yxO/v6TNlDuu+XdlFg==" saltValue="zZP3EI0n194/Eah8Z/hCag==" spinCount="100000" sheet="1" objects="1" scenarios="1" insertHyperlinks="0"/>
  <mergeCells count="15">
    <mergeCell ref="A40:B40"/>
    <mergeCell ref="A7:B7"/>
    <mergeCell ref="A15:B15"/>
    <mergeCell ref="A10:B10"/>
    <mergeCell ref="A8:B8"/>
    <mergeCell ref="A9:B9"/>
    <mergeCell ref="A23:B23"/>
    <mergeCell ref="A29:B29"/>
    <mergeCell ref="A24:B24"/>
    <mergeCell ref="A6:B6"/>
    <mergeCell ref="A1:F1"/>
    <mergeCell ref="A3:F3"/>
    <mergeCell ref="A2:F2"/>
    <mergeCell ref="A4:F4"/>
    <mergeCell ref="C5:D5"/>
  </mergeCells>
  <printOptions horizontalCentered="1"/>
  <pageMargins left="0.39370078740157483" right="0.39370078740157483" top="0.74803149606299213" bottom="0.74803149606299213" header="0.31496062992125984" footer="0.31496062992125984"/>
  <pageSetup scale="8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7"/>
  </sheetPr>
  <dimension ref="A1:I53"/>
  <sheetViews>
    <sheetView view="pageBreakPreview" zoomScale="90" zoomScaleNormal="100" zoomScaleSheetLayoutView="90" workbookViewId="0">
      <selection activeCell="A4" sqref="A4:I4"/>
    </sheetView>
  </sheetViews>
  <sheetFormatPr baseColWidth="10" defaultColWidth="11.42578125" defaultRowHeight="16.5" x14ac:dyDescent="0.3"/>
  <cols>
    <col min="1" max="1" width="18.85546875" style="3" customWidth="1"/>
    <col min="2" max="7" width="11.42578125" style="3"/>
    <col min="8" max="8" width="12.140625" style="3" customWidth="1"/>
    <col min="9" max="9" width="14.28515625" style="3" customWidth="1"/>
    <col min="10" max="16384" width="11.42578125" style="3"/>
  </cols>
  <sheetData>
    <row r="1" spans="1:9" x14ac:dyDescent="0.3">
      <c r="A1" s="918" t="s">
        <v>76</v>
      </c>
      <c r="B1" s="918"/>
      <c r="C1" s="918"/>
      <c r="D1" s="918"/>
      <c r="E1" s="918"/>
      <c r="F1" s="918"/>
      <c r="G1" s="918"/>
      <c r="H1" s="918"/>
      <c r="I1" s="918"/>
    </row>
    <row r="2" spans="1:9" x14ac:dyDescent="0.3">
      <c r="A2" s="920" t="s">
        <v>1626</v>
      </c>
      <c r="B2" s="920"/>
      <c r="C2" s="920"/>
      <c r="D2" s="920"/>
      <c r="E2" s="920"/>
      <c r="F2" s="920"/>
      <c r="G2" s="920"/>
      <c r="H2" s="920"/>
      <c r="I2" s="920"/>
    </row>
    <row r="3" spans="1:9" x14ac:dyDescent="0.3">
      <c r="A3" s="919" t="s">
        <v>587</v>
      </c>
      <c r="B3" s="919"/>
      <c r="C3" s="919"/>
      <c r="D3" s="919"/>
      <c r="E3" s="919"/>
      <c r="F3" s="919"/>
      <c r="G3" s="919"/>
      <c r="H3" s="919"/>
      <c r="I3" s="919"/>
    </row>
    <row r="4" spans="1:9" x14ac:dyDescent="0.3">
      <c r="A4" s="919" t="s">
        <v>592</v>
      </c>
      <c r="B4" s="919"/>
      <c r="C4" s="919"/>
      <c r="D4" s="919"/>
      <c r="E4" s="919"/>
      <c r="F4" s="919"/>
      <c r="G4" s="919"/>
      <c r="H4" s="919"/>
      <c r="I4" s="919"/>
    </row>
    <row r="5" spans="1:9" ht="18" customHeight="1" thickBot="1" x14ac:dyDescent="0.35">
      <c r="A5" s="5"/>
      <c r="B5" s="921" t="s">
        <v>266</v>
      </c>
      <c r="C5" s="921"/>
      <c r="D5" s="921"/>
      <c r="E5" s="921"/>
      <c r="F5" s="921"/>
      <c r="G5" s="921"/>
      <c r="H5" s="412" t="s">
        <v>79</v>
      </c>
      <c r="I5" s="5" t="s">
        <v>589</v>
      </c>
    </row>
    <row r="6" spans="1:9" x14ac:dyDescent="0.3">
      <c r="A6" s="8"/>
      <c r="B6" s="9"/>
      <c r="C6" s="9"/>
      <c r="D6" s="9"/>
      <c r="E6" s="9"/>
      <c r="F6" s="9"/>
      <c r="G6" s="9"/>
      <c r="H6" s="9"/>
      <c r="I6" s="10"/>
    </row>
    <row r="7" spans="1:9" x14ac:dyDescent="0.3">
      <c r="A7" s="11"/>
      <c r="B7" s="12"/>
      <c r="C7" s="12"/>
      <c r="D7" s="12"/>
      <c r="E7" s="12"/>
      <c r="F7" s="12"/>
      <c r="G7" s="12"/>
      <c r="H7" s="12"/>
      <c r="I7" s="13"/>
    </row>
    <row r="8" spans="1:9" x14ac:dyDescent="0.3">
      <c r="A8" s="14" t="s">
        <v>267</v>
      </c>
      <c r="B8" s="12"/>
      <c r="C8" s="12"/>
      <c r="D8" s="12"/>
      <c r="E8" s="12"/>
      <c r="F8" s="12"/>
      <c r="G8" s="12"/>
      <c r="H8" s="12"/>
      <c r="I8" s="13"/>
    </row>
    <row r="9" spans="1:9" x14ac:dyDescent="0.3">
      <c r="A9" s="14"/>
      <c r="B9" s="12"/>
      <c r="C9" s="12"/>
      <c r="D9" s="12"/>
      <c r="E9" s="12"/>
      <c r="F9" s="12"/>
      <c r="G9" s="12"/>
      <c r="H9" s="12"/>
      <c r="I9" s="13"/>
    </row>
    <row r="10" spans="1:9" x14ac:dyDescent="0.3">
      <c r="A10" s="14"/>
      <c r="B10" s="12"/>
      <c r="C10" s="12"/>
      <c r="D10" s="12"/>
      <c r="E10" s="12"/>
      <c r="F10" s="12"/>
      <c r="G10" s="12"/>
      <c r="H10" s="12"/>
      <c r="I10" s="13"/>
    </row>
    <row r="11" spans="1:9" x14ac:dyDescent="0.3">
      <c r="A11" s="14"/>
      <c r="B11" s="12"/>
      <c r="C11" s="12"/>
      <c r="D11" s="12"/>
      <c r="E11" s="12"/>
      <c r="F11" s="12"/>
      <c r="G11" s="12"/>
      <c r="H11" s="12"/>
      <c r="I11" s="13"/>
    </row>
    <row r="12" spans="1:9" x14ac:dyDescent="0.3">
      <c r="A12" s="14"/>
      <c r="B12" s="12"/>
      <c r="C12" s="12"/>
      <c r="D12" s="12"/>
      <c r="E12" s="12"/>
      <c r="F12" s="12"/>
      <c r="G12" s="12"/>
      <c r="H12" s="12"/>
      <c r="I12" s="13"/>
    </row>
    <row r="13" spans="1:9" ht="15.75" customHeight="1" x14ac:dyDescent="0.3">
      <c r="A13" s="11"/>
      <c r="B13" s="12"/>
      <c r="C13" s="15"/>
      <c r="D13" s="15"/>
      <c r="E13" s="15"/>
      <c r="F13" s="15"/>
      <c r="G13" s="15"/>
      <c r="H13" s="15"/>
      <c r="I13" s="13"/>
    </row>
    <row r="14" spans="1:9" ht="15" customHeight="1" thickBot="1" x14ac:dyDescent="0.35">
      <c r="A14" s="16"/>
      <c r="B14" s="1"/>
      <c r="C14" s="17"/>
      <c r="D14" s="17"/>
      <c r="E14" s="17"/>
      <c r="F14" s="17"/>
      <c r="G14" s="17"/>
      <c r="H14" s="17"/>
      <c r="I14" s="2"/>
    </row>
    <row r="15" spans="1:9" ht="15" customHeight="1" thickBot="1" x14ac:dyDescent="0.35">
      <c r="A15" s="11"/>
      <c r="B15" s="12"/>
      <c r="C15" s="15"/>
      <c r="D15" s="15"/>
      <c r="E15" s="15"/>
      <c r="F15" s="15"/>
      <c r="G15" s="15"/>
      <c r="H15" s="15"/>
      <c r="I15" s="13"/>
    </row>
    <row r="16" spans="1:9" ht="15" customHeight="1" x14ac:dyDescent="0.3">
      <c r="A16" s="11"/>
      <c r="B16" s="12"/>
      <c r="C16" s="909" t="s">
        <v>1618</v>
      </c>
      <c r="D16" s="910"/>
      <c r="E16" s="910"/>
      <c r="F16" s="910"/>
      <c r="G16" s="910"/>
      <c r="H16" s="911"/>
      <c r="I16" s="13"/>
    </row>
    <row r="17" spans="1:9" ht="15" customHeight="1" x14ac:dyDescent="0.3">
      <c r="A17" s="11"/>
      <c r="B17" s="12"/>
      <c r="C17" s="912"/>
      <c r="D17" s="913"/>
      <c r="E17" s="913"/>
      <c r="F17" s="913"/>
      <c r="G17" s="913"/>
      <c r="H17" s="914"/>
      <c r="I17" s="13"/>
    </row>
    <row r="18" spans="1:9" ht="15" customHeight="1" x14ac:dyDescent="0.3">
      <c r="A18" s="11"/>
      <c r="B18" s="12"/>
      <c r="C18" s="912"/>
      <c r="D18" s="913"/>
      <c r="E18" s="913"/>
      <c r="F18" s="913"/>
      <c r="G18" s="913"/>
      <c r="H18" s="914"/>
      <c r="I18" s="13"/>
    </row>
    <row r="19" spans="1:9" ht="15" customHeight="1" x14ac:dyDescent="0.3">
      <c r="A19" s="14" t="s">
        <v>268</v>
      </c>
      <c r="B19" s="12"/>
      <c r="C19" s="912"/>
      <c r="D19" s="913"/>
      <c r="E19" s="913"/>
      <c r="F19" s="913"/>
      <c r="G19" s="913"/>
      <c r="H19" s="914"/>
      <c r="I19" s="13"/>
    </row>
    <row r="20" spans="1:9" ht="15" customHeight="1" x14ac:dyDescent="0.3">
      <c r="A20" s="11"/>
      <c r="B20" s="12"/>
      <c r="C20" s="912"/>
      <c r="D20" s="913"/>
      <c r="E20" s="913"/>
      <c r="F20" s="913"/>
      <c r="G20" s="913"/>
      <c r="H20" s="914"/>
      <c r="I20" s="13"/>
    </row>
    <row r="21" spans="1:9" ht="15" customHeight="1" x14ac:dyDescent="0.3">
      <c r="A21" s="11"/>
      <c r="B21" s="12"/>
      <c r="C21" s="912"/>
      <c r="D21" s="913"/>
      <c r="E21" s="913"/>
      <c r="F21" s="913"/>
      <c r="G21" s="913"/>
      <c r="H21" s="914"/>
      <c r="I21" s="13"/>
    </row>
    <row r="22" spans="1:9" ht="15" customHeight="1" x14ac:dyDescent="0.3">
      <c r="A22" s="11"/>
      <c r="B22" s="12"/>
      <c r="C22" s="912"/>
      <c r="D22" s="913"/>
      <c r="E22" s="913"/>
      <c r="F22" s="913"/>
      <c r="G22" s="913"/>
      <c r="H22" s="914"/>
      <c r="I22" s="13"/>
    </row>
    <row r="23" spans="1:9" ht="15" customHeight="1" x14ac:dyDescent="0.3">
      <c r="A23" s="11"/>
      <c r="B23" s="12"/>
      <c r="C23" s="912"/>
      <c r="D23" s="913"/>
      <c r="E23" s="913"/>
      <c r="F23" s="913"/>
      <c r="G23" s="913"/>
      <c r="H23" s="914"/>
      <c r="I23" s="13"/>
    </row>
    <row r="24" spans="1:9" ht="15" customHeight="1" x14ac:dyDescent="0.3">
      <c r="A24" s="11"/>
      <c r="B24" s="12"/>
      <c r="C24" s="912"/>
      <c r="D24" s="913"/>
      <c r="E24" s="913"/>
      <c r="F24" s="913"/>
      <c r="G24" s="913"/>
      <c r="H24" s="914"/>
      <c r="I24" s="13"/>
    </row>
    <row r="25" spans="1:9" ht="15" customHeight="1" x14ac:dyDescent="0.3">
      <c r="A25" s="11"/>
      <c r="B25" s="12"/>
      <c r="C25" s="912"/>
      <c r="D25" s="913"/>
      <c r="E25" s="913"/>
      <c r="F25" s="913"/>
      <c r="G25" s="913"/>
      <c r="H25" s="914"/>
      <c r="I25" s="13"/>
    </row>
    <row r="26" spans="1:9" ht="15" customHeight="1" x14ac:dyDescent="0.3">
      <c r="A26" s="11"/>
      <c r="B26" s="12"/>
      <c r="C26" s="912"/>
      <c r="D26" s="913"/>
      <c r="E26" s="913"/>
      <c r="F26" s="913"/>
      <c r="G26" s="913"/>
      <c r="H26" s="914"/>
      <c r="I26" s="13"/>
    </row>
    <row r="27" spans="1:9" ht="14.25" customHeight="1" x14ac:dyDescent="0.3">
      <c r="A27" s="11"/>
      <c r="B27" s="12"/>
      <c r="C27" s="912"/>
      <c r="D27" s="913"/>
      <c r="E27" s="913"/>
      <c r="F27" s="913"/>
      <c r="G27" s="913"/>
      <c r="H27" s="914"/>
      <c r="I27" s="13"/>
    </row>
    <row r="28" spans="1:9" ht="15.75" customHeight="1" x14ac:dyDescent="0.3">
      <c r="A28" s="11"/>
      <c r="B28" s="12"/>
      <c r="C28" s="912"/>
      <c r="D28" s="913"/>
      <c r="E28" s="913"/>
      <c r="F28" s="913"/>
      <c r="G28" s="913"/>
      <c r="H28" s="914"/>
      <c r="I28" s="13"/>
    </row>
    <row r="29" spans="1:9" x14ac:dyDescent="0.3">
      <c r="A29" s="11"/>
      <c r="B29" s="12"/>
      <c r="C29" s="912"/>
      <c r="D29" s="913"/>
      <c r="E29" s="913"/>
      <c r="F29" s="913"/>
      <c r="G29" s="913"/>
      <c r="H29" s="914"/>
      <c r="I29" s="13"/>
    </row>
    <row r="30" spans="1:9" ht="17.25" thickBot="1" x14ac:dyDescent="0.35">
      <c r="A30" s="11"/>
      <c r="B30" s="12"/>
      <c r="C30" s="915"/>
      <c r="D30" s="916"/>
      <c r="E30" s="916"/>
      <c r="F30" s="916"/>
      <c r="G30" s="916"/>
      <c r="H30" s="917"/>
      <c r="I30" s="13"/>
    </row>
    <row r="31" spans="1:9" ht="17.25" thickBot="1" x14ac:dyDescent="0.35">
      <c r="A31" s="16"/>
      <c r="B31" s="1"/>
      <c r="C31" s="1"/>
      <c r="D31" s="1"/>
      <c r="E31" s="1"/>
      <c r="F31" s="1"/>
      <c r="G31" s="1"/>
      <c r="H31" s="1"/>
      <c r="I31" s="2"/>
    </row>
    <row r="32" spans="1:9" x14ac:dyDescent="0.3">
      <c r="A32" s="11"/>
      <c r="B32" s="12"/>
      <c r="C32" s="12"/>
      <c r="D32" s="12"/>
      <c r="E32" s="12"/>
      <c r="F32" s="12"/>
      <c r="G32" s="12"/>
      <c r="H32" s="12"/>
      <c r="I32" s="13"/>
    </row>
    <row r="33" spans="1:9" x14ac:dyDescent="0.3">
      <c r="A33" s="14" t="s">
        <v>269</v>
      </c>
      <c r="B33" s="12"/>
      <c r="C33" s="12"/>
      <c r="D33" s="12"/>
      <c r="E33" s="12"/>
      <c r="F33" s="12"/>
      <c r="G33" s="12"/>
      <c r="H33" s="12"/>
      <c r="I33" s="13"/>
    </row>
    <row r="34" spans="1:9" x14ac:dyDescent="0.3">
      <c r="A34" s="11"/>
      <c r="B34" s="12"/>
      <c r="C34" s="12"/>
      <c r="D34" s="12"/>
      <c r="E34" s="12"/>
      <c r="F34" s="12"/>
      <c r="G34" s="12"/>
      <c r="H34" s="12"/>
      <c r="I34" s="13"/>
    </row>
    <row r="35" spans="1:9" x14ac:dyDescent="0.3">
      <c r="A35" s="11"/>
      <c r="B35" s="12"/>
      <c r="C35" s="12"/>
      <c r="D35" s="12"/>
      <c r="E35" s="12"/>
      <c r="F35" s="12"/>
      <c r="G35" s="12"/>
      <c r="H35" s="12"/>
      <c r="I35" s="13"/>
    </row>
    <row r="36" spans="1:9" x14ac:dyDescent="0.3">
      <c r="A36" s="11"/>
      <c r="B36" s="12"/>
      <c r="C36" s="12"/>
      <c r="D36" s="12"/>
      <c r="E36" s="12"/>
      <c r="F36" s="12"/>
      <c r="G36" s="12"/>
      <c r="H36" s="12"/>
      <c r="I36" s="13"/>
    </row>
    <row r="37" spans="1:9" x14ac:dyDescent="0.3">
      <c r="A37" s="11"/>
      <c r="B37" s="12"/>
      <c r="C37" s="12"/>
      <c r="D37" s="12"/>
      <c r="E37" s="12"/>
      <c r="F37" s="12"/>
      <c r="G37" s="12"/>
      <c r="H37" s="12"/>
      <c r="I37" s="13"/>
    </row>
    <row r="38" spans="1:9" x14ac:dyDescent="0.3">
      <c r="A38" s="11"/>
      <c r="B38" s="12"/>
      <c r="C38" s="12"/>
      <c r="D38" s="12"/>
      <c r="E38" s="12"/>
      <c r="F38" s="12"/>
      <c r="G38" s="12"/>
      <c r="H38" s="12"/>
      <c r="I38" s="13"/>
    </row>
    <row r="39" spans="1:9" x14ac:dyDescent="0.3">
      <c r="A39" s="11"/>
      <c r="B39" s="12"/>
      <c r="C39" s="12"/>
      <c r="D39" s="12"/>
      <c r="E39" s="12"/>
      <c r="F39" s="12"/>
      <c r="G39" s="12"/>
      <c r="H39" s="12"/>
      <c r="I39" s="13"/>
    </row>
    <row r="40" spans="1:9" x14ac:dyDescent="0.3">
      <c r="A40" s="11"/>
      <c r="B40" s="12"/>
      <c r="C40" s="12"/>
      <c r="D40" s="12"/>
      <c r="E40" s="12"/>
      <c r="F40" s="12"/>
      <c r="G40" s="12"/>
      <c r="H40" s="12"/>
      <c r="I40" s="13"/>
    </row>
    <row r="41" spans="1:9" ht="17.25" thickBot="1" x14ac:dyDescent="0.35">
      <c r="A41" s="16"/>
      <c r="B41" s="1"/>
      <c r="C41" s="1"/>
      <c r="D41" s="1"/>
      <c r="E41" s="1"/>
      <c r="F41" s="1"/>
      <c r="G41" s="1"/>
      <c r="H41" s="1"/>
      <c r="I41" s="2"/>
    </row>
    <row r="42" spans="1:9" x14ac:dyDescent="0.3">
      <c r="A42" s="3" t="s">
        <v>195</v>
      </c>
    </row>
    <row r="43" spans="1:9" x14ac:dyDescent="0.3">
      <c r="A43" s="12"/>
      <c r="B43" s="12"/>
      <c r="C43" s="12"/>
      <c r="D43" s="12"/>
      <c r="E43" s="12"/>
      <c r="F43" s="12"/>
      <c r="G43" s="12"/>
      <c r="H43" s="12"/>
      <c r="I43" s="12"/>
    </row>
    <row r="47" spans="1:9" x14ac:dyDescent="0.3">
      <c r="A47" s="474" t="s">
        <v>1612</v>
      </c>
    </row>
    <row r="48" spans="1:9" x14ac:dyDescent="0.3">
      <c r="A48" s="474" t="s">
        <v>1613</v>
      </c>
    </row>
    <row r="49" spans="1:1" x14ac:dyDescent="0.3">
      <c r="A49" s="66"/>
    </row>
    <row r="50" spans="1:1" x14ac:dyDescent="0.3">
      <c r="A50" s="66"/>
    </row>
    <row r="51" spans="1:1" x14ac:dyDescent="0.3">
      <c r="A51" s="66"/>
    </row>
    <row r="52" spans="1:1" x14ac:dyDescent="0.3">
      <c r="A52" s="474" t="s">
        <v>1614</v>
      </c>
    </row>
    <row r="53" spans="1:1" x14ac:dyDescent="0.3">
      <c r="A53" s="474" t="s">
        <v>1615</v>
      </c>
    </row>
  </sheetData>
  <mergeCells count="6">
    <mergeCell ref="C16:H30"/>
    <mergeCell ref="A1:I1"/>
    <mergeCell ref="A3:I3"/>
    <mergeCell ref="A2:I2"/>
    <mergeCell ref="A4:I4"/>
    <mergeCell ref="B5:G5"/>
  </mergeCells>
  <pageMargins left="0.42" right="0.32" top="0.54" bottom="0.74803149606299213" header="0.31496062992125984" footer="0.31496062992125984"/>
  <pageSetup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31</vt:i4>
      </vt:variant>
    </vt:vector>
  </HeadingPairs>
  <TitlesOfParts>
    <vt:vector size="61" baseType="lpstr">
      <vt:lpstr>Lista  FORMATOS</vt:lpstr>
      <vt:lpstr>ETCA-I-01</vt:lpstr>
      <vt:lpstr>ETCA-I-02</vt:lpstr>
      <vt:lpstr>ETCA-I-03</vt:lpstr>
      <vt:lpstr>ETCA-I-04</vt:lpstr>
      <vt:lpstr>ETCA-I-05</vt:lpstr>
      <vt:lpstr>ETCA-I-06</vt:lpstr>
      <vt:lpstr>ETCA-I-07</vt:lpstr>
      <vt:lpstr>ETCA-I-08</vt:lpstr>
      <vt:lpstr>ETCA-I-09 Notas</vt:lpstr>
      <vt:lpstr>ETCA-II-10 </vt:lpstr>
      <vt:lpstr>ETCA-II-10-A</vt:lpstr>
      <vt:lpstr>ETCA-II-11 </vt:lpstr>
      <vt:lpstr>ETCA-II-11-A </vt:lpstr>
      <vt:lpstr>ETCA-II-11-B1</vt:lpstr>
      <vt:lpstr>ETCA-II-11-B2</vt:lpstr>
      <vt:lpstr>ETCA-11-B3</vt:lpstr>
      <vt:lpstr>ETCA-II-11-C</vt:lpstr>
      <vt:lpstr>ETCA-II-11-D</vt:lpstr>
      <vt:lpstr>ETCA-II-11-E </vt:lpstr>
      <vt:lpstr>ETCA-II-12</vt:lpstr>
      <vt:lpstr>ETCA-II-13</vt:lpstr>
      <vt:lpstr>ETCA-III-14</vt:lpstr>
      <vt:lpstr>ETCA-III-15</vt:lpstr>
      <vt:lpstr>ETCA-III-15-A</vt:lpstr>
      <vt:lpstr>ETCA-III-16</vt:lpstr>
      <vt:lpstr>ETCA-IV-17</vt:lpstr>
      <vt:lpstr>ETCA-IV-19</vt:lpstr>
      <vt:lpstr>ETCA-IV-20</vt:lpstr>
      <vt:lpstr>ANEXO</vt:lpstr>
      <vt:lpstr>'ETCA-11-B3'!Área_de_impresión</vt:lpstr>
      <vt:lpstr>'ETCA-I-01'!Área_de_impresión</vt:lpstr>
      <vt:lpstr>'ETCA-I-02'!Área_de_impresión</vt:lpstr>
      <vt:lpstr>'ETCA-I-03'!Área_de_impresión</vt:lpstr>
      <vt:lpstr>'ETCA-I-04'!Área_de_impresión</vt:lpstr>
      <vt:lpstr>'ETCA-I-05'!Área_de_impresión</vt:lpstr>
      <vt:lpstr>'ETCA-I-06'!Área_de_impresión</vt:lpstr>
      <vt:lpstr>'ETCA-I-07'!Área_de_impresión</vt:lpstr>
      <vt:lpstr>'ETCA-I-08'!Área_de_impresión</vt:lpstr>
      <vt:lpstr>'ETCA-I-09 Notas'!Área_de_impresión</vt:lpstr>
      <vt:lpstr>'ETCA-II-10 '!Área_de_impresión</vt:lpstr>
      <vt:lpstr>'ETCA-II-10-A'!Área_de_impresión</vt:lpstr>
      <vt:lpstr>'ETCA-II-11 '!Área_de_impresión</vt:lpstr>
      <vt:lpstr>'ETCA-II-11-A '!Área_de_impresión</vt:lpstr>
      <vt:lpstr>'ETCA-II-11-B1'!Área_de_impresión</vt:lpstr>
      <vt:lpstr>'ETCA-II-11-B2'!Área_de_impresión</vt:lpstr>
      <vt:lpstr>'ETCA-II-11-C'!Área_de_impresión</vt:lpstr>
      <vt:lpstr>'ETCA-II-11-D'!Área_de_impresión</vt:lpstr>
      <vt:lpstr>'ETCA-II-11-E '!Área_de_impresión</vt:lpstr>
      <vt:lpstr>'ETCA-II-12'!Área_de_impresión</vt:lpstr>
      <vt:lpstr>'ETCA-II-13'!Área_de_impresión</vt:lpstr>
      <vt:lpstr>'ETCA-III-14'!Área_de_impresión</vt:lpstr>
      <vt:lpstr>'ETCA-III-16'!Área_de_impresión</vt:lpstr>
      <vt:lpstr>'ETCA-IV-17'!Área_de_impresión</vt:lpstr>
      <vt:lpstr>'ETCA-IV-19'!Área_de_impresión</vt:lpstr>
      <vt:lpstr>'ETCA-IV-20'!Área_de_impresión</vt:lpstr>
      <vt:lpstr>'ETCA-I-02'!Títulos_a_imprimir</vt:lpstr>
      <vt:lpstr>'ETCA-I-04'!Títulos_a_imprimir</vt:lpstr>
      <vt:lpstr>'ETCA-II-10 '!Títulos_a_imprimir</vt:lpstr>
      <vt:lpstr>'ETCA-II-11 '!Títulos_a_imprimir</vt:lpstr>
      <vt:lpstr>'ETCA-III-15-A'!Títulos_a_imprimir</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LAVEAGA</dc:creator>
  <cp:lastModifiedBy>Administrador</cp:lastModifiedBy>
  <cp:revision/>
  <cp:lastPrinted>2016-08-26T16:41:59Z</cp:lastPrinted>
  <dcterms:created xsi:type="dcterms:W3CDTF">2014-03-28T01:13:38Z</dcterms:created>
  <dcterms:modified xsi:type="dcterms:W3CDTF">2016-08-26T16:43:08Z</dcterms:modified>
</cp:coreProperties>
</file>