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020" windowWidth="15480" windowHeight="4080" tabRatio="976" activeTab="8"/>
  </bookViews>
  <sheets>
    <sheet name="ETCA-I-01" sheetId="2" r:id="rId1"/>
    <sheet name="ETCA-I-01-A (EDO RESULTADOS)" sheetId="1" r:id="rId2"/>
    <sheet name="ETCA-I-01-B" sheetId="23" r:id="rId3"/>
    <sheet name="ETCA-I-02" sheetId="3" r:id="rId4"/>
    <sheet name="ETCA-I-03" sheetId="5" r:id="rId5"/>
    <sheet name="ETCA-I-04" sheetId="26" r:id="rId6"/>
    <sheet name="ETCA-I-05 Notas" sheetId="13" r:id="rId7"/>
    <sheet name="ETCA-I-06" sheetId="6" r:id="rId8"/>
    <sheet name="ETCA-I-07" sheetId="7" r:id="rId9"/>
    <sheet name="ETCA-II-08" sheetId="8" r:id="rId10"/>
    <sheet name="ETCA-II-08-A...CONCIL. INGRESOS" sheetId="21" r:id="rId11"/>
    <sheet name="ETCA-II-09" sheetId="11" r:id="rId12"/>
    <sheet name="ETCA-II-09-A." sheetId="9" r:id="rId13"/>
    <sheet name="ETCA-II-09-B" sheetId="29" r:id="rId14"/>
    <sheet name="ETCA-II-09-C" sheetId="30" r:id="rId15"/>
    <sheet name="ETCA-II-09-D.CONCIL. EGRESOS" sheetId="24" r:id="rId16"/>
    <sheet name="ETCA-II-10" sheetId="16" r:id="rId17"/>
    <sheet name="ETCA-II-11" sheetId="19" r:id="rId18"/>
    <sheet name="ETCA-II-12" sheetId="20" r:id="rId19"/>
    <sheet name="ETCA-III-13" sheetId="31" r:id="rId20"/>
    <sheet name="ETCA-III-14" sheetId="32" r:id="rId21"/>
    <sheet name="ETCA-IV-16" sheetId="28" r:id="rId22"/>
    <sheet name="ETCA-IV-17" sheetId="22" r:id="rId23"/>
    <sheet name="LISTA" sheetId="15" r:id="rId24"/>
  </sheets>
  <externalReferences>
    <externalReference r:id="rId25"/>
  </externalReferences>
  <definedNames>
    <definedName name="_xlnm._FilterDatabase" localSheetId="0" hidden="1">'ETCA-I-01'!$A$1:$G$49</definedName>
    <definedName name="_xlnm._FilterDatabase" localSheetId="4" hidden="1">'ETCA-I-03'!$A$1:$C$76</definedName>
    <definedName name="_xlnm._FilterDatabase" localSheetId="19" hidden="1">'ETCA-III-13'!$A$10:$B$67</definedName>
    <definedName name="_ftn1" localSheetId="1">'ETCA-I-01-A (EDO RESULTADOS)'!#REF!</definedName>
    <definedName name="_ftnref1" localSheetId="1">'ETCA-I-01-A (EDO RESULTADOS)'!#REF!</definedName>
    <definedName name="_GoBack" localSheetId="6">'ETCA-I-05 Notas'!$A$124</definedName>
    <definedName name="_xlnm.Print_Area" localSheetId="0">'ETCA-I-01'!$A$1:$G$55</definedName>
    <definedName name="_xlnm.Print_Area" localSheetId="1">'ETCA-I-01-A (EDO RESULTADOS)'!$A$1:$D$69</definedName>
    <definedName name="_xlnm.Print_Area" localSheetId="2">'ETCA-I-01-B'!$A$1:$D$66</definedName>
    <definedName name="_xlnm.Print_Area" localSheetId="4">'ETCA-I-03'!$A$1:$C$62</definedName>
    <definedName name="_xlnm.Print_Area" localSheetId="5">'ETCA-I-04'!$A$1:$H$41</definedName>
    <definedName name="_xlnm.Print_Area" localSheetId="6">'ETCA-I-05 Notas'!$A$1:$J$7</definedName>
    <definedName name="_xlnm.Print_Area" localSheetId="9">'ETCA-II-08'!#REF!</definedName>
    <definedName name="_xlnm.Print_Area" localSheetId="11">'ETCA-II-09'!$A$1:$I$18</definedName>
    <definedName name="_xlnm.Print_Area" localSheetId="13">'ETCA-II-09-B'!$A$1:$J$19</definedName>
    <definedName name="_xlnm.Print_Area" localSheetId="14">'ETCA-II-09-C'!$A$1:$J$136</definedName>
    <definedName name="_xlnm.Print_Area" localSheetId="16">'ETCA-II-10'!$A$1:$E$35</definedName>
    <definedName name="_xlnm.Print_Area" localSheetId="17">'ETCA-II-11'!$A$1:$D$36</definedName>
    <definedName name="_xlnm.Print_Area" localSheetId="19">'ETCA-III-13'!#REF!</definedName>
    <definedName name="_xlnm.Print_Area" localSheetId="20">'ETCA-III-14'!$A$1:$D$124</definedName>
    <definedName name="_xlnm.Print_Area" localSheetId="21">'ETCA-IV-16'!$A$1:$D$19</definedName>
    <definedName name="_xlnm.Print_Area" localSheetId="23">LISTA!$A$1:$G$45</definedName>
    <definedName name="_xlnm.Database" localSheetId="5">#REF!</definedName>
    <definedName name="_xlnm.Database" localSheetId="10">#REF!</definedName>
    <definedName name="_xlnm.Database" localSheetId="11">#REF!</definedName>
    <definedName name="_xlnm.Database" localSheetId="13">#REF!</definedName>
    <definedName name="_xlnm.Database" localSheetId="14">#REF!</definedName>
    <definedName name="_xlnm.Database" localSheetId="15">#REF!</definedName>
    <definedName name="_xlnm.Database" localSheetId="17">#REF!</definedName>
    <definedName name="_xlnm.Database" localSheetId="18">#REF!</definedName>
    <definedName name="_xlnm.Database" localSheetId="20">#REF!</definedName>
    <definedName name="_xlnm.Database" localSheetId="21">#REF!</definedName>
    <definedName name="_xlnm.Database" localSheetId="23">#REF!</definedName>
    <definedName name="_xlnm.Database">#REF!</definedName>
    <definedName name="ppto">[1]Hoja2!$B$3:$M$95</definedName>
    <definedName name="_xlnm.Print_Titles" localSheetId="1">'ETCA-I-01-A (EDO RESULTADOS)'!$2:$5</definedName>
    <definedName name="_xlnm.Print_Titles" localSheetId="4">'ETCA-I-03'!$1:$5</definedName>
    <definedName name="_xlnm.Print_Titles" localSheetId="19">'ETCA-III-13'!$1:$10</definedName>
  </definedNames>
  <calcPr calcId="145621"/>
</workbook>
</file>

<file path=xl/calcChain.xml><?xml version="1.0" encoding="utf-8"?>
<calcChain xmlns="http://schemas.openxmlformats.org/spreadsheetml/2006/main">
  <c r="E130" i="9" l="1"/>
  <c r="J130" i="9" s="1"/>
  <c r="J132" i="9"/>
  <c r="J153" i="9"/>
  <c r="J134" i="9"/>
  <c r="J133" i="9"/>
  <c r="B29" i="5"/>
  <c r="B28" i="5" s="1"/>
  <c r="C17" i="5"/>
  <c r="C8" i="5"/>
  <c r="C7" i="5" s="1"/>
  <c r="B53" i="5"/>
  <c r="C61" i="1"/>
  <c r="G10" i="30" l="1"/>
  <c r="F10" i="30"/>
  <c r="G159" i="9"/>
  <c r="I159" i="9"/>
  <c r="H55" i="8"/>
  <c r="H54" i="8"/>
  <c r="H23" i="8"/>
  <c r="H22" i="8"/>
  <c r="F17" i="3"/>
  <c r="F8" i="3"/>
  <c r="D16" i="3"/>
  <c r="F16" i="3" s="1"/>
  <c r="C15" i="3"/>
  <c r="C21" i="3" s="1"/>
  <c r="D8" i="3"/>
  <c r="F9" i="2"/>
  <c r="C30" i="3" l="1"/>
  <c r="D15" i="3"/>
  <c r="F15" i="3" s="1"/>
  <c r="F21" i="3" s="1"/>
  <c r="B24" i="2"/>
  <c r="F37" i="9"/>
  <c r="D21" i="3" l="1"/>
  <c r="D29" i="24" l="1"/>
  <c r="H12" i="30" l="1"/>
  <c r="D12" i="30"/>
  <c r="H11" i="30"/>
  <c r="D11" i="30"/>
  <c r="H10" i="30"/>
  <c r="D10" i="30"/>
  <c r="H9" i="30"/>
  <c r="D9" i="30"/>
  <c r="H49" i="9"/>
  <c r="H38" i="9"/>
  <c r="H48" i="9"/>
  <c r="H52" i="9"/>
  <c r="H39" i="9"/>
  <c r="E40" i="9"/>
  <c r="J40" i="9" s="1"/>
  <c r="I11" i="29" l="1"/>
  <c r="I9" i="29"/>
  <c r="G11" i="29" l="1"/>
  <c r="G9" i="29"/>
  <c r="F11" i="29"/>
  <c r="F9" i="29"/>
  <c r="C11" i="29"/>
  <c r="C9" i="29"/>
  <c r="H64" i="9"/>
  <c r="H62" i="9"/>
  <c r="H61" i="9"/>
  <c r="H59" i="9"/>
  <c r="H58" i="9"/>
  <c r="H57" i="9" s="1"/>
  <c r="H55" i="9"/>
  <c r="H47" i="9"/>
  <c r="H46" i="9"/>
  <c r="H45" i="9"/>
  <c r="H43" i="9"/>
  <c r="H42" i="9"/>
  <c r="H41" i="9"/>
  <c r="H56" i="9"/>
  <c r="H155" i="9"/>
  <c r="H141" i="9"/>
  <c r="H140" i="9"/>
  <c r="H139" i="9"/>
  <c r="H138" i="9"/>
  <c r="H137" i="9"/>
  <c r="H133" i="9"/>
  <c r="H131" i="9"/>
  <c r="H130" i="9"/>
  <c r="H129" i="9"/>
  <c r="H128" i="9"/>
  <c r="H127" i="9"/>
  <c r="H118" i="9"/>
  <c r="H119" i="9"/>
  <c r="H114" i="9"/>
  <c r="H110" i="9"/>
  <c r="H109" i="9"/>
  <c r="H107" i="9"/>
  <c r="H106" i="9"/>
  <c r="H105" i="9"/>
  <c r="H104" i="9"/>
  <c r="H103" i="9"/>
  <c r="H102" i="9" s="1"/>
  <c r="H101" i="9"/>
  <c r="H99" i="9"/>
  <c r="H98" i="9"/>
  <c r="H97" i="9"/>
  <c r="H96" i="9"/>
  <c r="H94" i="9"/>
  <c r="H93" i="9"/>
  <c r="H89" i="9"/>
  <c r="H88" i="9"/>
  <c r="H86" i="9"/>
  <c r="H85" i="9"/>
  <c r="H84" i="9"/>
  <c r="H82" i="9"/>
  <c r="H80" i="9"/>
  <c r="H78" i="9"/>
  <c r="H76" i="9"/>
  <c r="H75" i="9"/>
  <c r="H73" i="9"/>
  <c r="H70" i="9"/>
  <c r="H69" i="9"/>
  <c r="H68" i="9"/>
  <c r="H67" i="9"/>
  <c r="H63" i="9"/>
  <c r="H35" i="9"/>
  <c r="H34" i="9"/>
  <c r="H33" i="9"/>
  <c r="H32" i="9"/>
  <c r="H31" i="9"/>
  <c r="H30" i="9"/>
  <c r="H29" i="9"/>
  <c r="H28" i="9"/>
  <c r="H27" i="9"/>
  <c r="H26" i="9"/>
  <c r="H24" i="9"/>
  <c r="H21" i="9"/>
  <c r="H20" i="9"/>
  <c r="H19" i="9"/>
  <c r="H17" i="9"/>
  <c r="H15" i="9"/>
  <c r="H14" i="9"/>
  <c r="H13" i="9"/>
  <c r="H12" i="9"/>
  <c r="F115" i="9"/>
  <c r="F57" i="9"/>
  <c r="F48" i="9"/>
  <c r="D48" i="9"/>
  <c r="C48" i="9"/>
  <c r="D38" i="9"/>
  <c r="E38" i="9" s="1"/>
  <c r="J38" i="9" s="1"/>
  <c r="D135" i="9"/>
  <c r="E139" i="9"/>
  <c r="D128" i="9"/>
  <c r="E118" i="9"/>
  <c r="J118" i="9" s="1"/>
  <c r="D110" i="9"/>
  <c r="D107" i="9"/>
  <c r="D106" i="9"/>
  <c r="D105" i="9"/>
  <c r="D103" i="9"/>
  <c r="D98" i="9"/>
  <c r="D97" i="9"/>
  <c r="D96" i="9"/>
  <c r="K139" i="9" l="1"/>
  <c r="J139" i="9"/>
  <c r="H44" i="9"/>
  <c r="H37" i="9"/>
  <c r="H60" i="9"/>
  <c r="H54" i="9"/>
  <c r="H115" i="9"/>
  <c r="D93" i="9"/>
  <c r="D86" i="9"/>
  <c r="D82" i="9"/>
  <c r="D80" i="9"/>
  <c r="D73" i="9"/>
  <c r="D69" i="9"/>
  <c r="D63" i="9"/>
  <c r="D61" i="9"/>
  <c r="C57" i="9"/>
  <c r="D59" i="9"/>
  <c r="E59" i="9" s="1"/>
  <c r="J59" i="9" s="1"/>
  <c r="D58" i="9"/>
  <c r="D55" i="9"/>
  <c r="D57" i="9" l="1"/>
  <c r="H36" i="9"/>
  <c r="K59" i="9"/>
  <c r="E49" i="9" l="1"/>
  <c r="D47" i="9"/>
  <c r="D46" i="9"/>
  <c r="D45" i="9"/>
  <c r="D42" i="9"/>
  <c r="E42" i="9" s="1"/>
  <c r="J42" i="9" s="1"/>
  <c r="D41" i="9"/>
  <c r="E41" i="9" s="1"/>
  <c r="J41" i="9" s="1"/>
  <c r="D39" i="9"/>
  <c r="E39" i="9" s="1"/>
  <c r="J39" i="9" s="1"/>
  <c r="D35" i="9"/>
  <c r="D34" i="9"/>
  <c r="D33" i="9"/>
  <c r="D32" i="9"/>
  <c r="D31" i="9"/>
  <c r="D30" i="9"/>
  <c r="D29" i="9"/>
  <c r="D28" i="9"/>
  <c r="D27" i="9"/>
  <c r="D26" i="9"/>
  <c r="D24" i="9"/>
  <c r="D21" i="9"/>
  <c r="D20" i="9"/>
  <c r="D19" i="9"/>
  <c r="D17" i="9"/>
  <c r="D12" i="9"/>
  <c r="H14" i="11"/>
  <c r="H11" i="29" s="1"/>
  <c r="H13" i="11"/>
  <c r="H11" i="11"/>
  <c r="H10" i="11"/>
  <c r="H9" i="29" s="1"/>
  <c r="H9" i="11"/>
  <c r="D11" i="11"/>
  <c r="E11" i="11"/>
  <c r="D14" i="11"/>
  <c r="D11" i="29" s="1"/>
  <c r="E11" i="29" s="1"/>
  <c r="D10" i="11"/>
  <c r="D9" i="11"/>
  <c r="D9" i="29" s="1"/>
  <c r="K49" i="9" l="1"/>
  <c r="J49" i="9"/>
  <c r="J61" i="8"/>
  <c r="K55" i="8"/>
  <c r="J55" i="8"/>
  <c r="E55" i="8"/>
  <c r="K54" i="8"/>
  <c r="J54" i="8"/>
  <c r="E54" i="8"/>
  <c r="J26" i="8"/>
  <c r="B26" i="2" l="1"/>
  <c r="B10" i="2" l="1"/>
  <c r="B9" i="2"/>
  <c r="H11" i="6" s="1"/>
  <c r="E91" i="30"/>
  <c r="H118" i="30"/>
  <c r="E9" i="30"/>
  <c r="J9" i="30" s="1"/>
  <c r="C10" i="30"/>
  <c r="E10" i="30" s="1"/>
  <c r="J10" i="30" s="1"/>
  <c r="E11" i="30"/>
  <c r="J11" i="30" s="1"/>
  <c r="J118" i="30" s="1"/>
  <c r="E12" i="30"/>
  <c r="J12" i="30" s="1"/>
  <c r="C18" i="30"/>
  <c r="D18" i="30"/>
  <c r="F18" i="30"/>
  <c r="G18" i="30"/>
  <c r="I18" i="30"/>
  <c r="E36" i="30"/>
  <c r="J36" i="30" s="1"/>
  <c r="J40" i="30" s="1"/>
  <c r="C40" i="30"/>
  <c r="D40" i="30"/>
  <c r="E40" i="30"/>
  <c r="F40" i="30"/>
  <c r="G40" i="30"/>
  <c r="H40" i="30"/>
  <c r="I40" i="30"/>
  <c r="C91" i="30"/>
  <c r="D91" i="30"/>
  <c r="F91" i="30"/>
  <c r="G91" i="30"/>
  <c r="H91" i="30"/>
  <c r="I91" i="30"/>
  <c r="J91" i="30"/>
  <c r="C111" i="30"/>
  <c r="D111" i="30"/>
  <c r="F111" i="30"/>
  <c r="F134" i="30" s="1"/>
  <c r="G111" i="30"/>
  <c r="G134" i="30" s="1"/>
  <c r="H111" i="30"/>
  <c r="I111" i="30"/>
  <c r="C118" i="30"/>
  <c r="D118" i="30"/>
  <c r="E118" i="30"/>
  <c r="F118" i="30"/>
  <c r="G118" i="30"/>
  <c r="I118" i="30"/>
  <c r="I134" i="30" s="1"/>
  <c r="C134" i="30"/>
  <c r="H87" i="9"/>
  <c r="H66" i="9"/>
  <c r="H25" i="9"/>
  <c r="H11" i="9"/>
  <c r="H74" i="9"/>
  <c r="H135" i="9"/>
  <c r="H132" i="9"/>
  <c r="D11" i="9"/>
  <c r="D132" i="9"/>
  <c r="D125" i="9"/>
  <c r="D111" i="9"/>
  <c r="D102" i="9"/>
  <c r="D79" i="9"/>
  <c r="D74" i="9"/>
  <c r="D66" i="9"/>
  <c r="D54" i="9"/>
  <c r="D25" i="9"/>
  <c r="E137" i="9"/>
  <c r="J137" i="9" s="1"/>
  <c r="E18" i="30" l="1"/>
  <c r="K137" i="9"/>
  <c r="H134" i="30"/>
  <c r="H18" i="30"/>
  <c r="J18" i="30"/>
  <c r="J111" i="30"/>
  <c r="D134" i="30"/>
  <c r="E134" i="30" s="1"/>
  <c r="J134" i="30" s="1"/>
  <c r="E111" i="30"/>
  <c r="H18" i="9"/>
  <c r="C20" i="23" l="1"/>
  <c r="C9" i="2" l="1"/>
  <c r="D56" i="23" l="1"/>
  <c r="I19" i="29"/>
  <c r="H19" i="29"/>
  <c r="H111" i="9"/>
  <c r="H79" i="9"/>
  <c r="H154" i="9"/>
  <c r="H152" i="9"/>
  <c r="H143" i="9"/>
  <c r="H125" i="9"/>
  <c r="H123" i="9"/>
  <c r="H120" i="9"/>
  <c r="H108" i="9"/>
  <c r="H100" i="9"/>
  <c r="H92" i="9"/>
  <c r="H16" i="9"/>
  <c r="H10" i="9" s="1"/>
  <c r="I18" i="11"/>
  <c r="H18" i="11"/>
  <c r="H122" i="9" l="1"/>
  <c r="H65" i="9"/>
  <c r="H159" i="9" l="1"/>
  <c r="G18" i="11"/>
  <c r="F18" i="11"/>
  <c r="D18" i="11"/>
  <c r="C18" i="11"/>
  <c r="E14" i="11"/>
  <c r="E13" i="11"/>
  <c r="E12" i="11"/>
  <c r="E10" i="11"/>
  <c r="E9" i="11"/>
  <c r="I60" i="8"/>
  <c r="H60" i="8"/>
  <c r="G60" i="8"/>
  <c r="F60" i="8"/>
  <c r="D60" i="8"/>
  <c r="C60" i="8"/>
  <c r="K60" i="8"/>
  <c r="K23" i="8"/>
  <c r="K22" i="8"/>
  <c r="J23" i="8"/>
  <c r="J22" i="8"/>
  <c r="I25" i="8"/>
  <c r="H25" i="8"/>
  <c r="G25" i="8"/>
  <c r="F25" i="8"/>
  <c r="E23" i="8"/>
  <c r="E22" i="8"/>
  <c r="D25" i="8"/>
  <c r="C25" i="8"/>
  <c r="D51" i="23"/>
  <c r="K25" i="8" l="1"/>
  <c r="J25" i="8"/>
  <c r="K12" i="11"/>
  <c r="J12" i="11"/>
  <c r="E18" i="11"/>
  <c r="J18" i="11" s="1"/>
  <c r="E60" i="8"/>
  <c r="J9" i="11"/>
  <c r="K9" i="11"/>
  <c r="J60" i="8"/>
  <c r="E25" i="8"/>
  <c r="K14" i="11"/>
  <c r="J14" i="11"/>
  <c r="K13" i="11"/>
  <c r="J13" i="11"/>
  <c r="J11" i="11"/>
  <c r="K11" i="11"/>
  <c r="K10" i="11"/>
  <c r="J10" i="11"/>
  <c r="D61" i="23"/>
  <c r="K18" i="11" l="1"/>
  <c r="D44" i="1"/>
  <c r="D34" i="1"/>
  <c r="D30" i="1"/>
  <c r="D20" i="1" l="1"/>
  <c r="D17" i="1"/>
  <c r="C12" i="20"/>
  <c r="D27" i="1" l="1"/>
  <c r="E138" i="9"/>
  <c r="J138" i="9" s="1"/>
  <c r="F135" i="9"/>
  <c r="E140" i="9"/>
  <c r="J140" i="9" s="1"/>
  <c r="K140" i="9" l="1"/>
  <c r="K138" i="9"/>
  <c r="F125" i="9"/>
  <c r="E126" i="9"/>
  <c r="J126" i="9" s="1"/>
  <c r="C125" i="9"/>
  <c r="K126" i="9" l="1"/>
  <c r="E114" i="9"/>
  <c r="J114" i="9" s="1"/>
  <c r="E113" i="9"/>
  <c r="J113" i="9" s="1"/>
  <c r="E12" i="20" l="1"/>
  <c r="D12" i="20"/>
  <c r="E9" i="20"/>
  <c r="D9" i="20"/>
  <c r="C9" i="20"/>
  <c r="C15" i="20" s="1"/>
  <c r="C19" i="20" s="1"/>
  <c r="C21" i="20" s="1"/>
  <c r="E15" i="20" l="1"/>
  <c r="E19" i="20" s="1"/>
  <c r="E21" i="20" s="1"/>
  <c r="D15" i="20"/>
  <c r="D19" i="20" s="1"/>
  <c r="D21" i="20" s="1"/>
  <c r="D9" i="24"/>
  <c r="D38" i="24" l="1"/>
  <c r="F152" i="9" l="1"/>
  <c r="F132" i="9"/>
  <c r="C132" i="9"/>
  <c r="E129" i="9"/>
  <c r="J129" i="9" s="1"/>
  <c r="C154" i="9"/>
  <c r="C152" i="9"/>
  <c r="C135" i="9"/>
  <c r="E155" i="9"/>
  <c r="F154" i="9"/>
  <c r="D154" i="9"/>
  <c r="D152" i="9" s="1"/>
  <c r="E142" i="9"/>
  <c r="J142" i="9" s="1"/>
  <c r="E141" i="9"/>
  <c r="J141" i="9" s="1"/>
  <c r="E127" i="9"/>
  <c r="J127" i="9" s="1"/>
  <c r="E33" i="9"/>
  <c r="J33" i="9" s="1"/>
  <c r="C21" i="21"/>
  <c r="D17" i="21" s="1"/>
  <c r="C14" i="21"/>
  <c r="D9" i="21" s="1"/>
  <c r="F39" i="7"/>
  <c r="E39" i="7"/>
  <c r="D39" i="7"/>
  <c r="C39" i="7"/>
  <c r="G39" i="7"/>
  <c r="F29" i="6"/>
  <c r="G29" i="6" s="1"/>
  <c r="F28" i="6"/>
  <c r="G28" i="6" s="1"/>
  <c r="F27" i="6"/>
  <c r="G27" i="6" s="1"/>
  <c r="K155" i="9" l="1"/>
  <c r="J155" i="9"/>
  <c r="D23" i="21"/>
  <c r="D122" i="9"/>
  <c r="G19" i="29"/>
  <c r="E132" i="9"/>
  <c r="K129" i="9"/>
  <c r="E152" i="9"/>
  <c r="J152" i="9" s="1"/>
  <c r="K127" i="9"/>
  <c r="K33" i="9"/>
  <c r="K132" i="9" l="1"/>
  <c r="K152" i="9"/>
  <c r="F30" i="3" l="1"/>
  <c r="F29" i="3"/>
  <c r="E34" i="3"/>
  <c r="E21" i="3"/>
  <c r="D28" i="3"/>
  <c r="C28" i="3"/>
  <c r="C56" i="23"/>
  <c r="C51" i="23"/>
  <c r="C44" i="23"/>
  <c r="C48" i="23" s="1"/>
  <c r="C40" i="23"/>
  <c r="C8" i="23"/>
  <c r="D63" i="23"/>
  <c r="D44" i="23"/>
  <c r="D40" i="23"/>
  <c r="D20" i="23"/>
  <c r="D8" i="23"/>
  <c r="F16" i="9"/>
  <c r="E151" i="9"/>
  <c r="J151" i="9" s="1"/>
  <c r="E150" i="9"/>
  <c r="J150" i="9" s="1"/>
  <c r="E149" i="9"/>
  <c r="J149" i="9" s="1"/>
  <c r="E148" i="9"/>
  <c r="J148" i="9" s="1"/>
  <c r="E147" i="9"/>
  <c r="J147" i="9" s="1"/>
  <c r="E146" i="9"/>
  <c r="J146" i="9" s="1"/>
  <c r="E145" i="9"/>
  <c r="J145" i="9" s="1"/>
  <c r="E144" i="9"/>
  <c r="J144" i="9" s="1"/>
  <c r="F143" i="9"/>
  <c r="D143" i="9"/>
  <c r="C143" i="9"/>
  <c r="E131" i="9"/>
  <c r="E128" i="9"/>
  <c r="J128" i="9" s="1"/>
  <c r="E124" i="9"/>
  <c r="F123" i="9"/>
  <c r="D123" i="9"/>
  <c r="C123" i="9"/>
  <c r="C122" i="9" s="1"/>
  <c r="E136" i="9"/>
  <c r="J136" i="9" s="1"/>
  <c r="E135" i="9"/>
  <c r="J135" i="9" s="1"/>
  <c r="E121" i="9"/>
  <c r="J121" i="9" s="1"/>
  <c r="F120" i="9"/>
  <c r="D120" i="9"/>
  <c r="C120" i="9"/>
  <c r="E119" i="9"/>
  <c r="J119" i="9" s="1"/>
  <c r="E117" i="9"/>
  <c r="D116" i="9"/>
  <c r="D115" i="9" s="1"/>
  <c r="C116" i="9"/>
  <c r="E112" i="9"/>
  <c r="F111" i="9"/>
  <c r="C111" i="9"/>
  <c r="E110" i="9"/>
  <c r="E109" i="9"/>
  <c r="F108" i="9"/>
  <c r="D108" i="9"/>
  <c r="C108" i="9"/>
  <c r="E107" i="9"/>
  <c r="E106" i="9"/>
  <c r="E105" i="9"/>
  <c r="E104" i="9"/>
  <c r="E103" i="9"/>
  <c r="F102" i="9"/>
  <c r="C102" i="9"/>
  <c r="E101" i="9"/>
  <c r="F100" i="9"/>
  <c r="D100" i="9"/>
  <c r="C100" i="9"/>
  <c r="E99" i="9"/>
  <c r="E98" i="9"/>
  <c r="E97" i="9"/>
  <c r="E96" i="9"/>
  <c r="E95" i="9"/>
  <c r="E94" i="9"/>
  <c r="E93" i="9"/>
  <c r="F92" i="9"/>
  <c r="D92" i="9"/>
  <c r="C92" i="9"/>
  <c r="E91" i="9"/>
  <c r="E90" i="9"/>
  <c r="E89" i="9"/>
  <c r="E88" i="9"/>
  <c r="F87" i="9"/>
  <c r="D87" i="9"/>
  <c r="C87" i="9"/>
  <c r="E86" i="9"/>
  <c r="E85" i="9"/>
  <c r="E84" i="9"/>
  <c r="E83" i="9"/>
  <c r="E82" i="9"/>
  <c r="E81" i="9"/>
  <c r="E80" i="9"/>
  <c r="F79" i="9"/>
  <c r="C79" i="9"/>
  <c r="E78" i="9"/>
  <c r="E77" i="9"/>
  <c r="E76" i="9"/>
  <c r="E75" i="9"/>
  <c r="F74" i="9"/>
  <c r="C74" i="9"/>
  <c r="E73" i="9"/>
  <c r="E72" i="9"/>
  <c r="E71" i="9"/>
  <c r="E70" i="9"/>
  <c r="E69" i="9"/>
  <c r="E68" i="9"/>
  <c r="E67" i="9"/>
  <c r="F66" i="9"/>
  <c r="C66" i="9"/>
  <c r="E64" i="9"/>
  <c r="E63" i="9"/>
  <c r="E62" i="9"/>
  <c r="E61" i="9"/>
  <c r="F60" i="9"/>
  <c r="D60" i="9"/>
  <c r="C60" i="9"/>
  <c r="E58" i="9"/>
  <c r="E56" i="9"/>
  <c r="E55" i="9"/>
  <c r="F54" i="9"/>
  <c r="C54" i="9"/>
  <c r="E53" i="9"/>
  <c r="J53" i="9" s="1"/>
  <c r="F52" i="9"/>
  <c r="E52" i="9"/>
  <c r="E51" i="9"/>
  <c r="E50" i="9"/>
  <c r="E47" i="9"/>
  <c r="E46" i="9"/>
  <c r="E45" i="9"/>
  <c r="F44" i="9"/>
  <c r="F36" i="9" s="1"/>
  <c r="D44" i="9"/>
  <c r="C44" i="9"/>
  <c r="E43" i="9"/>
  <c r="K42" i="9"/>
  <c r="K41" i="9"/>
  <c r="K40" i="9"/>
  <c r="K39" i="9"/>
  <c r="K38" i="9"/>
  <c r="D37" i="9"/>
  <c r="C37" i="9"/>
  <c r="E35" i="9"/>
  <c r="E34" i="9"/>
  <c r="E32" i="9"/>
  <c r="E31" i="9"/>
  <c r="E30" i="9"/>
  <c r="E29" i="9"/>
  <c r="E28" i="9"/>
  <c r="E27" i="9"/>
  <c r="E26" i="9"/>
  <c r="F25" i="9"/>
  <c r="C25" i="9"/>
  <c r="E23" i="9"/>
  <c r="E22" i="9"/>
  <c r="E24" i="9"/>
  <c r="E21" i="9"/>
  <c r="E20" i="9"/>
  <c r="E19" i="9"/>
  <c r="F18" i="9"/>
  <c r="D18" i="9"/>
  <c r="C18" i="9"/>
  <c r="E17" i="9"/>
  <c r="D16" i="9"/>
  <c r="C16" i="9"/>
  <c r="E15" i="9"/>
  <c r="E14" i="9"/>
  <c r="E13" i="9"/>
  <c r="E12" i="9"/>
  <c r="F11" i="9"/>
  <c r="C11" i="9"/>
  <c r="C54" i="1"/>
  <c r="D61" i="1"/>
  <c r="D64" i="1" s="1"/>
  <c r="D66" i="1" s="1"/>
  <c r="D54" i="1"/>
  <c r="C45" i="1"/>
  <c r="C35" i="1"/>
  <c r="C30" i="1"/>
  <c r="C20" i="1"/>
  <c r="C17" i="1"/>
  <c r="F18" i="2"/>
  <c r="F35" i="2" s="1"/>
  <c r="F52" i="2"/>
  <c r="G52" i="2"/>
  <c r="G18" i="2"/>
  <c r="C33" i="2"/>
  <c r="B33" i="2"/>
  <c r="C18" i="2"/>
  <c r="B18" i="2"/>
  <c r="K13" i="9" l="1"/>
  <c r="J13" i="9"/>
  <c r="K34" i="9"/>
  <c r="J34" i="9"/>
  <c r="K68" i="9"/>
  <c r="J68" i="9"/>
  <c r="K75" i="9"/>
  <c r="J75" i="9"/>
  <c r="K82" i="9"/>
  <c r="J82" i="9"/>
  <c r="K88" i="9"/>
  <c r="J88" i="9"/>
  <c r="K94" i="9"/>
  <c r="J94" i="9"/>
  <c r="K98" i="9"/>
  <c r="J98" i="9"/>
  <c r="K103" i="9"/>
  <c r="J103" i="9"/>
  <c r="K112" i="9"/>
  <c r="J112" i="9"/>
  <c r="K131" i="9"/>
  <c r="J131" i="9"/>
  <c r="K14" i="9"/>
  <c r="J14" i="9"/>
  <c r="K22" i="9"/>
  <c r="J22" i="9"/>
  <c r="K30" i="9"/>
  <c r="J30" i="9"/>
  <c r="K35" i="9"/>
  <c r="J35" i="9"/>
  <c r="K43" i="9"/>
  <c r="J43" i="9"/>
  <c r="K45" i="9"/>
  <c r="J45" i="9"/>
  <c r="K51" i="9"/>
  <c r="J51" i="9"/>
  <c r="K58" i="9"/>
  <c r="J58" i="9"/>
  <c r="K61" i="9"/>
  <c r="J61" i="9"/>
  <c r="K69" i="9"/>
  <c r="J69" i="9"/>
  <c r="K73" i="9"/>
  <c r="J73" i="9"/>
  <c r="K76" i="9"/>
  <c r="J76" i="9"/>
  <c r="K83" i="9"/>
  <c r="J83" i="9"/>
  <c r="K89" i="9"/>
  <c r="J89" i="9"/>
  <c r="K95" i="9"/>
  <c r="J95" i="9"/>
  <c r="K99" i="9"/>
  <c r="J99" i="9"/>
  <c r="K101" i="9"/>
  <c r="J101" i="9"/>
  <c r="K104" i="9"/>
  <c r="J104" i="9"/>
  <c r="K110" i="9"/>
  <c r="J110" i="9"/>
  <c r="K24" i="9"/>
  <c r="J24" i="9"/>
  <c r="K50" i="9"/>
  <c r="J50" i="9"/>
  <c r="K56" i="9"/>
  <c r="J56" i="9"/>
  <c r="K64" i="9"/>
  <c r="J64" i="9"/>
  <c r="K72" i="9"/>
  <c r="J72" i="9"/>
  <c r="K86" i="9"/>
  <c r="J86" i="9"/>
  <c r="K107" i="9"/>
  <c r="J107" i="9"/>
  <c r="K109" i="9"/>
  <c r="J109" i="9"/>
  <c r="G54" i="2"/>
  <c r="G35" i="2"/>
  <c r="K17" i="9"/>
  <c r="J17" i="9"/>
  <c r="K19" i="9"/>
  <c r="J19" i="9"/>
  <c r="K26" i="9"/>
  <c r="J26" i="9"/>
  <c r="K15" i="9"/>
  <c r="J15" i="9"/>
  <c r="K20" i="9"/>
  <c r="J20" i="9"/>
  <c r="K23" i="9"/>
  <c r="J23" i="9"/>
  <c r="K27" i="9"/>
  <c r="J27" i="9"/>
  <c r="K31" i="9"/>
  <c r="J31" i="9"/>
  <c r="E37" i="9"/>
  <c r="J37" i="9" s="1"/>
  <c r="K46" i="9"/>
  <c r="J46" i="9"/>
  <c r="J52" i="9"/>
  <c r="K62" i="9"/>
  <c r="J62" i="9"/>
  <c r="K70" i="9"/>
  <c r="J70" i="9"/>
  <c r="K77" i="9"/>
  <c r="J77" i="9"/>
  <c r="K80" i="9"/>
  <c r="J80" i="9"/>
  <c r="K84" i="9"/>
  <c r="J84" i="9"/>
  <c r="K90" i="9"/>
  <c r="J90" i="9"/>
  <c r="K96" i="9"/>
  <c r="J96" i="9"/>
  <c r="K105" i="9"/>
  <c r="J105" i="9"/>
  <c r="K29" i="9"/>
  <c r="J29" i="9"/>
  <c r="K12" i="9"/>
  <c r="J12" i="9"/>
  <c r="K21" i="9"/>
  <c r="J21" i="9"/>
  <c r="K28" i="9"/>
  <c r="J28" i="9"/>
  <c r="K32" i="9"/>
  <c r="J32" i="9"/>
  <c r="K47" i="9"/>
  <c r="J47" i="9"/>
  <c r="K55" i="9"/>
  <c r="J55" i="9"/>
  <c r="K63" i="9"/>
  <c r="J63" i="9"/>
  <c r="K67" i="9"/>
  <c r="J67" i="9"/>
  <c r="K71" i="9"/>
  <c r="J71" i="9"/>
  <c r="K78" i="9"/>
  <c r="J78" i="9"/>
  <c r="K81" i="9"/>
  <c r="J81" i="9"/>
  <c r="K85" i="9"/>
  <c r="J85" i="9"/>
  <c r="K91" i="9"/>
  <c r="J91" i="9"/>
  <c r="K93" i="9"/>
  <c r="J93" i="9"/>
  <c r="K97" i="9"/>
  <c r="J97" i="9"/>
  <c r="K106" i="9"/>
  <c r="J106" i="9"/>
  <c r="F28" i="3"/>
  <c r="F34" i="3" s="1"/>
  <c r="E120" i="9"/>
  <c r="J120" i="9" s="1"/>
  <c r="D10" i="9"/>
  <c r="C34" i="3"/>
  <c r="C35" i="2"/>
  <c r="D48" i="23"/>
  <c r="D37" i="23"/>
  <c r="C115" i="9"/>
  <c r="E115" i="9" s="1"/>
  <c r="J115" i="9" s="1"/>
  <c r="E116" i="9"/>
  <c r="F122" i="9"/>
  <c r="E143" i="9"/>
  <c r="J143" i="9" s="1"/>
  <c r="D34" i="3"/>
  <c r="C61" i="23"/>
  <c r="C37" i="23"/>
  <c r="C64" i="1"/>
  <c r="F65" i="9"/>
  <c r="E44" i="9"/>
  <c r="J44" i="9" s="1"/>
  <c r="E74" i="9"/>
  <c r="J74" i="9" s="1"/>
  <c r="D65" i="9"/>
  <c r="E79" i="9"/>
  <c r="J79" i="9" s="1"/>
  <c r="K37" i="9"/>
  <c r="E54" i="9"/>
  <c r="J54" i="9" s="1"/>
  <c r="E57" i="9"/>
  <c r="J57" i="9" s="1"/>
  <c r="E18" i="9"/>
  <c r="J18" i="9" s="1"/>
  <c r="E100" i="9"/>
  <c r="E108" i="9"/>
  <c r="J108" i="9" s="1"/>
  <c r="E11" i="9"/>
  <c r="J11" i="9" s="1"/>
  <c r="E16" i="9"/>
  <c r="E25" i="9"/>
  <c r="J25" i="9" s="1"/>
  <c r="E60" i="9"/>
  <c r="E66" i="9"/>
  <c r="J66" i="9" s="1"/>
  <c r="E87" i="9"/>
  <c r="J87" i="9" s="1"/>
  <c r="E92" i="9"/>
  <c r="J92" i="9" s="1"/>
  <c r="E102" i="9"/>
  <c r="K114" i="9"/>
  <c r="E123" i="9"/>
  <c r="J123" i="9" s="1"/>
  <c r="C10" i="9"/>
  <c r="E125" i="9"/>
  <c r="J125" i="9" s="1"/>
  <c r="K18" i="9"/>
  <c r="K92" i="9"/>
  <c r="K11" i="9"/>
  <c r="K79" i="9"/>
  <c r="K136" i="9"/>
  <c r="K66" i="9"/>
  <c r="K108" i="9"/>
  <c r="K135" i="9"/>
  <c r="F10" i="9"/>
  <c r="E48" i="9"/>
  <c r="J48" i="9" s="1"/>
  <c r="C65" i="9"/>
  <c r="E111" i="9"/>
  <c r="J111" i="9" s="1"/>
  <c r="K119" i="9"/>
  <c r="K128" i="9"/>
  <c r="C27" i="1"/>
  <c r="F54" i="2"/>
  <c r="B35" i="2"/>
  <c r="K100" i="9" l="1"/>
  <c r="J100" i="9"/>
  <c r="K44" i="9"/>
  <c r="K74" i="9"/>
  <c r="K16" i="9"/>
  <c r="J16" i="9"/>
  <c r="K60" i="9"/>
  <c r="J60" i="9"/>
  <c r="K25" i="9"/>
  <c r="K102" i="9"/>
  <c r="J102" i="9"/>
  <c r="C66" i="1"/>
  <c r="K87" i="9"/>
  <c r="K125" i="9"/>
  <c r="K54" i="9"/>
  <c r="K57" i="9"/>
  <c r="D159" i="9"/>
  <c r="J11" i="29"/>
  <c r="E10" i="9"/>
  <c r="J10" i="9" s="1"/>
  <c r="E65" i="9"/>
  <c r="J65" i="9" s="1"/>
  <c r="D19" i="29"/>
  <c r="K48" i="9"/>
  <c r="C36" i="9"/>
  <c r="E36" i="9" s="1"/>
  <c r="J36" i="9" s="1"/>
  <c r="K111" i="9"/>
  <c r="K10" i="9" l="1"/>
  <c r="K65" i="9"/>
  <c r="C159" i="9"/>
  <c r="C19" i="29"/>
  <c r="E19" i="29" s="1"/>
  <c r="K36" i="9"/>
  <c r="E9" i="29" l="1"/>
  <c r="E122" i="9"/>
  <c r="E159" i="9"/>
  <c r="E154" i="9"/>
  <c r="J154" i="9" s="1"/>
  <c r="K122" i="9" l="1"/>
  <c r="J122" i="9"/>
  <c r="K154" i="9"/>
  <c r="J9" i="29"/>
  <c r="F19" i="29"/>
  <c r="J19" i="29" s="1"/>
  <c r="K118" i="9"/>
  <c r="K115" i="9"/>
  <c r="F159" i="9"/>
  <c r="J159" i="9" s="1"/>
  <c r="K159" i="9" l="1"/>
  <c r="H117" i="9" l="1"/>
  <c r="C63" i="23" l="1"/>
  <c r="K116" i="9" l="1"/>
  <c r="J117" i="9"/>
  <c r="F117" i="9"/>
  <c r="F116" i="9"/>
  <c r="J116" i="9"/>
</calcChain>
</file>

<file path=xl/sharedStrings.xml><?xml version="1.0" encoding="utf-8"?>
<sst xmlns="http://schemas.openxmlformats.org/spreadsheetml/2006/main" count="3439" uniqueCount="2317">
  <si>
    <t>Estado de Actividades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</si>
  <si>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</si>
  <si>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</si>
  <si>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</si>
  <si>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</si>
  <si>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</si>
  <si>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</si>
  <si>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</si>
  <si>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</si>
  <si>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</si>
  <si>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</si>
  <si>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</si>
  <si>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</si>
  <si>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</si>
  <si>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</si>
  <si>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</si>
  <si>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</si>
  <si>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</si>
  <si>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</si>
  <si>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</si>
  <si>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</si>
  <si>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</si>
  <si>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</si>
  <si>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</si>
  <si>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</si>
  <si>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</si>
  <si>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</si>
  <si>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</si>
  <si>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</si>
  <si>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</si>
  <si>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</si>
  <si>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</si>
  <si>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</si>
  <si>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</si>
  <si>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</si>
  <si>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</si>
  <si>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</si>
  <si>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</si>
  <si>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</si>
  <si>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</si>
  <si>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</si>
  <si>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</si>
  <si>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</si>
  <si>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</si>
  <si>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</si>
  <si>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</si>
  <si>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</si>
  <si>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</si>
  <si>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</si>
  <si>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</si>
  <si>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</si>
  <si>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</si>
  <si>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</si>
  <si>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</si>
  <si>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</si>
  <si>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</si>
  <si>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</si>
  <si>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</si>
  <si>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</si>
  <si>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</si>
  <si>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</si>
  <si>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</si>
  <si>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</si>
  <si>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</si>
  <si>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</si>
  <si>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</si>
  <si>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</si>
  <si>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</si>
  <si>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</si>
  <si>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</si>
  <si>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</si>
  <si>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</si>
  <si>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</si>
  <si>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</si>
  <si>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</si>
  <si>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</si>
  <si>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Pasivo No Circulante</t>
  </si>
  <si>
    <t>Inversiones Financieras a Largo Plazo</t>
  </si>
  <si>
    <t>Cuentas por Pagar a Largo Plazo</t>
  </si>
  <si>
    <t>Derechos a Recibir Efectivo o Equivalentes a Largo Plazo</t>
  </si>
  <si>
    <t>Documentos por Pagar a Largo Plazo</t>
  </si>
  <si>
    <t>Deuda Pública a Largo Plazo</t>
  </si>
  <si>
    <t>Bienes Inmuebles, Infraestructura y Construcciones en Proceso</t>
  </si>
  <si>
    <t>Pasivos Diferidos a Largo Plazo</t>
  </si>
  <si>
    <t>Fondos y Bienes de Terceros en Garantía y/o en Administración a Largo Plazo</t>
  </si>
  <si>
    <t>Bienes Muebles</t>
  </si>
  <si>
    <t>Activos Intangibles</t>
  </si>
  <si>
    <t>Provisiones a Largo Plazo</t>
  </si>
  <si>
    <t>Depreciación, Deterioro y Amortización Acumulada de Bienes</t>
  </si>
  <si>
    <t>Activos Diferidos</t>
  </si>
  <si>
    <t>Total de Pasivos No Circulantes</t>
  </si>
  <si>
    <t>Estimación por Pérdida o Deterioro de Activos no Circulantes</t>
  </si>
  <si>
    <t>Total de Pasivo</t>
  </si>
  <si>
    <t>Otros Activos no Circulantes</t>
  </si>
  <si>
    <t>Hacienda Pública/Patrimonio</t>
  </si>
  <si>
    <t>Hacienda Pública/Patrimonio Contribuido</t>
  </si>
  <si>
    <t>Total de Activos No Circulantes</t>
  </si>
  <si>
    <t>Donaciones de Capital</t>
  </si>
  <si>
    <t>Total de Activos</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</si>
  <si>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</si>
  <si>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</si>
  <si>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</si>
  <si>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</si>
  <si>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</si>
  <si>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</si>
  <si>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</si>
  <si>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</si>
  <si>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</si>
  <si>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</si>
  <si>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</si>
  <si>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</si>
  <si>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Flujo de Efectivo</t>
  </si>
  <si>
    <t>Estado de Variación en la Hacienda Pública</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</si>
  <si>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</si>
  <si>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</si>
  <si>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</si>
  <si>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</si>
  <si>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</si>
  <si>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</si>
  <si>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</si>
  <si>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</si>
  <si>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Cambios en la Hacienda Pública / Patrimonio Neto del Ejercicio 20XN</t>
  </si>
  <si>
    <t>(PESOS)</t>
  </si>
  <si>
    <t>Estado de Cambios en la Situación Financiera</t>
  </si>
  <si>
    <t>Origen</t>
  </si>
  <si>
    <t>Aplicación</t>
  </si>
  <si>
    <t>Activo</t>
  </si>
  <si>
    <t>Inventario</t>
  </si>
  <si>
    <t>Pasivo</t>
  </si>
  <si>
    <t>HACIENDA PUBLICA/PATRIMONIO</t>
  </si>
  <si>
    <t>Excesos o Insuficiencia en la Actualización de la Hacienda Pública/Patrimonio</t>
  </si>
  <si>
    <t>Estado Analítico del Activo</t>
  </si>
  <si>
    <t>Estado Analítico de la Deuda y Otros Pasivos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</si>
  <si>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</si>
  <si>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</si>
  <si>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</si>
  <si>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</si>
  <si>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</si>
  <si>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</si>
  <si>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</si>
  <si>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</si>
  <si>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</si>
  <si>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</si>
  <si>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</si>
  <si>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</si>
  <si>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</si>
  <si>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</si>
  <si>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</si>
  <si>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</si>
  <si>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</si>
  <si>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</si>
  <si>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</si>
  <si>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Estado Analítico de Ingresos</t>
  </si>
  <si>
    <t>Rubros de los Ingresos</t>
  </si>
  <si>
    <t>(3= 1 +2)</t>
  </si>
  <si>
    <t>Corriente</t>
  </si>
  <si>
    <t>Capital</t>
  </si>
  <si>
    <t>Estado Analítico del Ejercicio Presupuesto de Egresos</t>
  </si>
  <si>
    <t>Ejercicio del Presupuesto</t>
  </si>
  <si>
    <t>Ampliaciones/ (Reducciones)</t>
  </si>
  <si>
    <t>Capítulo del Gasto</t>
  </si>
  <si>
    <t>(3=1+2)</t>
  </si>
  <si>
    <t>Transferencias, Asignaciones, Subsidios y Otras Ayudas</t>
  </si>
  <si>
    <t>Bienes Muebles, Inmuebles e Intangibles</t>
  </si>
  <si>
    <t>Inversiones Financieros y Otras Provisiones</t>
  </si>
  <si>
    <t>Deuda Pública</t>
  </si>
  <si>
    <t>Total del Gasto</t>
  </si>
  <si>
    <t>Sistema Estatal de Evaluación</t>
  </si>
  <si>
    <t xml:space="preserve"> </t>
  </si>
  <si>
    <t>Por Partida del Gasto</t>
  </si>
  <si>
    <t>Partida/Descripción</t>
  </si>
  <si>
    <t>No</t>
  </si>
  <si>
    <t>Formato</t>
  </si>
  <si>
    <t>Informe sobre Pasivos Contingentes</t>
  </si>
  <si>
    <t>Notas a los Estados Financieros</t>
  </si>
  <si>
    <t>Endeudamiento Neto</t>
  </si>
  <si>
    <t>Interéses de la Deuda</t>
  </si>
  <si>
    <t>Descripción</t>
  </si>
  <si>
    <t>I.- Información Contable</t>
  </si>
  <si>
    <t>II.- Información Presupuestaria</t>
  </si>
  <si>
    <t>III.- Información Programática</t>
  </si>
  <si>
    <t>IV.- Información Complementaria</t>
  </si>
  <si>
    <t>La información complementaria para generar las cuentas nacionales y atender otros requerimientos</t>
  </si>
  <si>
    <t>provenientes de Organismos Internacionales de los que México es miembro.</t>
  </si>
  <si>
    <t>Artículos del 44 al 59</t>
  </si>
  <si>
    <t>Devengado</t>
  </si>
  <si>
    <t xml:space="preserve">     Total de Pasivos Circulantes</t>
  </si>
  <si>
    <t xml:space="preserve">     Total de Activos Circulantes</t>
  </si>
  <si>
    <t>Cargos del Periodo
2</t>
  </si>
  <si>
    <t>Abonos del Periodo
3</t>
  </si>
  <si>
    <t>Variación del Periodo
(4-1)</t>
  </si>
  <si>
    <t>Saldo
Inicial
1</t>
  </si>
  <si>
    <t>Saldo
Final
4 (1+2-3)</t>
  </si>
  <si>
    <t>(1)</t>
  </si>
  <si>
    <t>(2)</t>
  </si>
  <si>
    <t>(4)</t>
  </si>
  <si>
    <t>(5)</t>
  </si>
  <si>
    <t>Contribuciones de Mejoras</t>
  </si>
  <si>
    <t>Productos</t>
  </si>
  <si>
    <t>Aprovechamientos</t>
  </si>
  <si>
    <t>Ingresos por Ventas de Bienes y Servicios</t>
  </si>
  <si>
    <t>Ingresos Derivados de Financiamientos</t>
  </si>
  <si>
    <t xml:space="preserve">     </t>
  </si>
  <si>
    <t>Variación Vs Original</t>
  </si>
  <si>
    <t>Ingresos del Gobierno</t>
  </si>
  <si>
    <t xml:space="preserve">Impuesto </t>
  </si>
  <si>
    <t xml:space="preserve">      Corriente</t>
  </si>
  <si>
    <t xml:space="preserve">      Capital</t>
  </si>
  <si>
    <t>Ingresos de Organismos y  Empresas</t>
  </si>
  <si>
    <t>Cuotas y aportaciones de Seguridad Social</t>
  </si>
  <si>
    <t>Ingresos por ventas de Bienes y Servicios</t>
  </si>
  <si>
    <t>Ingresos  derivados de Financiamiento</t>
  </si>
  <si>
    <t>Ingresos Estimado Original  Anual</t>
  </si>
  <si>
    <t>Ingresos Modificado    Anual</t>
  </si>
  <si>
    <t>Saldo Inicial Caja y Bancos</t>
  </si>
  <si>
    <t>El saldo Inicial de Caja y Bancos es informativo, No SE SUMA EN EL TOTAL.</t>
  </si>
  <si>
    <t>Ampliaciones y Reducciones           (+ ó -)</t>
  </si>
  <si>
    <t>Egresos Aprobado   Anual</t>
  </si>
  <si>
    <t>Egresos Modificado   Anual</t>
  </si>
  <si>
    <t>% de Avance  Anual</t>
  </si>
  <si>
    <t>% Avance Anual</t>
  </si>
  <si>
    <t>Identificacion del crédito o Instrumento</t>
  </si>
  <si>
    <t>Contratacion / Colocación</t>
  </si>
  <si>
    <t>Amortización</t>
  </si>
  <si>
    <t>A</t>
  </si>
  <si>
    <t>B</t>
  </si>
  <si>
    <t>C=A-B</t>
  </si>
  <si>
    <t xml:space="preserve">                       Endeudamiento Neto</t>
  </si>
  <si>
    <t>Créditos Bancarios</t>
  </si>
  <si>
    <t>Total Créditos Bancarios</t>
  </si>
  <si>
    <t>Otros Instrumentos de Deuda</t>
  </si>
  <si>
    <t>Total Otros Instrumentos de Deuda</t>
  </si>
  <si>
    <t>TOTAL</t>
  </si>
  <si>
    <t xml:space="preserve">                       Intereses de la Deuda</t>
  </si>
  <si>
    <t>Pagado</t>
  </si>
  <si>
    <t>Total de Interéses Créditos Bancarios</t>
  </si>
  <si>
    <t>Total Intereses Otros Instrumentos de Deuda</t>
  </si>
  <si>
    <t>Estimado</t>
  </si>
  <si>
    <t>I. Ingresos Presupuestarios</t>
  </si>
  <si>
    <t>2. Ingresos Sector Paraestatal</t>
  </si>
  <si>
    <t>II. Egresos Presupuestarios</t>
  </si>
  <si>
    <t>1. Ingresos Gobierno del Estado</t>
  </si>
  <si>
    <t>3. Egresos del Gobierno del Estado</t>
  </si>
  <si>
    <t>4. Egresos  del Sector Paraestatal</t>
  </si>
  <si>
    <t>III. Balance Presupuestario (Superávit o Déficit)</t>
  </si>
  <si>
    <t>IV. Interéses, Comisiones y Gastos de la Deuda</t>
  </si>
  <si>
    <t>A. Financiamiento</t>
  </si>
  <si>
    <t>B. Amortización de la Deuda</t>
  </si>
  <si>
    <t>C. Endeudamiento o Desendeudamiento   (C=A-B)</t>
  </si>
  <si>
    <t>III. Balance Presupuestario (Superávit o Déficit)  (III= I-II)</t>
  </si>
  <si>
    <t>V. Balance Primario (superávit o Déficit)   (V= III-IV)</t>
  </si>
  <si>
    <t>1. Ingresos Presupuestarios</t>
  </si>
  <si>
    <t>(MAS)</t>
  </si>
  <si>
    <t>2. Ingresos contables no presupuestarios</t>
  </si>
  <si>
    <t>Disminución del exceso de estimaciones por pérdida o deterioro u obsolescencia</t>
  </si>
  <si>
    <t>Disminución del exceso de provisiones</t>
  </si>
  <si>
    <t>Otros Ingresos y beneficios varios</t>
  </si>
  <si>
    <t>Otros Ingresos contables no presupuestarios</t>
  </si>
  <si>
    <t>Productos de capital</t>
  </si>
  <si>
    <t>Aprovechamientos de capital</t>
  </si>
  <si>
    <t>Ingresos derivados de financiamientos</t>
  </si>
  <si>
    <t>Otros Ingresos presupuestarios no contables</t>
  </si>
  <si>
    <t>4. Ingresos Contables  (4=  1  +  2  -  3 )</t>
  </si>
  <si>
    <t>(MENOS)</t>
  </si>
  <si>
    <t>Efectivo y Equivalentes al Efectivo al Inicio del Ejercicio</t>
  </si>
  <si>
    <t>Efectivo y Equivalentes al Efectivo al Final del Ejercicio</t>
  </si>
  <si>
    <t>Conciliacion entre los Ingresos Presupuestarios y Contables</t>
  </si>
  <si>
    <t>Conciliacion entre los Egresos Presupuestarios y los Gastos Contables</t>
  </si>
  <si>
    <t>1. Total de Egresos Presupuestarios</t>
  </si>
  <si>
    <t xml:space="preserve">2. Egresos Presupuestarios no contables </t>
  </si>
  <si>
    <t>3. Gastos contables no presupuestarios</t>
  </si>
  <si>
    <t>3. Ingresos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</si>
  <si>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</si>
  <si>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</si>
  <si>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</si>
  <si>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</si>
  <si>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</si>
  <si>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</si>
  <si>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</si>
  <si>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</si>
  <si>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</si>
  <si>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</si>
  <si>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</si>
  <si>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</si>
  <si>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</si>
  <si>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</si>
  <si>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</si>
  <si>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Flujo de Fondos, Indicadores de Postura Fiscal</t>
  </si>
  <si>
    <t>Adeudos de ejercicios fiscales anteriores (ADEFAS)</t>
  </si>
  <si>
    <t>Otros Egresos Presupuestales No Contables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</si>
  <si>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</si>
  <si>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</si>
  <si>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</si>
  <si>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</si>
  <si>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</si>
  <si>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</si>
  <si>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</si>
  <si>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(pesos)</t>
  </si>
  <si>
    <t xml:space="preserve">Ley General de Contabilidad Gubernamental </t>
  </si>
  <si>
    <t>Subsecretaria de Planeación del Desarrollo</t>
  </si>
  <si>
    <t>Dirección General de Planeación y Evaluación</t>
  </si>
  <si>
    <t>Los Ingresos Excedentes  se presentan para efectos de cumplimiento de la Ley de Ingresos del Estado y Ley de Contabilidad Gubernamental.</t>
  </si>
  <si>
    <t>El importe reflejado siempre debe ser mayor a cero. Nunca en rojo.</t>
  </si>
  <si>
    <t>A Largo Plazo</t>
  </si>
  <si>
    <t>A Mediano Plazo</t>
  </si>
  <si>
    <t>A Corto Plazo</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</si>
  <si>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</si>
  <si>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</si>
  <si>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</si>
  <si>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</si>
  <si>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</si>
  <si>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</si>
  <si>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</si>
  <si>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</si>
  <si>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</si>
  <si>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</si>
  <si>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</si>
  <si>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</si>
  <si>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</si>
  <si>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</si>
  <si>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</si>
  <si>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</si>
  <si>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</si>
  <si>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</si>
  <si>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</si>
  <si>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</si>
  <si>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</si>
  <si>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</si>
  <si>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 xml:space="preserve">                               Flujo de Fondos, Indicadores Postura Fiscal</t>
  </si>
  <si>
    <t xml:space="preserve">Egresos Devengado </t>
  </si>
  <si>
    <t xml:space="preserve">Egresos Pagado  </t>
  </si>
  <si>
    <t>NORA lo excluye</t>
  </si>
  <si>
    <t>Relación de Cuentas Bancarias Productivas Específicas</t>
  </si>
  <si>
    <t>Código</t>
  </si>
  <si>
    <t>Descripción del Bien</t>
  </si>
  <si>
    <r>
      <t xml:space="preserve">Valor </t>
    </r>
    <r>
      <rPr>
        <b/>
        <i/>
        <u/>
        <sz val="11"/>
        <rFont val="Arial"/>
        <family val="2"/>
      </rPr>
      <t>HISTORICO</t>
    </r>
  </si>
  <si>
    <t>( 6 = 3 - 4 )</t>
  </si>
  <si>
    <t>Subejercicio</t>
  </si>
  <si>
    <t>Gasto por Proyectos de Inversión</t>
  </si>
  <si>
    <t>Clasificación por Objeto del Gasto (Capítulo y Concepto)</t>
  </si>
  <si>
    <t>Clasificación Económica (por Tipo de Gasto)</t>
  </si>
  <si>
    <t>Gasto Corriente</t>
  </si>
  <si>
    <t>Gasto de Capital</t>
  </si>
  <si>
    <t>Amortización del la Deuda y Disminución de Pasivos</t>
  </si>
  <si>
    <t>Clasificación Por Objeto del Gasto (Capitulo y Concepto)</t>
  </si>
  <si>
    <t>Clasificación Económica (Por Tipo de Gasto)</t>
  </si>
  <si>
    <t>Clasificación Administrativa (Por Unidad Administrativa)</t>
  </si>
  <si>
    <t>Hoja 2 de 2</t>
  </si>
  <si>
    <t>Hoja 1 de 2</t>
  </si>
  <si>
    <t>Estado de Situacion Financiera</t>
  </si>
  <si>
    <t>Clasificación Administrativa (Por Poderes)</t>
  </si>
  <si>
    <t>Poder Legislativo</t>
  </si>
  <si>
    <t>Poder Judicial</t>
  </si>
  <si>
    <t>Órganos Autónomos</t>
  </si>
  <si>
    <t>Organismos Descentralizados</t>
  </si>
  <si>
    <t>Clasificación Funcional (Finalidad y Función)</t>
  </si>
  <si>
    <t>Gobierno</t>
  </si>
  <si>
    <t>Legislación</t>
  </si>
  <si>
    <t>Justicia</t>
  </si>
  <si>
    <t>Relaciones Exteriores</t>
  </si>
  <si>
    <t>Coordinación de la Politica de Gobierno</t>
  </si>
  <si>
    <t>Asuntos Financieros y Hacendarios</t>
  </si>
  <si>
    <t>Seguridad Nacional</t>
  </si>
  <si>
    <t>Asuntos de Orden Público y Seguridad Interior</t>
  </si>
  <si>
    <t>Otros Servicios Generales</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</si>
  <si>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</si>
  <si>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</si>
  <si>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</si>
  <si>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</si>
  <si>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</si>
  <si>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</si>
  <si>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</si>
  <si>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</si>
  <si>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</si>
  <si>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</si>
  <si>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</si>
  <si>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Transporte</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</si>
  <si>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</si>
  <si>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</si>
  <si>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</si>
  <si>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</si>
  <si>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</si>
  <si>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</si>
  <si>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</si>
  <si>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</si>
  <si>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Poder Ejecutivo</t>
  </si>
  <si>
    <t>Minería, Manufacturas y Construcción</t>
  </si>
  <si>
    <t>Programas</t>
  </si>
  <si>
    <t>Gasto Por Categoría Programática</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</si>
  <si>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</si>
  <si>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</si>
  <si>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</si>
  <si>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</si>
  <si>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</si>
  <si>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</si>
  <si>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</si>
  <si>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</si>
  <si>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</si>
  <si>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</si>
  <si>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</si>
  <si>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</si>
  <si>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</si>
  <si>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</si>
  <si>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</si>
  <si>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</si>
  <si>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</si>
  <si>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</si>
  <si>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</si>
  <si>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</si>
  <si>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</si>
  <si>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Pensiones y Juvilaciones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</si>
  <si>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</si>
  <si>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</si>
  <si>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</si>
  <si>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</si>
  <si>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</si>
  <si>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</si>
  <si>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y Apoyo a Deudores y Ahorradores de la Banca</t>
  </si>
  <si>
    <t xml:space="preserve">   Adeudos de Ejercicios Fiscales Anteriores</t>
  </si>
  <si>
    <t>Hoja 3 de 3</t>
  </si>
  <si>
    <t>Hoja 2 de 3</t>
  </si>
  <si>
    <t>Hoja 1 de __</t>
  </si>
  <si>
    <t>Hoja 1 de 3</t>
  </si>
  <si>
    <t>Por Unidad Administrativa, Clasificación Administrativa, Por Poderes, Funcional (Finalidad y Función), Por Categoría Programática</t>
  </si>
  <si>
    <t>Relación de Bienes que Componen su Patrimonio</t>
  </si>
  <si>
    <t xml:space="preserve">Estado de Variación en la Hacienda Pública </t>
  </si>
  <si>
    <t>Combustibles y Energía</t>
  </si>
  <si>
    <t>Comunicaciones</t>
  </si>
  <si>
    <t>ETCA-I-01</t>
  </si>
  <si>
    <t>ETCA-II-10</t>
  </si>
  <si>
    <t>ETCA-II-11</t>
  </si>
  <si>
    <t>ETCA-II-12</t>
  </si>
  <si>
    <t>ETCA-III-13</t>
  </si>
  <si>
    <t xml:space="preserve">                      Sistema Estatal de Evaluación</t>
  </si>
  <si>
    <t>Gastos por proyectos de Inversión</t>
  </si>
  <si>
    <t>GASTO DE INVERSION EJERCIDO:</t>
  </si>
  <si>
    <t xml:space="preserve">NOMBRE DEL PROYECTO </t>
  </si>
  <si>
    <t>ETCA-I-01-A</t>
  </si>
  <si>
    <t>ETCA-I-01-B</t>
  </si>
  <si>
    <t>ETCA-I-02</t>
  </si>
  <si>
    <t>ETCA-I-03</t>
  </si>
  <si>
    <t>ETCA-I-04</t>
  </si>
  <si>
    <t>ETCA-I-05</t>
  </si>
  <si>
    <t>ETCA-I-06</t>
  </si>
  <si>
    <t>ETCA-I-07</t>
  </si>
  <si>
    <t>ETCA-II-08</t>
  </si>
  <si>
    <t>ETCA-II-08-A</t>
  </si>
  <si>
    <t>ETCA-II-09</t>
  </si>
  <si>
    <t>ETCA-II-9-A</t>
  </si>
  <si>
    <t>ETCA-II-9-B</t>
  </si>
  <si>
    <t>ETCA-II-9-C</t>
  </si>
  <si>
    <t>ETCA-II-9-D</t>
  </si>
  <si>
    <t>ETCA-III-14</t>
  </si>
  <si>
    <t>ETCA-IV-16</t>
  </si>
  <si>
    <t>Primer Informe Trimestral 2015</t>
  </si>
  <si>
    <t>Listado de Formatos ETCA "Evaluación Trimestral Contabilidad Armonizada"</t>
  </si>
  <si>
    <t>ETCA-IV-15</t>
  </si>
  <si>
    <t>Seguimiento y Evaluación de Indicadores de Proyectos y Procesos 
(Gasto por Categoría Programática, Metas y Programas; Análisis Programático-Presupuestal con Indicadores de Resultados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</si>
  <si>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</si>
  <si>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</si>
  <si>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</si>
  <si>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</si>
  <si>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SERVICIOS  PERSONALES</t>
  </si>
  <si>
    <t>REMUNERACIONES AL PERSONAL DE CARACTER PERMANENTE</t>
  </si>
  <si>
    <t>SUELDOS</t>
  </si>
  <si>
    <t>COMPENSACION POR RIESGO PROFESIONAL</t>
  </si>
  <si>
    <t>AYUDA HABITACION</t>
  </si>
  <si>
    <t>AYUDA DESPENSA</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</si>
  <si>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</si>
  <si>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</si>
  <si>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</si>
  <si>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</si>
  <si>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</si>
  <si>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</si>
  <si>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ESTIMULOS AL PERSONAL DE CONFIANZA</t>
  </si>
  <si>
    <t>COMPENSACION POR AJUSTE DE CALENDARIO</t>
  </si>
  <si>
    <t>COMPENSACION POR BONO NAVIDEÑO</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</si>
  <si>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</si>
  <si>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</si>
  <si>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</si>
  <si>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</si>
  <si>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</si>
  <si>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</si>
  <si>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</si>
  <si>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</si>
  <si>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CUOTAS AL  FOVISSSTESON</t>
  </si>
  <si>
    <t>PAGAS DE DEFUNSION, PENSIONES Y JUBILACIONES</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</si>
  <si>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</si>
  <si>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</si>
  <si>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</si>
  <si>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</si>
  <si>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</si>
  <si>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</si>
  <si>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</si>
  <si>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</si>
  <si>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</si>
  <si>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</si>
  <si>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</si>
  <si>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</si>
  <si>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MATERIALES Y ARTICULOS DE CONSTRUCCIÓN Y REPARACIÓ</t>
  </si>
  <si>
    <t>MATERIALES COMPLEMENTARIOS</t>
  </si>
  <si>
    <t>OTROS MATERIALES Y ARTICULOS DE CONSTRUCCION Y REPARACION</t>
  </si>
  <si>
    <t>PRODUCTOS QUIMICOS, FARMACEUTICOS Y DE LABORATORIO</t>
  </si>
  <si>
    <t>MEDICINAS Y PRODUCTOS FAMACEUTICOS</t>
  </si>
  <si>
    <t>COMBUSTIBLES, LUBRICANTES Y ADITIVOS</t>
  </si>
  <si>
    <t>COMBUSTIBLES</t>
  </si>
  <si>
    <t>LUBRICANTES Y ADITIVOS</t>
  </si>
  <si>
    <t>VESTUARIO, BLANCOS, PRENDAS DE PROTECCION Y ARTICULOS DEPORTIVOS</t>
  </si>
  <si>
    <t>VESTUARIO Y UNIFORMES</t>
  </si>
  <si>
    <t>HERRAMIENTAS, REFACCIONES Y ACCESORIOS MENORES</t>
  </si>
  <si>
    <t>HERRAMIENTAS MENORES</t>
  </si>
  <si>
    <t>REFACCIONES Y ACCESORIOS MENORES DE EDIFICIOS</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</si>
  <si>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</si>
  <si>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</si>
  <si>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</si>
  <si>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</si>
  <si>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</si>
  <si>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</si>
  <si>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</si>
  <si>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</si>
  <si>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</si>
  <si>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</si>
  <si>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</si>
  <si>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</si>
  <si>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</si>
  <si>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</si>
  <si>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</si>
  <si>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</si>
  <si>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</si>
  <si>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</si>
  <si>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</si>
  <si>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</si>
  <si>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</si>
  <si>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IMPRESIONES Y PUBLICACIONES OFICIALES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</si>
  <si>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</si>
  <si>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</si>
  <si>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</si>
  <si>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</si>
  <si>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</si>
  <si>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</si>
  <si>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</si>
  <si>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</si>
  <si>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</si>
  <si>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</si>
  <si>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</si>
  <si>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</si>
  <si>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</si>
  <si>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</si>
  <si>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</si>
  <si>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</si>
  <si>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</si>
  <si>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</si>
  <si>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</si>
  <si>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</si>
  <si>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</si>
  <si>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</si>
  <si>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</si>
  <si>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</si>
  <si>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CONGRESOS Y CONVENCIONES</t>
  </si>
  <si>
    <t>OTROS SERVICIOS GENERALES</t>
  </si>
  <si>
    <t>IMPUESTOS Y DERECHOS</t>
  </si>
  <si>
    <t>SERVICIOS FUNERARIOS</t>
  </si>
  <si>
    <t>BIENES MUEBLES, INMUEBLES E INTANGIBLES</t>
  </si>
  <si>
    <t>MOBILIARIO Y EQUIPO DE ADMINISTRACION</t>
  </si>
  <si>
    <t>MOBILIARIO</t>
  </si>
  <si>
    <t>MOBILIARIO EQUIPO EDUCACIONAL Y RECREATIVO</t>
  </si>
  <si>
    <t>CAMARAS FOTOGRAFICAS Y VIDEOS</t>
  </si>
  <si>
    <t>INVERSION PUBLICA</t>
  </si>
  <si>
    <t>DVISION DE TERRENOS  Y CONSTRUCCION DE OBRAS DE URBANIZACION</t>
  </si>
  <si>
    <t>CECOP</t>
  </si>
  <si>
    <t>EDIFICACION HABITACIONAL</t>
  </si>
  <si>
    <t>CONSTRUCCION Y AMPLIACION FONHAPO</t>
  </si>
  <si>
    <t>EDIFICACION NO HABITACIONAL</t>
  </si>
  <si>
    <t>PROYECTOS DEPORTIVOS ESTATALES, INFRAESTRUCTURAS DEPORTIVAS FED (INFRAESTRUCTURA Y EQ. EN MATERIA DE CULTURA, DEPORTE Y RECREACION )</t>
  </si>
  <si>
    <t>GASTOS INDIRECTOS FED (INDIRECTOS PARA OBRAS DE EDIFICACION NO HABITACIONAL )</t>
  </si>
  <si>
    <t>CONSTRUCCION</t>
  </si>
  <si>
    <t>AMPLIACION</t>
  </si>
  <si>
    <t>INFRAESTRUCTURA Y EQUIPAMIENTO EN MATERIA DE CULTURA , DEPORTE Y RECREACION</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</si>
  <si>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</si>
  <si>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</si>
  <si>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</si>
  <si>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SUPERIOR</t>
  </si>
  <si>
    <t>SUPERVICION Y CONTROL DE CALIDAD</t>
  </si>
  <si>
    <t>Hacienda Pública / Patrimonio Neto Final del Ejercicio 2014</t>
  </si>
  <si>
    <t>Saldo Neto en la Hacienda Pública / Patrimonio 2015</t>
  </si>
  <si>
    <t>APORTACIONES PARA LA ATENCION DE ENFERMEDADES PREEXISTENTES</t>
  </si>
  <si>
    <t>REMODELACION Y REHABILITACION</t>
  </si>
  <si>
    <t>SUPERVISION Y CONTROL DE CALIDAD</t>
  </si>
  <si>
    <t>EJECUCION DE OBRA</t>
  </si>
  <si>
    <t>DIVISION DE TERRENOS Y CONSTRUCCION DE OBRAS DE URBANIZACION</t>
  </si>
  <si>
    <t>EJECUCION DE PROYECTOS PRODUCTIVOS NO INCLUIDOS EN CONCEPTOS ANTERIORES DE ESTE CAPITULO</t>
  </si>
  <si>
    <t>TOTALES</t>
  </si>
  <si>
    <t>CONSTRUCCION DE OBRAS PARA EL ABASTECIMIENTO DE AGUA , PETROLEO , GAS, ELECTRICIDAD Y TELECOMUNICACION</t>
  </si>
  <si>
    <t>INFRAESTRUCTURA PARA GENERACION Y TRANSFORMACION DE ENERGIA ELECTRICA</t>
  </si>
  <si>
    <t>COORDINACION GENERAL</t>
  </si>
  <si>
    <t>DIRECCION GENERAL DE CONCERTACION Y APOYO TECNICO</t>
  </si>
  <si>
    <t>DIRECCON GENERAL DE ADMINISTRACION Y FINANZAS</t>
  </si>
  <si>
    <t>DIRECCION GENERAL DE ORGANIZACION SOCIAL</t>
  </si>
  <si>
    <t>NO APLICA</t>
  </si>
  <si>
    <t>CONSEJO ESTATAL DE CONCERTACION PARA LA OBRA PUBLICA</t>
  </si>
  <si>
    <t>CONSEJO ESTATAL DE CONCERTACION PARA LA CUENTA PUBLICA</t>
  </si>
  <si>
    <t>CECOP 11</t>
  </si>
  <si>
    <t>FORD EXPLORER 2005 BLANCA</t>
  </si>
  <si>
    <t>CECOP 08</t>
  </si>
  <si>
    <t>FORD PICK UP LOBO 2007</t>
  </si>
  <si>
    <t>CECOP 12</t>
  </si>
  <si>
    <t>FORD RANGER 2005 (Azul Marino)</t>
  </si>
  <si>
    <t>CECOP 14</t>
  </si>
  <si>
    <t>FORD RANGER 2005 (Plata Metalico)</t>
  </si>
  <si>
    <t>CECOP 16</t>
  </si>
  <si>
    <t>FORD RANGER 2007 (Blanco)</t>
  </si>
  <si>
    <t>CECOP 20</t>
  </si>
  <si>
    <t>FORD FOCUS 2007</t>
  </si>
  <si>
    <t>CECOP 21</t>
  </si>
  <si>
    <t>FORD EXPLORER 2008 PLATA</t>
  </si>
  <si>
    <t>CECOP 23</t>
  </si>
  <si>
    <t>CHEVROLET SUBURBAN 2010</t>
  </si>
  <si>
    <t>CECOP 25</t>
  </si>
  <si>
    <t>CHEVROLET MONZA 2010 (BLANCO)</t>
  </si>
  <si>
    <t>CECOP 26</t>
  </si>
  <si>
    <t>CECOP 24</t>
  </si>
  <si>
    <t>CECOP 29</t>
  </si>
  <si>
    <t>CHEVROLET MONZA 2011 (PLATA)</t>
  </si>
  <si>
    <t>CECOP 30</t>
  </si>
  <si>
    <t>CECOP 31</t>
  </si>
  <si>
    <t>CEC0001</t>
  </si>
  <si>
    <t>LIBRERO EMPOTRADO P/CARPETAS</t>
  </si>
  <si>
    <t>CEC0003</t>
  </si>
  <si>
    <t>MODULO COMPUTACIONAL NEGRO CAOBA</t>
  </si>
  <si>
    <t>CEC0004</t>
  </si>
  <si>
    <t>ARCHIVERO 3 GAVETAS</t>
  </si>
  <si>
    <t>CEC0005</t>
  </si>
  <si>
    <t>SILLA DE VISITA TELA NEGRA</t>
  </si>
  <si>
    <t>CEC0006</t>
  </si>
  <si>
    <t>CEC0007</t>
  </si>
  <si>
    <t>CEC0008</t>
  </si>
  <si>
    <t>CEC0009</t>
  </si>
  <si>
    <t>CEC0010</t>
  </si>
  <si>
    <t>SILLÓN EJECUTIVO ALTO C/BRAZO FIJO</t>
  </si>
  <si>
    <t>CEC0011</t>
  </si>
  <si>
    <t>CREDENZA CON 4 CAJONES</t>
  </si>
  <si>
    <t>CEC0012</t>
  </si>
  <si>
    <t>MESA REDONDA</t>
  </si>
  <si>
    <t>CEC0014</t>
  </si>
  <si>
    <t>CPU GENERICO</t>
  </si>
  <si>
    <t>CEC0015</t>
  </si>
  <si>
    <t>MONITOR 19"</t>
  </si>
  <si>
    <t>CEC0016</t>
  </si>
  <si>
    <t>EQUIPO DE SONIDO C/ BOCINA, PEDESTAL Y MICROFONO</t>
  </si>
  <si>
    <t>CEC0017</t>
  </si>
  <si>
    <t>SILLA C/RUEDITAS COLOR NEGRO Y DESC/BRAZOS</t>
  </si>
  <si>
    <t>CEC0018</t>
  </si>
  <si>
    <t>ESCRITORIO EJECUTIVO</t>
  </si>
  <si>
    <t>CEC0019</t>
  </si>
  <si>
    <t>SILLA VISITA</t>
  </si>
  <si>
    <t>CEC0021</t>
  </si>
  <si>
    <t>COMPUTADORA PERSONAL DE ESCRITORIO</t>
  </si>
  <si>
    <t>CEC0022</t>
  </si>
  <si>
    <t>MONITOR 18.5" 6185HV</t>
  </si>
  <si>
    <t>CEC0023</t>
  </si>
  <si>
    <t>MESITA P/CAFÉ</t>
  </si>
  <si>
    <t>CEC0024</t>
  </si>
  <si>
    <t>LIBRERO 3 GAVETAS, 2 PUERTAS</t>
  </si>
  <si>
    <t>CEC0026</t>
  </si>
  <si>
    <t>CEC0027</t>
  </si>
  <si>
    <t>ESCRITORIO C/CREDENZA 4 CAJONES</t>
  </si>
  <si>
    <t>CEC0028</t>
  </si>
  <si>
    <t>SILLÓN EJECUTIVO C/RUEDITAS COLOR NEGRO</t>
  </si>
  <si>
    <t>CEC0029</t>
  </si>
  <si>
    <t>CEC0030</t>
  </si>
  <si>
    <t>CONJUNTO SECRETARIAL EN ESCUADRA DE 1.60 X 1.50</t>
  </si>
  <si>
    <t>CEC0033</t>
  </si>
  <si>
    <t>CEC0034</t>
  </si>
  <si>
    <t>COMPUTADORA</t>
  </si>
  <si>
    <t>CEC0035</t>
  </si>
  <si>
    <t>ESCRITORIO PENINSULAR DE 108 X .75 X .75 CON LATERAL</t>
  </si>
  <si>
    <t>CEC0036</t>
  </si>
  <si>
    <t xml:space="preserve">SILLÓN NEGRO C/DES. BRAZOS </t>
  </si>
  <si>
    <t>CEC0037</t>
  </si>
  <si>
    <t>ARCHIVERO VERTICAL 3 GAVETAS</t>
  </si>
  <si>
    <t>CEC0038</t>
  </si>
  <si>
    <t>MESA PARA EQUIPO DE IMPRESIÓN</t>
  </si>
  <si>
    <t>CEC0039</t>
  </si>
  <si>
    <t>SCANNER PHOTOSMART</t>
  </si>
  <si>
    <t>CEC0040</t>
  </si>
  <si>
    <t>IMPRESORA HP DESJET 6540</t>
  </si>
  <si>
    <t>CEC0042</t>
  </si>
  <si>
    <t>IMPRESORA LASER COLOR MAGICOLOR 5550</t>
  </si>
  <si>
    <t>CEC0044</t>
  </si>
  <si>
    <t>CEC0045</t>
  </si>
  <si>
    <t>SILLA DE VISITA NEGRA C/RUEDITAS</t>
  </si>
  <si>
    <t>CEC0046</t>
  </si>
  <si>
    <t>CEC0047</t>
  </si>
  <si>
    <t>ARCHIVERO 2 CAJONES</t>
  </si>
  <si>
    <t>CEC0048</t>
  </si>
  <si>
    <t>"U" EJECUTIVA DE 1.6 X 2.2</t>
  </si>
  <si>
    <t>CEC0050</t>
  </si>
  <si>
    <t>CEC0052</t>
  </si>
  <si>
    <t>SILLA C/ RUEDITAS</t>
  </si>
  <si>
    <t>CEC0053</t>
  </si>
  <si>
    <t>MODULO DE TRABAJO DE 1.2 X .6</t>
  </si>
  <si>
    <t>CEC0054</t>
  </si>
  <si>
    <t>COMPUTADORA   INSPIRON  560 SLIM</t>
  </si>
  <si>
    <t>CEC0055</t>
  </si>
  <si>
    <t>MONITOR 17"</t>
  </si>
  <si>
    <t>CEC0057</t>
  </si>
  <si>
    <t>LIBRERO CON 4 PUERTAS</t>
  </si>
  <si>
    <t>CEC0058</t>
  </si>
  <si>
    <t>MODULO ESCRITORIO 2 CAJONES</t>
  </si>
  <si>
    <t>CEC0059</t>
  </si>
  <si>
    <t>IMPRESORA LASERJET P1606</t>
  </si>
  <si>
    <t>CEC0060</t>
  </si>
  <si>
    <t>MESITA PARA IMPRESORA</t>
  </si>
  <si>
    <t>CEC0062</t>
  </si>
  <si>
    <t>CAJA FUERTE</t>
  </si>
  <si>
    <t>CEC0063</t>
  </si>
  <si>
    <t>LIBRERO DE MADERA 6 NIVELES</t>
  </si>
  <si>
    <t>CEC0064</t>
  </si>
  <si>
    <t>CEC0065</t>
  </si>
  <si>
    <t>MONITOR  LCD</t>
  </si>
  <si>
    <t>CEC0067</t>
  </si>
  <si>
    <t>SILLA DE VISITA TELA NEGRA C/DESCANZABRAZOS</t>
  </si>
  <si>
    <t>CEC0068</t>
  </si>
  <si>
    <t>CEC0069</t>
  </si>
  <si>
    <t>ARCHIVERO DE 3 GAVETAS  T/OF</t>
  </si>
  <si>
    <t>CEC0070</t>
  </si>
  <si>
    <t>MESA ESQUINERA DE .60 X .60</t>
  </si>
  <si>
    <t>CEC0071</t>
  </si>
  <si>
    <t>SILLÓN VISITA 3 PLAZAS</t>
  </si>
  <si>
    <t>CEC0072</t>
  </si>
  <si>
    <t>IMPRESORA LASERJET CP2025 COLOR</t>
  </si>
  <si>
    <t>CEC0075</t>
  </si>
  <si>
    <t>CREDENZA 4 CAJONES</t>
  </si>
  <si>
    <t>CEC0076</t>
  </si>
  <si>
    <t>ESCRITORIO SECRETARIAL</t>
  </si>
  <si>
    <t>CEC0077</t>
  </si>
  <si>
    <t>ESCRITORIO PENINSULAR DE 1.60 X .60 X .75 CAOBA NEGRO</t>
  </si>
  <si>
    <t>CEC0078</t>
  </si>
  <si>
    <t>ESCRITORIO BASE ALUMINIO CON VIDRIO</t>
  </si>
  <si>
    <t>CEC0079</t>
  </si>
  <si>
    <t>IMPRESORA COLOR</t>
  </si>
  <si>
    <t>CEC0080</t>
  </si>
  <si>
    <t>LIBRERO C/PEDESTAL 9 CAJONES 1.80 X 2.07 X 0.60 MTS.</t>
  </si>
  <si>
    <t>CEC0081</t>
  </si>
  <si>
    <t>SILLÓN EJECUTIVO C/DESC. BRAZOS C/RUEDITAS RE 1900</t>
  </si>
  <si>
    <t>CEC0082</t>
  </si>
  <si>
    <t>SILLÓN DE VISITA 3 PLAZAS COLOR VERDE</t>
  </si>
  <si>
    <t>CEC0083</t>
  </si>
  <si>
    <t>SILLÓN DE VISITA 1 PLAZA COLOR VERDE</t>
  </si>
  <si>
    <t>CEC0084</t>
  </si>
  <si>
    <t>SILLA PARIS COLOR BEIGE</t>
  </si>
  <si>
    <t>CEC0085</t>
  </si>
  <si>
    <t>CEC0087</t>
  </si>
  <si>
    <t>COMPUTADORA GENERICA CON DVDRW</t>
  </si>
  <si>
    <t>CEC0089</t>
  </si>
  <si>
    <t>CEC0091</t>
  </si>
  <si>
    <t>IMPRESORA</t>
  </si>
  <si>
    <t>CEC0092</t>
  </si>
  <si>
    <t>CONJUNTO PENINSULAR 1.2 X .60 X .75 CON LATERAL Y CAJONERA</t>
  </si>
  <si>
    <t>CEC0093</t>
  </si>
  <si>
    <t>IMPRESORA DESKJET</t>
  </si>
  <si>
    <t>CEC0094</t>
  </si>
  <si>
    <t>SILLÓN SECRETARIAL VINIPIEL C/DESC. BRAZOS</t>
  </si>
  <si>
    <t>CEC0095</t>
  </si>
  <si>
    <t>LOVE SEAT COLOR NEGRO</t>
  </si>
  <si>
    <t>CEC0096</t>
  </si>
  <si>
    <t>CEC0099</t>
  </si>
  <si>
    <t>CEC0100</t>
  </si>
  <si>
    <t>CEC0101</t>
  </si>
  <si>
    <t>CEC0102</t>
  </si>
  <si>
    <t>COMPUTADORA C/LECTOR DE TARJETAS COLOR NEGRO</t>
  </si>
  <si>
    <t>CEC0103</t>
  </si>
  <si>
    <t>CEC0104</t>
  </si>
  <si>
    <t>SCANER</t>
  </si>
  <si>
    <t>CEC0105</t>
  </si>
  <si>
    <t>CEC0106</t>
  </si>
  <si>
    <t>MÓDULO 4 ESTACIONES DE TRABAJO CON CREDENZA 3 CAJONES</t>
  </si>
  <si>
    <t>CEC0107</t>
  </si>
  <si>
    <t>CEC0108</t>
  </si>
  <si>
    <t>COMPUTADORA LAPTOP  COLOR GRIS METALICO HP435</t>
  </si>
  <si>
    <t>CEC0110</t>
  </si>
  <si>
    <t>CEC0112</t>
  </si>
  <si>
    <t>CEC0116</t>
  </si>
  <si>
    <t>MONITOR - COLOR NEGRO 15"</t>
  </si>
  <si>
    <t>CEC0118</t>
  </si>
  <si>
    <t>ESCRITORIO PENINSULAR CON LIBRERO</t>
  </si>
  <si>
    <t>CEC0119</t>
  </si>
  <si>
    <t>CEC0120</t>
  </si>
  <si>
    <t>CEC0121</t>
  </si>
  <si>
    <t>SILLÓN CON DESCANZA BRAZOS</t>
  </si>
  <si>
    <t>CEC0122</t>
  </si>
  <si>
    <t>CEC0123</t>
  </si>
  <si>
    <t>LIBRERO EMPOTRADO COLOR NEGRO</t>
  </si>
  <si>
    <t>CEC0124</t>
  </si>
  <si>
    <t>CEC0125</t>
  </si>
  <si>
    <t>SILLÓN C/DESC. BRAZOS</t>
  </si>
  <si>
    <t>CEC0127</t>
  </si>
  <si>
    <t>MONITOR 18.5"</t>
  </si>
  <si>
    <t>CEC0128</t>
  </si>
  <si>
    <t>CEC0129</t>
  </si>
  <si>
    <t xml:space="preserve">IMPRESORA </t>
  </si>
  <si>
    <t>CEC0130</t>
  </si>
  <si>
    <t>MONITOR LCD COLOR NEGRO</t>
  </si>
  <si>
    <t>CEC0131</t>
  </si>
  <si>
    <t>CEC0132</t>
  </si>
  <si>
    <t>CEC0133</t>
  </si>
  <si>
    <t>ARCHIVERO 3 CAJONES</t>
  </si>
  <si>
    <t>CEC0134</t>
  </si>
  <si>
    <t>CEC0135</t>
  </si>
  <si>
    <t>CEC0136</t>
  </si>
  <si>
    <t>CEC0137</t>
  </si>
  <si>
    <t>ESCRITORIO TRADICIONAL MEDIDA 1.2 X .60 X .5 CON CAJONERA</t>
  </si>
  <si>
    <t>CEC0138</t>
  </si>
  <si>
    <t>CEC0139</t>
  </si>
  <si>
    <t>CEC0140</t>
  </si>
  <si>
    <t>CEC0141</t>
  </si>
  <si>
    <t>CEC0142</t>
  </si>
  <si>
    <t>CEC0143</t>
  </si>
  <si>
    <t>MESITA C/RUEDITAS</t>
  </si>
  <si>
    <t>CEC0144</t>
  </si>
  <si>
    <t>LATERAL MEDIDA 1.10 X.45 X .75 CON UNA CAJONERA</t>
  </si>
  <si>
    <t>CEC0145</t>
  </si>
  <si>
    <t>CEC0146</t>
  </si>
  <si>
    <t>CEC0149</t>
  </si>
  <si>
    <t>IMPRESORA LASERJET 1000</t>
  </si>
  <si>
    <t>CEC0150</t>
  </si>
  <si>
    <t>ESCRITORIO PEQUEÑO MELANINA CAFÉ</t>
  </si>
  <si>
    <t>CEC0151</t>
  </si>
  <si>
    <t>CEC0152</t>
  </si>
  <si>
    <t>CEC0155</t>
  </si>
  <si>
    <t>CEC0156</t>
  </si>
  <si>
    <t>ESCANER</t>
  </si>
  <si>
    <t>CEC0157</t>
  </si>
  <si>
    <t>SILLA NEGRA</t>
  </si>
  <si>
    <t>CEC0161</t>
  </si>
  <si>
    <t>CEC0162</t>
  </si>
  <si>
    <t>CEC0164</t>
  </si>
  <si>
    <t>MODULO 2 ESTACIONES DE TRABAJO 1 CAJÓN C/U</t>
  </si>
  <si>
    <t>CEC0165</t>
  </si>
  <si>
    <t>SILLÓN EJECUTIVO C/RUEDITAS</t>
  </si>
  <si>
    <t>CEC0166</t>
  </si>
  <si>
    <t>IMPRESORA COLOR NEGRO</t>
  </si>
  <si>
    <t>CEC0167</t>
  </si>
  <si>
    <t>MESA MULTIUSOS LADO CIRCULAR</t>
  </si>
  <si>
    <t>CEC0168</t>
  </si>
  <si>
    <t>CEC0170</t>
  </si>
  <si>
    <t>SILLA DE VISITA</t>
  </si>
  <si>
    <t>CEC0171</t>
  </si>
  <si>
    <t>CEC0172</t>
  </si>
  <si>
    <t>CEC0173</t>
  </si>
  <si>
    <t>CEC0174</t>
  </si>
  <si>
    <t>CEC0175</t>
  </si>
  <si>
    <t>CEC0176</t>
  </si>
  <si>
    <t>CEC0177</t>
  </si>
  <si>
    <t>CEC0178</t>
  </si>
  <si>
    <t>CEC0179</t>
  </si>
  <si>
    <t>CEC0180</t>
  </si>
  <si>
    <t>CREDENZA 4 CAJONES, 2 PUERTAS</t>
  </si>
  <si>
    <t>CEC0181</t>
  </si>
  <si>
    <t>ESCRITORIO 85X182</t>
  </si>
  <si>
    <t>CEC0182</t>
  </si>
  <si>
    <t>CEC0183</t>
  </si>
  <si>
    <t>SILLÓN CON DESC. BRAZOS</t>
  </si>
  <si>
    <t>CEC0184</t>
  </si>
  <si>
    <t>CEC0186</t>
  </si>
  <si>
    <t>SILLA DE VISITA MADERA C/DESC. BRAZOS</t>
  </si>
  <si>
    <t>CEC0187</t>
  </si>
  <si>
    <t>CEC0188</t>
  </si>
  <si>
    <t>MESITA PARA CAFÉ C/ENTREPAÑO</t>
  </si>
  <si>
    <t>COMPUTADORA PORTATIL</t>
  </si>
  <si>
    <t>CEC0190</t>
  </si>
  <si>
    <t xml:space="preserve">SCANER </t>
  </si>
  <si>
    <t>CEC0191</t>
  </si>
  <si>
    <t>CEC0192</t>
  </si>
  <si>
    <t>CEC0193</t>
  </si>
  <si>
    <t>SILLA SECRETARIAL CON DESC/BRAZOS</t>
  </si>
  <si>
    <t>CEC0196</t>
  </si>
  <si>
    <t>SILLA DE VISITA NEGRA</t>
  </si>
  <si>
    <t>CEC0199</t>
  </si>
  <si>
    <t>SCANNER COLOR NEGRO</t>
  </si>
  <si>
    <t>CEC0200</t>
  </si>
  <si>
    <t>IMPRESORA HP COLOR</t>
  </si>
  <si>
    <t>CEC0201</t>
  </si>
  <si>
    <t>IMPRESORA LASERJET 1200</t>
  </si>
  <si>
    <t>CEC0202</t>
  </si>
  <si>
    <t>CEC0204</t>
  </si>
  <si>
    <t>CEC0206</t>
  </si>
  <si>
    <t>CEC0224</t>
  </si>
  <si>
    <t>FAX HP OFFICEJET 4255</t>
  </si>
  <si>
    <t>CEC0225</t>
  </si>
  <si>
    <t>COMPUTADORA 3 GHZ 512 MB</t>
  </si>
  <si>
    <t>CEC0226</t>
  </si>
  <si>
    <t>CEC0227</t>
  </si>
  <si>
    <t>IMPRESORA DE INJECCIÓN DE TINTA</t>
  </si>
  <si>
    <t>CEC0228</t>
  </si>
  <si>
    <t>IMPRESORA LASER B/N</t>
  </si>
  <si>
    <t>CEC0229</t>
  </si>
  <si>
    <t>ENFRIADOR DE AGUA</t>
  </si>
  <si>
    <t>CEC0230</t>
  </si>
  <si>
    <t>COMPUTADORA GENERICA</t>
  </si>
  <si>
    <t>CEC0233</t>
  </si>
  <si>
    <t>CEC0234</t>
  </si>
  <si>
    <t>SILLA TELA NEGRA</t>
  </si>
  <si>
    <t>CEC0237</t>
  </si>
  <si>
    <t>SILLA SECRETARIAL NEGRA CON RUEDITAS</t>
  </si>
  <si>
    <t>CEC0240</t>
  </si>
  <si>
    <t>IMPRESORA MULTIFUNCIONAL C4680 COLOR</t>
  </si>
  <si>
    <t>CEC0241</t>
  </si>
  <si>
    <t>COMPUTADORA DE 512 MB</t>
  </si>
  <si>
    <t>CEC0245</t>
  </si>
  <si>
    <t>CEC0246</t>
  </si>
  <si>
    <t>CEC0247</t>
  </si>
  <si>
    <t>ARCHIVERO NEGRO</t>
  </si>
  <si>
    <t>CEC0252</t>
  </si>
  <si>
    <t>CEC0255</t>
  </si>
  <si>
    <t>EQUIPO DE REFRIGERACIÓN 2.0 TONELADAS</t>
  </si>
  <si>
    <t>CEC0257</t>
  </si>
  <si>
    <t>ROUTER VPN CON CONMUTADOR</t>
  </si>
  <si>
    <t>CEC0258</t>
  </si>
  <si>
    <t>COMPUTADORA GENÉRICA GABINETE ACTECK</t>
  </si>
  <si>
    <t>CEC0259</t>
  </si>
  <si>
    <t>PENINSULA DE 1.6 X 0.6  COLOR CHOCOLATE</t>
  </si>
  <si>
    <t>CEC0260</t>
  </si>
  <si>
    <t>PENINSULA DE 1.4 X 0.6  COLOR CHOCOLATE</t>
  </si>
  <si>
    <t>CEC0264</t>
  </si>
  <si>
    <t>LIBRERO 3 NIVELES 2 PUERTAS</t>
  </si>
  <si>
    <t>CEC0265</t>
  </si>
  <si>
    <t>ESCRITORIO PENINSULAR</t>
  </si>
  <si>
    <t>CEC0266</t>
  </si>
  <si>
    <t>CEC0267</t>
  </si>
  <si>
    <t>CEC0268</t>
  </si>
  <si>
    <t>CEC0269</t>
  </si>
  <si>
    <t>SILLA SECRETARIAL C/BRAZOS</t>
  </si>
  <si>
    <t>CEC0270</t>
  </si>
  <si>
    <t>SILLÓN TRINEO EN PIEL NEGRO</t>
  </si>
  <si>
    <t>CEC0271</t>
  </si>
  <si>
    <t>CEC0273</t>
  </si>
  <si>
    <t>MESITA PARA IMPRESORA 2 PUERTAS</t>
  </si>
  <si>
    <t>CEC0274</t>
  </si>
  <si>
    <t>SILLA DE VISITA  TELA NEGRA</t>
  </si>
  <si>
    <t>CEC0275</t>
  </si>
  <si>
    <t>CEC0277</t>
  </si>
  <si>
    <t>COMPUTADORA CHECADOR</t>
  </si>
  <si>
    <t>CEC0279</t>
  </si>
  <si>
    <t>CEC0282</t>
  </si>
  <si>
    <t>CEC0283</t>
  </si>
  <si>
    <t>SILLA SECRETARIAL VINIPIEL C/DESC. BRAZOS Y RUEDITAS</t>
  </si>
  <si>
    <t>CEC0285</t>
  </si>
  <si>
    <t>IMPRESORA DESKJET 6940</t>
  </si>
  <si>
    <t>CEC0286</t>
  </si>
  <si>
    <t>LIBRERO MADERA EMPOTRADO</t>
  </si>
  <si>
    <t>CEC0288</t>
  </si>
  <si>
    <t>CEC0289</t>
  </si>
  <si>
    <t>SILLA SECRETARIAL C/DESC. BRAZOS Y RUEDITAS</t>
  </si>
  <si>
    <t>CEC0290</t>
  </si>
  <si>
    <t>CEC0293</t>
  </si>
  <si>
    <t>MODULO DE 1.5 X .30 X .75 CON PUERTA</t>
  </si>
  <si>
    <t>CEC0294</t>
  </si>
  <si>
    <t>CEC0296</t>
  </si>
  <si>
    <t>ENMICADORA</t>
  </si>
  <si>
    <t>CEC0299</t>
  </si>
  <si>
    <t>CEC0302</t>
  </si>
  <si>
    <t xml:space="preserve">PROYECTOR </t>
  </si>
  <si>
    <t>CEC0303</t>
  </si>
  <si>
    <t>FAX DE PAPEL BOND</t>
  </si>
  <si>
    <t>CEC0304</t>
  </si>
  <si>
    <t>PANTALLA  C/TRIPIE</t>
  </si>
  <si>
    <t>CEC0306</t>
  </si>
  <si>
    <t>ESCRITORIO 2 CAJONES</t>
  </si>
  <si>
    <t>CEC0307</t>
  </si>
  <si>
    <t>CEC0309</t>
  </si>
  <si>
    <t>CEC0310</t>
  </si>
  <si>
    <t>IMPRESORA LASERJET 1300</t>
  </si>
  <si>
    <t>CEC0311</t>
  </si>
  <si>
    <t>ARCHIVERO PEQUEÑO 3 CAJONES</t>
  </si>
  <si>
    <t>CEC0312</t>
  </si>
  <si>
    <t>CEC0313</t>
  </si>
  <si>
    <t>CEC0314</t>
  </si>
  <si>
    <t>"U" EJECUTIVA CON LIBRERO Y PUERTAS PEQUEÑAS</t>
  </si>
  <si>
    <t>CEC0315</t>
  </si>
  <si>
    <t xml:space="preserve">MESA PARA JUNTAS </t>
  </si>
  <si>
    <t>CEC0316</t>
  </si>
  <si>
    <t>SILLÓN NEGRO C/DESC. BRAZOS Y RUEDITAS</t>
  </si>
  <si>
    <t>CEC0317</t>
  </si>
  <si>
    <t>CEC0318</t>
  </si>
  <si>
    <t>CEC0319</t>
  </si>
  <si>
    <t>CEC0320</t>
  </si>
  <si>
    <t>CEC0321</t>
  </si>
  <si>
    <t>CEC0322</t>
  </si>
  <si>
    <t>CEC0323</t>
  </si>
  <si>
    <t>CEC0324</t>
  </si>
  <si>
    <t>CEC0326</t>
  </si>
  <si>
    <t>MESITA PARA CAFÉ CON 2 PUERTAS</t>
  </si>
  <si>
    <t>CEC0327</t>
  </si>
  <si>
    <t>CEC0329</t>
  </si>
  <si>
    <t>CEC0330</t>
  </si>
  <si>
    <t>CEC0331</t>
  </si>
  <si>
    <t>SILLA SECRETARIAL C/DESC. BRAZOS</t>
  </si>
  <si>
    <t>CEC0332</t>
  </si>
  <si>
    <t>CEC0333</t>
  </si>
  <si>
    <t>CEC0334</t>
  </si>
  <si>
    <t>CEC0339</t>
  </si>
  <si>
    <t>MESITA</t>
  </si>
  <si>
    <t>CEC0340</t>
  </si>
  <si>
    <t>SILLA TRINEO CON DESCANZA BRAZOS</t>
  </si>
  <si>
    <t>CEC0341</t>
  </si>
  <si>
    <t>CEC0342</t>
  </si>
  <si>
    <t>CEC0343</t>
  </si>
  <si>
    <t>ESCRITORIO EJECUTIVO 6 CAJONES</t>
  </si>
  <si>
    <t>CEC0345</t>
  </si>
  <si>
    <t>SILLÓN EJECECUTIVO PRINCIPAL NEGRO C/DESC. BRAZOS</t>
  </si>
  <si>
    <t>CEC0346</t>
  </si>
  <si>
    <t>SILLÓN EJECUTIVO NEGRO C/ DESC. BRAZOS</t>
  </si>
  <si>
    <t>CEC0347</t>
  </si>
  <si>
    <t>CEC0348</t>
  </si>
  <si>
    <t>REGRIGERADOR 5 PIES</t>
  </si>
  <si>
    <t>CEC0349</t>
  </si>
  <si>
    <t>LIBRERO GRANDE 3 PIEZAS</t>
  </si>
  <si>
    <t>CEC0350</t>
  </si>
  <si>
    <t>SILLA MADERA PIEL C/DESC. BRAZOS</t>
  </si>
  <si>
    <t>CEC0351</t>
  </si>
  <si>
    <t>CEC0352</t>
  </si>
  <si>
    <t>CEC0353</t>
  </si>
  <si>
    <t>CEC0354</t>
  </si>
  <si>
    <t>CEC0355</t>
  </si>
  <si>
    <t>CEC0356</t>
  </si>
  <si>
    <t>CEC0357</t>
  </si>
  <si>
    <t>CEC0358</t>
  </si>
  <si>
    <t>CEC0359</t>
  </si>
  <si>
    <t>CEC0360</t>
  </si>
  <si>
    <t>CEC0361</t>
  </si>
  <si>
    <t>CEC0362</t>
  </si>
  <si>
    <t>CEC0363</t>
  </si>
  <si>
    <t>CEC0364</t>
  </si>
  <si>
    <t>CEC0365</t>
  </si>
  <si>
    <t>CEC0366</t>
  </si>
  <si>
    <t>CEC0367</t>
  </si>
  <si>
    <t>SILLA MADERA PIEL C/DESC. BRAZOS  C/RUEDITAS</t>
  </si>
  <si>
    <t>CEC0368</t>
  </si>
  <si>
    <t>VITRINA PORTA BANDERA</t>
  </si>
  <si>
    <t>CEC0369</t>
  </si>
  <si>
    <t>CEC0370</t>
  </si>
  <si>
    <t>GRAN MESA DE JUNTAS</t>
  </si>
  <si>
    <t>CEC0373</t>
  </si>
  <si>
    <t>MESA ESQUINERA</t>
  </si>
  <si>
    <t>CEC0376</t>
  </si>
  <si>
    <t>PANTALLA PARA PROYECCIÓN DE IMÁGENES Y VIDEO</t>
  </si>
  <si>
    <t>CEC0377</t>
  </si>
  <si>
    <t>PROYECTOR CONTROL REMOTO</t>
  </si>
  <si>
    <t>CEC0378</t>
  </si>
  <si>
    <t>COMPUTADORA COLOR AZUL</t>
  </si>
  <si>
    <t>CEC0380</t>
  </si>
  <si>
    <t>ARCHIVERO DOS CAJONES</t>
  </si>
  <si>
    <t>CEC0382</t>
  </si>
  <si>
    <t>CEC0384</t>
  </si>
  <si>
    <t>SILLÓN NEGRO PIEL 3 PLAZAS</t>
  </si>
  <si>
    <t>CEC0386</t>
  </si>
  <si>
    <t>SERVIBAR 5 PIES</t>
  </si>
  <si>
    <t>CEC0388</t>
  </si>
  <si>
    <t xml:space="preserve">MESITA MADERA </t>
  </si>
  <si>
    <t>CEC0389</t>
  </si>
  <si>
    <t>CONJUNTO MODULAR EJECUTIVO DE 1.9 X 2.2</t>
  </si>
  <si>
    <t>CEC0390</t>
  </si>
  <si>
    <t>BATERÍA DE 3 PLAZAS TELA COLOR NEGRO</t>
  </si>
  <si>
    <t>CEC0391</t>
  </si>
  <si>
    <t>CEC0393</t>
  </si>
  <si>
    <t>CEC0395</t>
  </si>
  <si>
    <t>CEC0397</t>
  </si>
  <si>
    <t>CEC0398</t>
  </si>
  <si>
    <t>CEC0400</t>
  </si>
  <si>
    <t>MULTIFUNCIONAL OFFICE PRO K5400</t>
  </si>
  <si>
    <t>CEC0402</t>
  </si>
  <si>
    <t>COMPUTADORA ESCRITORIO</t>
  </si>
  <si>
    <t>CEC0404</t>
  </si>
  <si>
    <t>COMPUTADORA LAPTOP</t>
  </si>
  <si>
    <t>CEC0405</t>
  </si>
  <si>
    <t>CEC0406</t>
  </si>
  <si>
    <t>SILLA SECRETARIAL C/RUEDITAS</t>
  </si>
  <si>
    <t>CEC0408</t>
  </si>
  <si>
    <t>CEC0409</t>
  </si>
  <si>
    <t>ESCRITORIO PEQUEÑO 2 CAJONES</t>
  </si>
  <si>
    <t>CEC0410</t>
  </si>
  <si>
    <t>CÁMARA FOTOGRÁFICA  EOS REBEL T3I MEMORIA 16 GB</t>
  </si>
  <si>
    <t>CEC0411</t>
  </si>
  <si>
    <t>IMPRESORA LASER  P1102W</t>
  </si>
  <si>
    <t>CEC0413</t>
  </si>
  <si>
    <t>CEC0414</t>
  </si>
  <si>
    <t>CEC0415</t>
  </si>
  <si>
    <t>CEC0416</t>
  </si>
  <si>
    <t>CEC0419</t>
  </si>
  <si>
    <t>CEC0420</t>
  </si>
  <si>
    <t>CEC0421</t>
  </si>
  <si>
    <t>CEC0422</t>
  </si>
  <si>
    <t>CEC0423</t>
  </si>
  <si>
    <t>CEC0424</t>
  </si>
  <si>
    <t>CEC0428</t>
  </si>
  <si>
    <t>SILLÓN VINIPIEL C/ DESCANSA BRAZOS</t>
  </si>
  <si>
    <t>CEC0429</t>
  </si>
  <si>
    <t>SILLA DE VISITA NEGRA C/DESC. BRAZOS</t>
  </si>
  <si>
    <t>CEC0430</t>
  </si>
  <si>
    <t>CEC0431</t>
  </si>
  <si>
    <t>COMPUTADORA GHIA - INTEL PENTIUM COLOR NEGRO</t>
  </si>
  <si>
    <t>CEC0433</t>
  </si>
  <si>
    <t>SILLÓN SECRETARIAL</t>
  </si>
  <si>
    <t>CEC0434</t>
  </si>
  <si>
    <t>CEC0435</t>
  </si>
  <si>
    <t>CONJUNTO MODULAR EJECUTIVO DE 1.8X2.5X1.85C/2 CAJONES</t>
  </si>
  <si>
    <t>CEC0436</t>
  </si>
  <si>
    <t>LIBRERO C/ PUERTAS DE 1.8X.85X.35 COLOR CHOCOLATE</t>
  </si>
  <si>
    <t>CEC0437</t>
  </si>
  <si>
    <t>MESA DE 1.2 DE DIAMETRO COLOR CHOCOLATE</t>
  </si>
  <si>
    <t>CEC0438</t>
  </si>
  <si>
    <t>SILLON EJECUTIVO TAPIZADO EN  TELA NEGRA</t>
  </si>
  <si>
    <t>CEC0439</t>
  </si>
  <si>
    <t>SILLON DE VISITA C/ DESCANSA BRAZOS</t>
  </si>
  <si>
    <t>CEC0440</t>
  </si>
  <si>
    <t>CEC0441</t>
  </si>
  <si>
    <t>CEC0442</t>
  </si>
  <si>
    <t>CEC0443</t>
  </si>
  <si>
    <t>CEC0444</t>
  </si>
  <si>
    <t>CEC0445</t>
  </si>
  <si>
    <t xml:space="preserve">MINISPLIT 1.5 TONELADAS </t>
  </si>
  <si>
    <t>CEC0446</t>
  </si>
  <si>
    <t>COMPUTADORA LANIX TITAN HX4130CORE E5400</t>
  </si>
  <si>
    <t>CEC0447</t>
  </si>
  <si>
    <t>MONITOR LCD 20" WIDESCREEN</t>
  </si>
  <si>
    <t>CEC0448</t>
  </si>
  <si>
    <t>ARCHIVERO VERTICAL 3 GAVETAS T/OFICIO</t>
  </si>
  <si>
    <t>CEC0449</t>
  </si>
  <si>
    <t>SWITCH 3COM BASELIN 24 PUERTOS 10/100MBBPS</t>
  </si>
  <si>
    <t>CEC0450</t>
  </si>
  <si>
    <t>COMPUTADORA PORTATIL HP PAVILON, PANTALLA 14</t>
  </si>
  <si>
    <t>CEC0451</t>
  </si>
  <si>
    <t>CONJUNTO MODULAR DE1.80X2.25,85C/CAJONESC/LIBRERO</t>
  </si>
  <si>
    <t>CEC0452</t>
  </si>
  <si>
    <t>ARCHIVERO 3 GAVETAS T/O C/ CORREDEDAS</t>
  </si>
  <si>
    <t>CEC0453</t>
  </si>
  <si>
    <t>CEC0454</t>
  </si>
  <si>
    <t>CEC0455</t>
  </si>
  <si>
    <t>CEC0456</t>
  </si>
  <si>
    <t>MINI SPLIT 1 TON.</t>
  </si>
  <si>
    <t>CEC0459</t>
  </si>
  <si>
    <t>IMPRESORA  HP 4000</t>
  </si>
  <si>
    <t>CEC0460</t>
  </si>
  <si>
    <t>CEC0461</t>
  </si>
  <si>
    <t>PENINSULA DE 1.20 X 0.60 CON LATERAL IZQUIERDO C.CHOCOLATE</t>
  </si>
  <si>
    <t>CEC0462</t>
  </si>
  <si>
    <t>CEC0465</t>
  </si>
  <si>
    <t xml:space="preserve">COMPUTADORA </t>
  </si>
  <si>
    <t>CEC0467</t>
  </si>
  <si>
    <t>CEC0468</t>
  </si>
  <si>
    <t>SILLA SECRETARIAL TAPIZADA EN TELA NEGRA</t>
  </si>
  <si>
    <t>CEC0470</t>
  </si>
  <si>
    <t>CEC0471</t>
  </si>
  <si>
    <t>CEC0472</t>
  </si>
  <si>
    <t>CEC0474</t>
  </si>
  <si>
    <t>CEC0475</t>
  </si>
  <si>
    <t>CAMARA FOTOGRAFICA PROFECIONAL</t>
  </si>
  <si>
    <t>CEC0476</t>
  </si>
  <si>
    <t>MULTIFUNCIONAL COLOR XEROX PHASER 6121</t>
  </si>
  <si>
    <t>CEC0477</t>
  </si>
  <si>
    <t>CEC0478</t>
  </si>
  <si>
    <t>CEC0479</t>
  </si>
  <si>
    <t>CEC0480</t>
  </si>
  <si>
    <t>SILLON EJECUTIVO TELA NEGRA</t>
  </si>
  <si>
    <t>CEC0481</t>
  </si>
  <si>
    <t>CEC0482</t>
  </si>
  <si>
    <t>CEC0483</t>
  </si>
  <si>
    <t xml:space="preserve">COMPUTADORA LANIX TITAN  </t>
  </si>
  <si>
    <t>CEC0484</t>
  </si>
  <si>
    <t>MONITOR LCD 17" CON BOCINA</t>
  </si>
  <si>
    <t>CEC0486</t>
  </si>
  <si>
    <t>MESA DE TRABAJO GRANDE</t>
  </si>
  <si>
    <t>CEC0487</t>
  </si>
  <si>
    <t>1 CREDENZA 4 CAJONES</t>
  </si>
  <si>
    <t>CEC0488</t>
  </si>
  <si>
    <t>ARCHIVERO 2 GAVETAS T/O C/ CORREDEDAS</t>
  </si>
  <si>
    <t>CEC0489</t>
  </si>
  <si>
    <t>CEC0490</t>
  </si>
  <si>
    <t>CEC0491</t>
  </si>
  <si>
    <t>CEC0492</t>
  </si>
  <si>
    <t xml:space="preserve">MODULO DE TRABAJO 1.10 X 60 X1.10 CON MAMPARA DIVISORA Y GABETA </t>
  </si>
  <si>
    <t>CEC0493</t>
  </si>
  <si>
    <t>CEC0494</t>
  </si>
  <si>
    <t>MODULO DE TRABAJO 1.10 X 60 X1.10 CON MAMPARA DIVISORA Y GABETA</t>
  </si>
  <si>
    <t>CEC0495</t>
  </si>
  <si>
    <t>CEC0497</t>
  </si>
  <si>
    <t>CEC0498</t>
  </si>
  <si>
    <t>CEC0499</t>
  </si>
  <si>
    <t>SILLÓN EJECUTIVO EN DELIPIEL COLOR NEGRO</t>
  </si>
  <si>
    <t>CEC0501</t>
  </si>
  <si>
    <t>CEC0502</t>
  </si>
  <si>
    <t>CEC0503</t>
  </si>
  <si>
    <t>CEC0507</t>
  </si>
  <si>
    <t>CEC0508</t>
  </si>
  <si>
    <t>ESCRITORIO PEQUEÑO CON 2 CAJONES</t>
  </si>
  <si>
    <t>CEC0509</t>
  </si>
  <si>
    <t>CEC0510</t>
  </si>
  <si>
    <t>CEC0512</t>
  </si>
  <si>
    <t>CEC0514</t>
  </si>
  <si>
    <t>CEC0516</t>
  </si>
  <si>
    <t>CEC0517</t>
  </si>
  <si>
    <t>CEC0518</t>
  </si>
  <si>
    <t>CEC0522</t>
  </si>
  <si>
    <t>CEC0524</t>
  </si>
  <si>
    <t>CEC0526</t>
  </si>
  <si>
    <t>CEC0527</t>
  </si>
  <si>
    <t>CEC0529</t>
  </si>
  <si>
    <t>CEC0530</t>
  </si>
  <si>
    <t>CEC0532</t>
  </si>
  <si>
    <t>CEC0533</t>
  </si>
  <si>
    <t>MODULO DE TRABAJO 1.10 X 60 X1.10 CON MAMPARA DIVISORA Y GABETA COMPARTIDO</t>
  </si>
  <si>
    <t>CEC0534</t>
  </si>
  <si>
    <t>CEC0535</t>
  </si>
  <si>
    <t>CEC0536</t>
  </si>
  <si>
    <t>CEC0537</t>
  </si>
  <si>
    <t>MÓDULO DE RECEPCIÓN SEMI CURVO DE 1.2 X 0.8 X 1.10</t>
  </si>
  <si>
    <t>CEC0538</t>
  </si>
  <si>
    <t>CEC0539</t>
  </si>
  <si>
    <t>EQUIPO DE AIRE ACONDICIONADO MINISPLIT 2 TONELADAS</t>
  </si>
  <si>
    <t>CEC0540</t>
  </si>
  <si>
    <t>CEC0542</t>
  </si>
  <si>
    <t>CEC0544</t>
  </si>
  <si>
    <t>CEC0546</t>
  </si>
  <si>
    <t>CEC0547</t>
  </si>
  <si>
    <t>SILLA TAPIZADA EN TELA NEGRA</t>
  </si>
  <si>
    <t>CEC0548</t>
  </si>
  <si>
    <t>EQUIPO DE AIRE MINISPLIT 1 TONELADA</t>
  </si>
  <si>
    <t>CEC0550</t>
  </si>
  <si>
    <t>CEC0551</t>
  </si>
  <si>
    <t>CEC0553</t>
  </si>
  <si>
    <t>CEC0554</t>
  </si>
  <si>
    <t>CEC0556</t>
  </si>
  <si>
    <t>CEC0557</t>
  </si>
  <si>
    <t>CEC0563</t>
  </si>
  <si>
    <t>CAMARA DIGITAL</t>
  </si>
  <si>
    <t>CEC0564</t>
  </si>
  <si>
    <t>EQUIPO DE AIRE ACONDICIONADO 1 TONELADA</t>
  </si>
  <si>
    <t>CEC0565</t>
  </si>
  <si>
    <t>CEC0566</t>
  </si>
  <si>
    <t>EQUIPO DE AIRE ACONDICIONADO 1 .5 TONELADAS</t>
  </si>
  <si>
    <t>CEC0567</t>
  </si>
  <si>
    <t>PROYECTOR EPSON LCD MODELO H436A</t>
  </si>
  <si>
    <t>CEC0571</t>
  </si>
  <si>
    <t>MODULO DE ESTANTERÍA METALICO</t>
  </si>
  <si>
    <t>CEC0572</t>
  </si>
  <si>
    <t>CEC0575</t>
  </si>
  <si>
    <t>CEC0576</t>
  </si>
  <si>
    <t>SERVIDOR</t>
  </si>
  <si>
    <t>CEC0577</t>
  </si>
  <si>
    <t>EQUIPO DE REFRIGERACIÓN MINISPLIT 2 TONELADAS</t>
  </si>
  <si>
    <t>CEC0580</t>
  </si>
  <si>
    <t>EQUIPO DE REFRIGERACIÓN MINISPLIT 1 TONELADAS</t>
  </si>
  <si>
    <t>CEC0582</t>
  </si>
  <si>
    <t>CEC0583</t>
  </si>
  <si>
    <t>CEC0584</t>
  </si>
  <si>
    <t>CEC0585</t>
  </si>
  <si>
    <t>EQUIPO DE REFRIGERACIÓN MINISPLIT 1 .5 TONELADAS</t>
  </si>
  <si>
    <t>CEC0586</t>
  </si>
  <si>
    <t>CEC0587</t>
  </si>
  <si>
    <t>CEC0588</t>
  </si>
  <si>
    <t>MAQUINA DE ESCRIBIR</t>
  </si>
  <si>
    <t>CEC0589</t>
  </si>
  <si>
    <t xml:space="preserve">EQUIPO HIDRONEUMATICO CON BOMBA DE 3/4 </t>
  </si>
  <si>
    <t>CEC0590</t>
  </si>
  <si>
    <t>CEC0591</t>
  </si>
  <si>
    <t>CEC0592</t>
  </si>
  <si>
    <t>CEC0593</t>
  </si>
  <si>
    <t>CEC0599</t>
  </si>
  <si>
    <t xml:space="preserve">MESA DE 1.2 DE DIAMETRO </t>
  </si>
  <si>
    <t>CEC0602</t>
  </si>
  <si>
    <t>EQUIPO DE REFRIGERACIÓN CENTRAL</t>
  </si>
  <si>
    <t>CEC0617</t>
  </si>
  <si>
    <t>EQUIPO DE REFRIGERACIÓN 4 TONELADAS</t>
  </si>
  <si>
    <t>CEC0620</t>
  </si>
  <si>
    <t>EQUIPO DE REFRIGERACIÓN 3 TONELADAS</t>
  </si>
  <si>
    <t>CEC0622</t>
  </si>
  <si>
    <t>CONCENTRADOR 16 PUERTOS</t>
  </si>
  <si>
    <t>CEC0625</t>
  </si>
  <si>
    <t>COMPUTADORA PORTATIL IDEAPAD LENOVO G480</t>
  </si>
  <si>
    <t>CEC0626</t>
  </si>
  <si>
    <t>CEC0627</t>
  </si>
  <si>
    <t>PROYECTOR PORTABLE INFOCUS MODELO IN112</t>
  </si>
  <si>
    <t>CEC0628</t>
  </si>
  <si>
    <t>CEC0629</t>
  </si>
  <si>
    <t>COMPUTADORA PORTATIL LAPTOP ASUS, QUEMADOR CD/DVD</t>
  </si>
  <si>
    <t>CEC0630</t>
  </si>
  <si>
    <t>ESCANER MOVIL PERSONAL CANON P215</t>
  </si>
  <si>
    <t>CEC0631</t>
  </si>
  <si>
    <t>MUEBLE PARA ARCHIVO DE CARPETAS, MELANINA NEGRO CAOBA</t>
  </si>
  <si>
    <t>CEC0632</t>
  </si>
  <si>
    <t>COMPUTADORA ARMADA GENÉRICA DE TORRE</t>
  </si>
  <si>
    <t>CEC0633</t>
  </si>
  <si>
    <t>CEC0634</t>
  </si>
  <si>
    <t>CEC0638</t>
  </si>
  <si>
    <t>PROYECTOR PORTATIL POWER LITE COLOR NEGRO</t>
  </si>
  <si>
    <t>CEC0639</t>
  </si>
  <si>
    <t>CEC0640</t>
  </si>
  <si>
    <t>COMPUTADORA CPU GENÉRICA CON DVD LG</t>
  </si>
  <si>
    <t>CEC0642</t>
  </si>
  <si>
    <t>IMPRESORA HP LASERJET MULTIFUNCIONAL M132</t>
  </si>
  <si>
    <t>CEC0643</t>
  </si>
  <si>
    <t>CEC0644</t>
  </si>
  <si>
    <t>IMPRESORA OFFICEJET 8100</t>
  </si>
  <si>
    <t>CEC0645</t>
  </si>
  <si>
    <t>CÁMARA FOTOGRÁFICA  DIGITAL SONY CYBERSHOT W70/16.1 MP/VIDEO</t>
  </si>
  <si>
    <t>CEC0646</t>
  </si>
  <si>
    <t>CEC0647</t>
  </si>
  <si>
    <t>CEC0648</t>
  </si>
  <si>
    <t>CEC0649</t>
  </si>
  <si>
    <t>PANTALLA DE PROYECCIÓN PORTATIL MODELO S14</t>
  </si>
  <si>
    <t>CEC0650</t>
  </si>
  <si>
    <t>EQUIPO DE SONIDO C/ BOCINA, PEDESTAL Y MICROFONO MODELO SBX1519BT</t>
  </si>
  <si>
    <t>CEC0651</t>
  </si>
  <si>
    <t>300 SILLAS DE LÁMINA</t>
  </si>
  <si>
    <t>CEC0652</t>
  </si>
  <si>
    <t>CALEFACTOR ELÉCTRICO</t>
  </si>
  <si>
    <t>CEC0653</t>
  </si>
  <si>
    <t>CEC0655</t>
  </si>
  <si>
    <t>MULTIFUNCIONAL OFFICEJET PRO 8600</t>
  </si>
  <si>
    <t>CEC0656</t>
  </si>
  <si>
    <t>CEC0657</t>
  </si>
  <si>
    <t>COMPUTADORA CORE I5 DE 3.2 GHZ 8 GB RAM, DISCO DE 1T</t>
  </si>
  <si>
    <t>CEC0658</t>
  </si>
  <si>
    <t>CEC0659</t>
  </si>
  <si>
    <t>CEC0660</t>
  </si>
  <si>
    <t>CEC0661</t>
  </si>
  <si>
    <t>COMPUTADORA CORE I3 DE 3.3 GHZ 4 GB RAM, DISCO DE 500 GB</t>
  </si>
  <si>
    <t>CEC0662</t>
  </si>
  <si>
    <t>CEC0663</t>
  </si>
  <si>
    <t>CEC0665</t>
  </si>
  <si>
    <t>ESCANER CANON DR-6010C VELOCIDAD DE 60 Y 120 PPM</t>
  </si>
  <si>
    <t>CEC0669</t>
  </si>
  <si>
    <t>FLASH CANON PARA CÁMARA SPEEDLITE 270</t>
  </si>
  <si>
    <t>PENAS, MULTAS, ACCESORIOS Y ACTUALIZACIONES</t>
  </si>
  <si>
    <t>INDIRECTOS PARA OBRAS EN DIVISIÓN DE TERRENOS</t>
  </si>
  <si>
    <t>OBRAS DE GESTION SOCIAL EMERGENTE</t>
  </si>
  <si>
    <t>ETCA-IV-17</t>
  </si>
  <si>
    <t xml:space="preserve">                Relación de esquemas bursátiles y de coberturas financieras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</si>
  <si>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</si>
  <si>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</si>
  <si>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</si>
  <si>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</si>
  <si>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</si>
  <si>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</si>
  <si>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</si>
  <si>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</si>
  <si>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</si>
  <si>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CEC0670</t>
  </si>
  <si>
    <t>ESCANER CANON DR-M160 II</t>
  </si>
  <si>
    <t>CEC0671</t>
  </si>
  <si>
    <r>
      <rPr>
        <b/>
        <vertAlign val="superscript"/>
        <sz val="8"/>
        <color theme="1"/>
        <rFont val="Arial"/>
        <family val="2"/>
      </rPr>
      <t>1</t>
    </r>
    <r>
      <rPr>
        <b/>
        <sz val="8"/>
        <color theme="1"/>
        <rFont val="Arial"/>
        <family val="2"/>
      </rPr>
      <t xml:space="preserve"> </t>
    </r>
    <r>
      <rPr>
        <sz val="8"/>
        <color theme="1"/>
        <rFont val="Arial"/>
        <family val="2"/>
      </rPr>
      <t>No se incluyen: Utilidades e Intereses. Por regla de presentación se revelan como Ingresos Financieros.</t>
    </r>
  </si>
  <si>
    <r>
      <t>Productos de Tipo Corriente</t>
    </r>
    <r>
      <rPr>
        <b/>
        <vertAlign val="superscript"/>
        <sz val="8"/>
        <color theme="1"/>
        <rFont val="Arial"/>
        <family val="2"/>
      </rPr>
      <t>1</t>
    </r>
  </si>
  <si>
    <t>Ingresos Devengado Anual</t>
  </si>
  <si>
    <t>Ingresos Recaudado    Anual</t>
  </si>
  <si>
    <t>Ingresos Devengado Trimestral</t>
  </si>
  <si>
    <t>Ingresos Recaudado    Trimestral</t>
  </si>
  <si>
    <t>(6)</t>
  </si>
  <si>
    <t>(7)</t>
  </si>
  <si>
    <t>(8= 5 - 1 )</t>
  </si>
  <si>
    <t>(9= 5/1)</t>
  </si>
  <si>
    <r>
      <t xml:space="preserve">Ingresos Excedentes </t>
    </r>
    <r>
      <rPr>
        <b/>
        <sz val="8"/>
        <color theme="1"/>
        <rFont val="Arial Black"/>
        <family val="2"/>
      </rPr>
      <t>1</t>
    </r>
  </si>
  <si>
    <t>Egresos Devengado     Anual</t>
  </si>
  <si>
    <t>Egresos Pagado     Anual</t>
  </si>
  <si>
    <t>Egresos Devengado Trimestral</t>
  </si>
  <si>
    <t>Egresos Pagado  Trimestral</t>
  </si>
  <si>
    <t>( 8 = 3 - 4 )</t>
  </si>
  <si>
    <t>(9= 4/3)</t>
  </si>
  <si>
    <t>CONSEO ESTATAL DE CONCERTACION PARA LA OBRA PUBLICA</t>
  </si>
  <si>
    <t xml:space="preserve"> al 30 de Septiembre de 2015</t>
  </si>
  <si>
    <t>INFORME SOBRE PASIVOS CONTINGENTES: Existe actualmente tres demandas laboral con numeros de expedientes  334/12/2 y 843/2013 aún no concluidas de acuerdo con lo que acontezca, desaparecen o se convierten en pasivos reales por ejemplo, juicios, garantías, avales, costos de planes de pensiones, jubilaciones, etc.</t>
  </si>
  <si>
    <t>LICITACIONES, CONVENIOS Y CONVOCATORIAS</t>
  </si>
  <si>
    <t>EQUIPO DE ADMINISTRACION</t>
  </si>
  <si>
    <t xml:space="preserve">CONSTRUCCION Y REHABILITACION </t>
  </si>
  <si>
    <t xml:space="preserve">Clasificación Económica (por Tipo de Gasto) </t>
  </si>
  <si>
    <t>Matrices de Conversión</t>
  </si>
  <si>
    <t>A.1 Matriz Devengado de Gastos</t>
  </si>
  <si>
    <t>COG</t>
  </si>
  <si>
    <t>Nombre del COG</t>
  </si>
  <si>
    <t>Tipo de Gasto</t>
  </si>
  <si>
    <t>Características</t>
  </si>
  <si>
    <t xml:space="preserve">C u e n t a s    C o n t a b l e s </t>
  </si>
  <si>
    <t>Cargo</t>
  </si>
  <si>
    <t>Cuenta Cargo</t>
  </si>
  <si>
    <t>Abono</t>
  </si>
  <si>
    <t>Cuenta Abono</t>
  </si>
  <si>
    <t>Pensiones</t>
  </si>
  <si>
    <t>5.2.5.1</t>
  </si>
  <si>
    <t>2.1.1.5</t>
  </si>
  <si>
    <t>Transferencias Otorgadas por Pagar a Corto Plazo</t>
  </si>
  <si>
    <t>Jubilaciones</t>
  </si>
  <si>
    <t>5.2.5.2</t>
  </si>
  <si>
    <t>Otras Pensiones y Jubilaciones</t>
  </si>
  <si>
    <t>5.2.5.9</t>
  </si>
  <si>
    <t>…</t>
  </si>
  <si>
    <t>Transferencias por Obligaciones de Ley</t>
  </si>
  <si>
    <t>5.2.7.1</t>
  </si>
  <si>
    <t>Fondo general de participaciones</t>
  </si>
  <si>
    <t>5.3.1.1</t>
  </si>
  <si>
    <t>Participaciones de la Federación a Entidades Federativas y Municipios</t>
  </si>
  <si>
    <t>2.1.1.4</t>
  </si>
  <si>
    <t>Participaciones y Aportaciones  por Pagar a CP</t>
  </si>
  <si>
    <t>Fondo de fomento municipal</t>
  </si>
  <si>
    <t>Participaciones de las Entidades Federativas a los Municipios</t>
  </si>
  <si>
    <t>5.3.1.2</t>
  </si>
  <si>
    <t>Otros conceptos participables de la Federación a Entidades Federativas</t>
  </si>
  <si>
    <t>Otros conceptos participables de la Federación a Municipios</t>
  </si>
  <si>
    <t>Convenios de Colaboración Administrativa</t>
  </si>
  <si>
    <t>A.2 Matriz Pagado de Gastos</t>
  </si>
  <si>
    <t>Medio de Pago</t>
  </si>
  <si>
    <t>Banco Moned. Nac.</t>
  </si>
  <si>
    <t>1.1.1.2</t>
  </si>
  <si>
    <t>Bancos/Tesoreria</t>
  </si>
  <si>
    <t>Banco Moned. Extr.</t>
  </si>
  <si>
    <t>Transferencias por Obligacion de Ley</t>
  </si>
  <si>
    <t>Fondo general de Participaciones</t>
  </si>
  <si>
    <t>Participaciones y Aportaciones por Pagar a CP</t>
  </si>
  <si>
    <t>Fondo de fomento Municipal</t>
  </si>
  <si>
    <t>Participaciones de  las entidades federativas a los municipios</t>
  </si>
  <si>
    <t>Otros conceptos participables de la Federación a entidades federativas</t>
  </si>
  <si>
    <t>Otros conceptos participables de la Federación a municipios</t>
  </si>
  <si>
    <t>del 1 de Julio al 30 de Septiembre de 2015</t>
  </si>
  <si>
    <t>CONSTRUCCION DE CERCO PERIMETRAL Y PINTURA GENERAL EN ESCUELA PRIMARIA JUSTO SIERRA</t>
  </si>
  <si>
    <t>MONTO EROGADO ESTATAL</t>
  </si>
  <si>
    <t>MONTO EROGADO FEDERAL</t>
  </si>
  <si>
    <t>LINEA DE ACCION</t>
  </si>
  <si>
    <t>ESTATAL</t>
  </si>
  <si>
    <t>FEDERAL</t>
  </si>
  <si>
    <t>JUNTAS DE PARTICIPACION SOCIAL PARA EL DESARROLLO REGIONAL</t>
  </si>
  <si>
    <t>PROYECTOS DE DESARROLLO REGIONAL</t>
  </si>
  <si>
    <t>INFRAESTRUCTURA DEPORTIVA</t>
  </si>
  <si>
    <t>CONCERTACIÓN DE OBRA PÚBLICA EN EL MUNICIPIO DE ACONCHI SONORA</t>
  </si>
  <si>
    <t>CONCERTACIÓN DE OBRA PÚBLICA EN EL MUNICIPIO DE AGUA PRIETA 
SONORA</t>
  </si>
  <si>
    <t>CONCERTACIÓN DE OBRA PÚBLICA EN EL MUNICIPIO DE ÁLAMOS SONORA</t>
  </si>
  <si>
    <t>CONCERTACIÓN DE OBRA PÚBLICA EN EL MUNICIPIO DE ALTAR SONORA</t>
  </si>
  <si>
    <t>CONCERTACIÓN DE OBRA PÚBLICA EN EL MUNICIPIO DE ARIVECHI SONORA</t>
  </si>
  <si>
    <t>CONCERTACIÓN DE OBRA PÚBLICA EN EL MUNICIPIO DE ARIZPE SONORA</t>
  </si>
  <si>
    <t>CONCERTACIÓN DE OBRA PÚBLICA EN EL MUNICIPIO DE ATIL SONORA</t>
  </si>
  <si>
    <t>CONCERTACIÓN DE OBRA PÚBLICA EN EL MUNICIPIO DE BACADÉHUACHI 
SONORA</t>
  </si>
  <si>
    <t>CONCERTACIÓN DE OBRA PÚBLICA EN EL MUNICIPIO DE BACANORA SONORA</t>
  </si>
  <si>
    <t>CONCERTACIÓN DE OBRA PÚBLICA EN EL MUNICIPIO DE BACERAC SONORA</t>
  </si>
  <si>
    <t>CONCERTACIÓN DE OBRA PÚBLICA EN EL MUNICIPIO DE BACOACHI SONORA</t>
  </si>
  <si>
    <t>CONCERTACIÓN DE OBRA PÚBLICA EN EL MUNICIPIO DE BÁCUM SONORA</t>
  </si>
  <si>
    <t>CONCERTACIÓN DE OBRA PÚBLICA EN EL MUNICIPIO DE BANÁMICHI SONORA</t>
  </si>
  <si>
    <t>CONCERTACIÓN DE OBRA PÚBLICA EN EL MUNICIPIO DE BAVIÁCORA SONORA</t>
  </si>
  <si>
    <t>CONCERTACIÓN DE OBRA PÚBLICA EN EL MUNICIPIO DE BAVISPE SONORA</t>
  </si>
  <si>
    <t>CONCERTACIÓN DE OBRA PÚBLICA EN EL MUNICIPIO DE BENJAMÍN HILL 
SONORA</t>
  </si>
  <si>
    <t>CONCERTACIÓN DE OBRA PÚBLICA EN EL MUNICIPIO DE CABORCA SONORA</t>
  </si>
  <si>
    <t>CONCERTACIÓN DE OBRA PÚBLICA EN EL MUNICIPIO DE CAJEME SONORA</t>
  </si>
  <si>
    <t>CONCERTACIÓN DE OBRA PÚBLICA EN EL MUNICIPIO DE CANANEA SONORA</t>
  </si>
  <si>
    <t>CONCERTACIÓN DE OBRA PÚBLICA EN EL MUNICIPIO DE CARBÓ SONORA</t>
  </si>
  <si>
    <t>CONCERTACIÓN DE OBRA PÚBLICA EN EL MUNICIPIO DE LA COLORADA 
SONORA</t>
  </si>
  <si>
    <t>CONCERTACIÓN DE OBRA PÚBLICA EN EL MUNICIPIO DE CUCURPE SONORA</t>
  </si>
  <si>
    <t>CONCERTACIÓN DE OBRA PÚBLICA EN EL MUNICIPIO DE CUMPAS SONORA</t>
  </si>
  <si>
    <t>CONCERTACIÓN DE OBRA PÚBLICA EN EL MUNICIPIO DE DIVISADEROS 
SONORA</t>
  </si>
  <si>
    <t>CONCERTACIÓN DE OBRA PÚBLICA EN EL MUNICIPIO DE EMPALME SONORA</t>
  </si>
  <si>
    <t>CONCERTACIÓN DE OBRA PÚBLICA EN EL MUNICIPIO DE ETCHOJOA SONORA</t>
  </si>
  <si>
    <t>CONCERTACIÓN DE OBRA PÚBLICA EN EL MUNICIPIO DE FRONTERAS SONORA</t>
  </si>
  <si>
    <t>CONCERTACIÓN DE OBRA PÚBLICA EN EL MUNICIPIO DE GRANADOS SONORA</t>
  </si>
  <si>
    <t>CONCERTACIÓN DE OBRA PÚBLICA EN EL MUNICIPIO DE GUAYMAS SONORA</t>
  </si>
  <si>
    <t>CONCERTACIÓN DE OBRA PÚBLICA EN EL MUNICIPIO DE HERMOSILLO SONORA</t>
  </si>
  <si>
    <t>CONCERTACIÓN DE OBRA PÚBLICA EN EL MUNICIPIO DE HUACHINERA SONORA</t>
  </si>
  <si>
    <t>CONCERTACIÓN DE OBRA PÚBLICA EN EL MUNICIPIO DE HUÁSABAS SONORA</t>
  </si>
  <si>
    <t>CONCERTACIÓN DE OBRA PÚBLICA EN EL MUNICIPIO DE HUATABAMPO SONORA</t>
  </si>
  <si>
    <t>CONCERTACIÓN DE OBRA PÚBLICA EN EL MUNICIPIO DE HUÉPAC SONORA</t>
  </si>
  <si>
    <t>CONCERTACIÓN DE OBRA PÚBLICA EN EL MUNICIPIO DE IMURIS SONORA</t>
  </si>
  <si>
    <t>CONCERTACIÓN DE OBRA PÚBLICA EN EL MUNICIPIO DE MAGDALENA SONORA</t>
  </si>
  <si>
    <t>CONCERTACIÓN DE OBRA PÚBLICA EN EL MUNICIPIO DE MAZATÁN SONORA</t>
  </si>
  <si>
    <t>CONCERTACIÓN DE OBRA PÚBLICA EN EL MUNICIPIO DE MOCTEZUMA SONORA</t>
  </si>
  <si>
    <t>CONCERTACIÓN DE OBRA PÚBLICA EN EL MUNICIPIO DE NACO SONORA</t>
  </si>
  <si>
    <t>CONCERTACIÓN DE OBRA PÚBLICA EN EL MUNICIPIO DE NÁCORI CHICO 
SONORA</t>
  </si>
  <si>
    <t>CONCERTACIÓN DE OBRA PÚBLICA EN EL MUNICIPIO DE NACOZARI DE 
GARCÍA SONORA</t>
  </si>
  <si>
    <t>CONCERTACIÓN DE OBRA PÚBLICA EN EL MUNICIPIO DE NAVOJOA SONORA</t>
  </si>
  <si>
    <t>CONCERTACIÓN DE OBRA PÚBLICA EN EL MUNICIPIO DE NOGALES SONORA</t>
  </si>
  <si>
    <t>CONCERTACIÓN DE OBRA PÚBLICA EN EL MUNICIPIO DE ONAVAS SONORA</t>
  </si>
  <si>
    <t>CONCERTACIÓN DE OBRA PÚBLICA EN EL MUNICIPIO DE OPODEPE SONORA</t>
  </si>
  <si>
    <t>CONCERTACIÓN DE OBRA PÚBLICA EN EL MUNICIPIO DE OQUITOA SONORA</t>
  </si>
  <si>
    <t>CONCERTACIÓN DE OBRA PÚBLICA EN EL MUNICIPIO DE PITIQUITO SONORA</t>
  </si>
  <si>
    <t>CONCERTACIÓN DE OBRA PÚBLICA EN EL MUNICIPIO DE PUERTO PEÑASCO 
SONORA</t>
  </si>
  <si>
    <t>CONCERTACIÓN DE OBRA PÚBLICA EN EL MUNICIPIO DE QUIRIEGO SONORA</t>
  </si>
  <si>
    <t>CONCERTACIÓN DE OBRA PÚBLICA EN EL MUNICIPIO DE RAYÓN SONORA</t>
  </si>
  <si>
    <t>CONCERTACIÓN DE OBRA PÚBLICA EN EL MUNICIPIO DE ROSARIO SONORA</t>
  </si>
  <si>
    <t>CONCERTACIÓN DE OBRA PÚBLICA EN EL MUNICIPIO DE SAHUARIPA SONORA</t>
  </si>
  <si>
    <t>CONCERTACIÓN DE OBRA PÚBLICA EN EL MUNICIPIO DE SAN FELIPE DE 
JESÚS SONORA</t>
  </si>
  <si>
    <t>CONCERTACIÓN DE OBRA PÚBLICA EN EL MUNICIPIO DE SAN JAVIER SONORA</t>
  </si>
  <si>
    <t>CONCERTACIÓN DE OBRA PÚBLICA EN EL MUNICIPIO DE SAN LUIS RÍO 
COLORADO SONORA</t>
  </si>
  <si>
    <t>CONCERTACIÓN DE OBRA PÚBLICA EN EL MUNICIPIO DE SAN MIGUEL DE 
HORCASITASSONORA</t>
  </si>
  <si>
    <t>CONCERTACIÓN DE OBRA PÚBLICA EN EL MUNICIPIO DE SAN PEDRO DE LA 
CUEVA SONORA</t>
  </si>
  <si>
    <t>CONCERTACIÓN DE OBRA PÚBLICA EN EL MUNICIPIO DE SANTA ANA SONORA</t>
  </si>
  <si>
    <t>CONCERTACIÓN DE OBRA PÚBLICA EN EL MUNICIPIO DE SANTA CRUZ SONORA</t>
  </si>
  <si>
    <t>CONCERTACIÓN DE OBRA PÚBLICA EN EL MUNICIPIO DE SÁRIC SONORA</t>
  </si>
  <si>
    <t>CONCERTACIÓN DE OBRA PÚBLICA EN EL MUNICIPIO DE SOYOPA SONORA</t>
  </si>
  <si>
    <t>CONCERTACIÓN DE OBRA PÚBLICA EN EL MUNICIPIO DE SUAQUI GRANDE 
SONORA</t>
  </si>
  <si>
    <t>CONCERTACIÓN DE OBRA PÚBLICA EN EL MUNICIPIO DE TEPACHE SONORA</t>
  </si>
  <si>
    <t>CONCERTACIÓN DE OBRA PÚBLICA EN EL MUNICIPIO DE TRINCHERAS SONORA</t>
  </si>
  <si>
    <t>CONCERTACIÓN DE OBRA PÚBLICA EN EL MUNICIPIO DE TUBUTAMA SONORA</t>
  </si>
  <si>
    <t>CONCERTACIÓN DE OBRA PÚBLICA EN EL MUNICIPIO DE URES SONORA</t>
  </si>
  <si>
    <t>CONCERTACIÓN DE OBRA PÚBLICA EN EL MUNICIPIO DE VILLA HIDALGO 
SONORA</t>
  </si>
  <si>
    <t>CONCERTACIÓN DE OBRA PÚBLICA EN EL MUNICIPIO DE VILLA PESQUEIRA 
SONORA</t>
  </si>
  <si>
    <t>CONCERTACIÓN DE OBRA PÚBLICA EN EL MUNICIPIO DE YÉCORA SONORA</t>
  </si>
  <si>
    <t>CONCERTACIÓN DE OBRA PÚBLICA EN EL MUNICIPIO GENERAL PLUTARCO 
ELÍAS CALLES SONORA</t>
  </si>
  <si>
    <t>CONCERTACIÓN DE OBRA PÚBLICA EN EL MUNICIPIO DE BENITO JUÁREZ 
SONORA</t>
  </si>
  <si>
    <t>CONCERTACIÓN DE OBRA PÚBLICA EN EL MUNICIPIO DE SAN IGNACIO RÍO 
MUERTO SONORA</t>
  </si>
  <si>
    <t>CONCERTACION DE OBRA PUBLICA PARA LA EJECUCION DE OBRA 2015 EN 
LOS
MUNICIPIOS DEL ESTADO</t>
  </si>
  <si>
    <t xml:space="preserve">REHABILITACION DE "CENTRO DE ATENCION A LA MUJER"
</t>
  </si>
  <si>
    <t xml:space="preserve">REMODELACION DE LA PLAZA PUBLICA EN LA COMUNIDAD DE LA MORA
</t>
  </si>
  <si>
    <t xml:space="preserve">REMODELACION DE PLAZA PUBLICA BENITO JUAREZ, CUMPAS SONORA
</t>
  </si>
  <si>
    <t xml:space="preserve">CONSTRUCCION DE PLAZA EN CENTRO DE SERVICIOS MUNICIPALES DEL 
VALLE EN EL
POBLADO MORELOS "LA ATRAVEZADA"
</t>
  </si>
  <si>
    <t>NC2-749 REHABILITACION DE PARQUE UBICADO EN PASEO DEL PEDREGAL Y 
PASEO
BASALTO FINAL COLONIA PASEO DEL PEDREGAL, HERMOSILLO</t>
  </si>
  <si>
    <t xml:space="preserve">CONSTRUCCION DE AREA RECREATIVA EN COLONIA "LOS PRESIDENTES"
</t>
  </si>
  <si>
    <t xml:space="preserve">CANCHA DE FUTBOL RAPIDO EN SANTA ANA
</t>
  </si>
  <si>
    <t>CONSTRUCCION DE PARQUE ALAMEDA</t>
  </si>
  <si>
    <t xml:space="preserve">CONSTRUCCION DE PARQUE LINDA VISTA
</t>
  </si>
  <si>
    <t xml:space="preserve">CONSTRUCCION DE ESPACIO DEPORTIVO Y RECREATIVO PUBLICO EN ONAVAS
</t>
  </si>
  <si>
    <t xml:space="preserve">CONSTRUCCION DE CANCHA DE FUTBOL EN EL MUNICIPIO DE SUAQUI GRANDE
SONORA
</t>
  </si>
  <si>
    <t xml:space="preserve">CONSTRUCCION DE CANCHA DE FRONTON EN UNIDAD DEPORTIVA
</t>
  </si>
  <si>
    <t xml:space="preserve">CONSTRUCCION DE PARQUES Y ESPACIOS PUBLICOS DEPORTIVOS EN 
HERMOSILLO
</t>
  </si>
  <si>
    <t xml:space="preserve">REHABILITACION DE PLAZA PUBLICA DEPORTIVA DE PUERTO LIBERTAD
</t>
  </si>
  <si>
    <t xml:space="preserve">REHABILITACION DE ESPACIO DEPORTIVO PUBLICO EN BENJAMIN HILL, 
SONORA
</t>
  </si>
  <si>
    <t xml:space="preserve">REHABILITACION Y CONSTRUCCION DE TEJABAN EN GIMNASIO MUNICIPAL
</t>
  </si>
  <si>
    <t xml:space="preserve">SUMINISTRO E INSTALACION DE ALBERCAS Y JUEGOS INFANTILES EN EL 
PARQUE
RECREATIVO VADO DE TAHUICHOPA
</t>
  </si>
  <si>
    <t xml:space="preserve">PROGRAMA DE CONSTRUCCION, REHABILITACION, Y EQUIPAMIENTO DE _x000D_
ESPACIOS  DEPORTIVOS PUBLICOS EN HUEPAC, SONORA_x000D_
</t>
  </si>
  <si>
    <t xml:space="preserve">REHABILITACION DE ESPACIO DEPORTIVO PUBLICO EN EL MUNICIPIO DE
BACADEHUACHI SONORA
</t>
  </si>
  <si>
    <t xml:space="preserve">REHABILITACION DE PARQUE MORELOS EN LA LOCALIDAD DE VILLA HIDALGO
</t>
  </si>
  <si>
    <t xml:space="preserve">REHABILITACION DE PARQUES Y ESPACIOS PUBLICOS DEPORTIVOS EN 
HERMOSILLO
</t>
  </si>
  <si>
    <t xml:space="preserve">REHABILITACION DE LA UNIDAD DEPORTIVA DE BACANORA, SONORA
</t>
  </si>
  <si>
    <t xml:space="preserve">REHABILITACION DE LA UNIDAD DEPORTIVA MAQUIO CLOUTIER
</t>
  </si>
  <si>
    <t xml:space="preserve">AMPLIACION Y REHABILITACION DE PARQUES Y ESPACIOS PUBLICOS 
DEPORTIVOS EN HERMOSILLO
</t>
  </si>
  <si>
    <t>REHABILITACION DEL CENTRO CULTURAL DEL GOLFO DE SANTA CLARA</t>
  </si>
  <si>
    <t xml:space="preserve">CONSTRUCCION DE TEJABAN EN ESCUELA LAZARO CARDENAS DEL RIO, EN 
SANTA
MATILDE
</t>
  </si>
  <si>
    <t>CONSTRUCCION DE RELLENO SANITARIO</t>
  </si>
  <si>
    <t>REHABILITACION DE PARQUE EN FRACCIONAMIENTO OBISPOS II</t>
  </si>
  <si>
    <t>CONSTRUCCION DE ENTRADA EN BACADEHUACHI</t>
  </si>
  <si>
    <t>REHABILITACION DE GANADERA EN SAN IGNACIO RIO MUERTO</t>
  </si>
  <si>
    <t>CONSTRUCCION DE ARENA DE RODEO</t>
  </si>
  <si>
    <t>REHABILITACION  DE ACCESO A IGLESIA SAN JOSE</t>
  </si>
  <si>
    <t>REHABILITACION DE TEJABAN EN ESCUELA SECUNDARIA TECNICA N° 1 (PREVO)</t>
  </si>
  <si>
    <t>CONSTRUCCION DE TEJABAN EN CAMPO DE TIRO AL BLANCO SEGUNDA ETAPA</t>
  </si>
  <si>
    <t>REHABILITACION DE CASA CURAL</t>
  </si>
  <si>
    <t>REHABILITACION DE IGLESIA TEMPLO SAN AGUSTIN</t>
  </si>
  <si>
    <t>COSNTRUCCION DE OFICINA EN ASOCIACION CIVIL MUJER CONTIGO MC</t>
  </si>
  <si>
    <t>REHABILITACION DE RASTRO MUNICIPAL</t>
  </si>
  <si>
    <t>REHABILITACION DE SEPTIMA IGLESIA APOSTOLICA DE LA FE EN CRISTO JESUS A.R.</t>
  </si>
  <si>
    <t>SUMINISTRO Y COLOCACION DE CONCRETO HIDRAULICO EN AVENIDA D Y SUMINISTRO Y COLOCACION DE CONCRETO HIDRAULICO Y DRENAJE EN AVENIDA C ENTRE ABELARDO L. RODRIGUEZ Y CRISOFORO DURAZO</t>
  </si>
  <si>
    <t>PAVIMENTACION DE LA CALLE TUXTLA GUTIERREZ</t>
  </si>
  <si>
    <t>PAVIMENTACION CON CARPETA ASFALTICA EN CALLE HEROES DE CABORCA</t>
  </si>
  <si>
    <t>CONSTRUCCION DE TECHUMBRE EN GANADERA LOCAL</t>
  </si>
  <si>
    <t>REHABILITACION DE BAÑOS EN ESCUELA SECUNDARIA PROFR. MARIO BARCELO ABRIL</t>
  </si>
  <si>
    <t>CONSTRUCCION DE TEJABAN EN ESCUELA PRIMARIA GILBERTO R. LIMON</t>
  </si>
  <si>
    <t>REHABILITACION DE GANADERA</t>
  </si>
  <si>
    <t>REMODELACION DE ASOCIACION GANADERA LOCAL</t>
  </si>
  <si>
    <t>CONSTRUCCION DE PUENTE PEATONAL</t>
  </si>
  <si>
    <t>REMODELACION DE ASOCIACION GANADERA</t>
  </si>
  <si>
    <t>REMODELACION DE ASOCIACION GANADERA DE VILLA HIDALGO</t>
  </si>
  <si>
    <t>REMODELACION DE ASOCIACION GANADERA DE HUASABAS</t>
  </si>
  <si>
    <t>REMODELACION DE ASOCIACION GANADERA DE LA LOMA DE GUAMUCHI</t>
  </si>
  <si>
    <t>REMODELACION DE ASOCIACION GANADERA LOCAL GENERAL NACIMIENTO DEL ARROYO DEL COCORAQUE</t>
  </si>
  <si>
    <t>REMODELACION DE ASOCIACION GANADERA LOCAL GENERAL DE TESOPACO</t>
  </si>
  <si>
    <t>REMODELACION DE ASOCIACION GANADERA LOCAL GENERAL INDIGENA GANADERA A.G.</t>
  </si>
  <si>
    <t>REMODELACION DE ASOCIACION GANADERA LOCAL GENERAL EN ALAMOS</t>
  </si>
  <si>
    <t>REMODELACION DE ASOCIACION GANADERA LOCAL GENERAL DE SOYOPA</t>
  </si>
  <si>
    <t>REMODELACION DE ASOCIACION GANADERA LOCAL GENERAL  DE BAVISPE</t>
  </si>
  <si>
    <t>CONSTRUCCION DE CASETA DE CONCTROL</t>
  </si>
  <si>
    <t>REMODELACION DE DISPENSARIO</t>
  </si>
  <si>
    <t>REHABILITACION DE IGLESIA PADRE NUESTRO</t>
  </si>
  <si>
    <t>ADECUACION DE EDIFICIO PARA CASA HOGAR</t>
  </si>
  <si>
    <t>REHABILITACION DE TEMPLO SAN ISIDRO LABRADOR</t>
  </si>
  <si>
    <t>PAVIMENTACION EN CALLE FRANCISCO JAVIER MINA</t>
  </si>
  <si>
    <t>PAVIMENTACION EN CALLE CONCENTRADORA</t>
  </si>
  <si>
    <t>PAVIMENTACION EN CALLE SIN NOMBRE</t>
  </si>
  <si>
    <t>CONSTRUCCION DE BADO EN CUESTA BELTRONES</t>
  </si>
  <si>
    <t>REHABILITACION DE CANCHA DEPORTIVA LOMAS DE NACOZARI</t>
  </si>
  <si>
    <t>CONSTRUCCION DE GUARNICIONES EN CALLE CONCENTRADORA</t>
  </si>
  <si>
    <t>GUARNICIONES Y BANQUETAS EN CALLE SIN NOMBRE</t>
  </si>
  <si>
    <t>CONSTRUCCION DE ESCALONES EN ACCESO A COLONIA PRESIDENTES</t>
  </si>
  <si>
    <t>AMPLIACION DE LA RED DE DRENAJE EN COLONIA TRES ALAMOS LA MILPITA</t>
  </si>
  <si>
    <t>REHABILITACION DE AREA DEPORTIVA DE LA LOCALIDAD DE COBACHI</t>
  </si>
  <si>
    <t>REHABILITACION DE AREA DEPORTIVA DE LA LOCALIDAD DE TECORIPA</t>
  </si>
  <si>
    <t>REHABILITACION DE CANCHA MULTIFUNCIONAL DE LA LOCALIDAD DE SAN JOSE DE PIMA</t>
  </si>
  <si>
    <t>REHABILITACION DE CANCHA MULTIFUNCIONAL DE LA LOCALIDAD DE ESTACION TORRES</t>
  </si>
  <si>
    <t>REHABILITACION DE PLAZA PUBLICA DE LA GALERA</t>
  </si>
  <si>
    <t>PAVIMENTACION DE CONCRETO HIDRAULICO EN CALLE LA TORRE</t>
  </si>
  <si>
    <t>PAVIMENTACION CON CONCRETO HIDRAULICO EN CALLE JESUS L. OJEDA FINAL NORTE</t>
  </si>
  <si>
    <t>PAVIMENTACION CONCRETO HIDRAULICO EN CALLE SIN NOMBRE</t>
  </si>
  <si>
    <t>SUMINISTRO E INSTALACION DE VITROPISO EN SALON DE EVENTOS CUTURALES Y SOCIALES ADIVINO</t>
  </si>
  <si>
    <t>REHABILITACION DE SALONES EN JARDIN DE NIÑOS LUIS DONALDO COLOSIO</t>
  </si>
  <si>
    <t>CONSTRUCCION DE BANQUETAS Y LUMINARIAS EN INGRESO A UNIDAD DEPORTIVA JOSE RAMON URIAS CELAYA</t>
  </si>
  <si>
    <t>CONSTRUCCION DE BANQUETAS EN AVENIDA OBREGON Y MADERO</t>
  </si>
  <si>
    <t>APLICACION DE PINTURA EN GUARNICIONES DE VARIAS CALLES Y REABILITACION DE KIOSKO</t>
  </si>
  <si>
    <t>PAVIMENTACION CON CONCRETO HIDRAULICO EN CALLEJON 5 DE MAYO</t>
  </si>
  <si>
    <t>PAVIMENTACION CON CONCRETO HIDRAULICO Y MURO DE CONTENCION EN CALLE PRINCIPAL EN SUBIDA A LA LOCALIDAD</t>
  </si>
  <si>
    <t>PAVIMENTACION CON CONCRETO HIDRAULICO EN CALLEJON UBALAMA</t>
  </si>
  <si>
    <t>CONSTRUCCION DE ENTRADA MONUMENTAL Y PAVIMENTO EN ENTRADA PRINCIPAL A LA ENTRADA DE EL ENCINAL</t>
  </si>
  <si>
    <t>CONSTRUCCION DE ENTRADA MONUMENTAL A LA ENTRADA PRINCIPAL DE LA LOCALIDAD DE GUAYCORA</t>
  </si>
  <si>
    <t>REMODELACION DE PLAZA MUNICIPAL BAVISPE</t>
  </si>
  <si>
    <t>CONSTRUCCION DE CERCO Y ACCESO PRINCIPAL EN PANTEON SAN MIGUELITO</t>
  </si>
  <si>
    <t>REMODELACION DE SALON DE USOS MULTIPLES</t>
  </si>
  <si>
    <t>PAVIMENTACION CON CONCRETO HIDRAULICO EN CALLE YUCATAN</t>
  </si>
  <si>
    <t>PAVIMENTACION CON CONCRETO HIDRAULICO EN AVENIDA MONTERREY</t>
  </si>
  <si>
    <t>AMPLIACION DE LA RED DE ALCANTARILLADO EN CALLE PUEBLA Y AVENIDA PROFESORA JULIA GALAZ</t>
  </si>
  <si>
    <t>PAVIMENTACION HIDRAULICA EN AVENIDA OCAMPO</t>
  </si>
  <si>
    <t>PAVIMENTACION HIDRAULICA EN CALLE SONRA</t>
  </si>
  <si>
    <t>REHABILITACION DE PINTURA EN MUROS DE PALACIO MUNICIPAL</t>
  </si>
  <si>
    <t>PAVIMENTACION DE CONCRETO HIDRAULICO EN CALLE ENTRADA NORTE AL POBLADO AL ENTRONQUE</t>
  </si>
  <si>
    <t>REPOSICION DE PAVIMENTO HIDRAULICO EN CALLE ALLENDE</t>
  </si>
  <si>
    <t>CONSTRUCCION DE GUARNICION Y BANQUETAS EN CALLE ALLENDE</t>
  </si>
  <si>
    <t>PAVIMENTACION CON CONCRETO HIDRAULICO EN CALLE ARROYO JALISCO</t>
  </si>
  <si>
    <t>REPOSICION DE PAVIMENTO HIDRAULICO EN AVENIDA E</t>
  </si>
  <si>
    <t>AMPLIACION DE ENERGIA ELECTRICA EN CALLE SIN NOMBRE FINAL</t>
  </si>
  <si>
    <t>REHABILITACION DE PINTURA EN MUROS DEL PALACIO MUNICIPAL</t>
  </si>
  <si>
    <t>REHABILITACION DE ESCUALA PRIMARIA GENERAL FRANCISCO CONTRERAS</t>
  </si>
  <si>
    <t>REVESTIMIENTO CON BALASTRE EN CALLE PRINCIPAL</t>
  </si>
  <si>
    <t>CONSTRUCCION DE TEJABAN EN ESCUELA TELESECUNDARIA N° 9</t>
  </si>
  <si>
    <t>REHABILITACION DE TECHO EN CAPILLA SAN FRANCISCO</t>
  </si>
  <si>
    <t>REHABILITACION DE CENTRO DE EDUCACION CRISTIANA (SEXTA IGLESIA APOSTOLICA DE LA FE EN CRISTO JESUS, DISTRITO DE HERMOSILLO A.R.)</t>
  </si>
  <si>
    <t>CONSTRUCCION DE ALBERGUE EN CENTRO DE INTEGRACION PARA ADICTOS Y ALCOHOLICOS EN RECUPERACION A.C.</t>
  </si>
  <si>
    <t>AMPLIACION DE RED DE ENERGIA ELECTRICA EN PREDIOS AGRICOLAS</t>
  </si>
  <si>
    <t>CONSTRUCCION DE PARQUE RECREATIVO</t>
  </si>
  <si>
    <t>CONSTRUCCION DE AULA DE MEDIOS EN UNIDAD DE SERVICIOS DE APOYO A LA EDUCACION REGULAR (USAER)</t>
  </si>
  <si>
    <t>REMODELACION DE EDIFICIO DE LA COMANDANCIA</t>
  </si>
  <si>
    <t>CONSTRUCCION DE UNIDAD DEPORTIVA LAS PEREDAS</t>
  </si>
  <si>
    <t>CONSTRUCCION DE UNIDAD DEPORTIVA EMILIANO ZAPATA</t>
  </si>
  <si>
    <t>CONSTRUCCION DE UNIDAD DEPORTIVA ARANDANOS</t>
  </si>
  <si>
    <t>CONSTRUCCION DE UNICAD DEPORTIVA VILLA LOURDES</t>
  </si>
  <si>
    <t>CONSTRUCCION DE UNIDAD DEPORTIVA EL JITO</t>
  </si>
  <si>
    <t>CONSTRUCCION DE UNIDAD DEPORTIVA JEREZ DEL VALLE</t>
  </si>
  <si>
    <t>CONSTRUCCION DE UNIDAD DEPORTIVA PALO VERDE</t>
  </si>
  <si>
    <t>CONSTRUCCION DE UNIDAD DEPORTIVA DUNAS, SEGUNDA ETAPA</t>
  </si>
  <si>
    <t>AMPLIACION DE PAVIMENTO CONCRETO HIDRAULICO EN CALLE GUERRERO</t>
  </si>
  <si>
    <t>AMPLIACION DE PAVIMENTO DE CONCRETO HIDRAULICO EN CALLE CORONA FINAL</t>
  </si>
  <si>
    <t>AMPLIACION DE PAVIMENTO DE CONCRETO HIDRAULICO EN CALLE PEDRO ARMANDO LUO LOPEZ</t>
  </si>
  <si>
    <t>CONSTRUCION DE PAVIMENTO DE CONCRETO HIDRAULICO EN LA CUESTA DE LA PILA</t>
  </si>
  <si>
    <t>CONSTRUCCION DE PAVIMENTO DE CONCRETO HIDRAULICO EN CALLE SIN NOMBRE A UN COSTADO DE LA PLAZA PUBLICA</t>
  </si>
  <si>
    <t xml:space="preserve">PAVIMENTACION HIDRAULICA EN CALLE GARCIA MORALES_x000D_
</t>
  </si>
  <si>
    <t>CONSTRUCCION DE TECHUMBRE EN CANCHA CIVICA EN ESCUELA PRIMARIA ABELARDO L. RODRIGUEZ</t>
  </si>
  <si>
    <t>CONSTRUCCION DE TECHUMBRE EN CANCHA DE USOS MULTIPLES</t>
  </si>
  <si>
    <t>REHABILITACION DE LINEA DE CONDUCCION DE AGUA POTABLE EN LA LOCALIDAD COLONIA CHINAPA</t>
  </si>
  <si>
    <t>REHABILITACION DE LA RED DE DRENAJE EN CALLE IGNACIO PESQUEIRA</t>
  </si>
  <si>
    <t>INSTRODUCCION DE AGUA POTABLE EN ESCUELA TELESECUNDARIA N° 148</t>
  </si>
  <si>
    <t>CONSTRUCCION DE FIRME DE CONCRETO EN ESCUELA PRIMARIA AQUILES SERDAN</t>
  </si>
  <si>
    <t>CONSTRUCCION DE GIMNACIO AL AIRE LIBRE EN UNIDAD DEPORTIVA</t>
  </si>
  <si>
    <t>CONSTRUCCION DE GIMNACIO AL AIRE LIBRE EN PLAZA PUBLICA</t>
  </si>
  <si>
    <t>LINEA ELECTRICA PARA ALIMENTAR POZO DE CALLE 700 SEGUNDA ETAPA</t>
  </si>
  <si>
    <t>REHABILITACION DE IGLESIA CATOLICA VIRGEN DE GUADALUPE</t>
  </si>
  <si>
    <t>AMPLIACION DE DRENAJE SANITARIO EN CALLE RAMON AGRAMON</t>
  </si>
  <si>
    <t>CONSTRUCCION DE PAVIMENTO CON CONCRETO EN CALLE AGUSTIN FIGUEROA FINAL SUR</t>
  </si>
  <si>
    <t>CONSTRUCCION DE PAVIMENTO DE CONCRETOEN AVENIDA CUAUHTEMOC Y CALLE AGUSTIN FIGUEROA</t>
  </si>
  <si>
    <t>CONSTRUCCION DE PAVIMENTO CON CONCRETO HIDRAULICO EN CALLE AGUSTIN FIGUEROA</t>
  </si>
  <si>
    <t>CONSTRUCCION DE PAVIMENTO DE CONCRETO EN CALLE CONSTITUCION</t>
  </si>
  <si>
    <t>CONSTRUCCION DE CASA CURAL Y REMODELACION DE CAMPANARIO EN PARROQUIA NUESTRA SEÑORA DE GUADALUPE</t>
  </si>
  <si>
    <t>CONSTRUCCION DE BANQUETAS EN CALLE CONSTITUCION CENTRO</t>
  </si>
  <si>
    <t>CONSTRUCCION DE TECHUMBRE EN CANCHA CIVICA DE JARDIN DE NIÑOS PIPILA</t>
  </si>
  <si>
    <t>CONSTRUCCION DE CANCHA DE USOS MULTIPLES EN LA LOCALIDAD DEL PAREDON COLORADO</t>
  </si>
  <si>
    <t>REHABILITACION DE CANCHA DE USOS MULTIPLES</t>
  </si>
  <si>
    <t>CONSTRUCCION DE CANCHA DE USOS MULTIPLES</t>
  </si>
  <si>
    <t>CONSTRUCCION DE CANCHA DE USOS MULTIPLES EN LA LOCALIDAD DE LA COLONIA JECOPACO</t>
  </si>
  <si>
    <t>REHABILITACION DE PLAZA PUBLICA EN LA LOCALIDAD DE BATEVITO</t>
  </si>
  <si>
    <t>FABRICACION Y COLOCACION DE JUEGOS INFANTILES EN PLAZA PUBLICA</t>
  </si>
  <si>
    <t>REHABILITACION DE IGLESIA INDIGENA EN LA LOCALIDAD DE LAS ACEITUNITAS</t>
  </si>
  <si>
    <t>REHABILITACION DE TEMPLO CASA DE DIOS EN MEXICO</t>
  </si>
  <si>
    <t>REHABILITACION DE IGLESIA SANTA CRUZ</t>
  </si>
  <si>
    <t>CONSTRUCCION DE PAVIMENTO HIDRAULICO EN CALLE PRINCIPAL NORTE</t>
  </si>
  <si>
    <t>CONSTRUCCION DE PAVIMENTO HIDRAULICO EN AVENIDA NIÑOS HEROES</t>
  </si>
  <si>
    <t>INSTALACION DE ALUMBRADO EN PLAZA PUBLICA</t>
  </si>
  <si>
    <t>CONSTRUCCION DE CERCO EN IGLESIA CATOLICA DIVINO NIÑO JESUS</t>
  </si>
  <si>
    <t>REHABILITACION DE IGLESIA CATOLICA SAN FRANCISCO DE ASIS</t>
  </si>
  <si>
    <t>AMPLIACION DE LA RED DE DRENAJE EN AVENIDA NIÑOS HEROES</t>
  </si>
  <si>
    <t>PAVIMENTACION HIDRAULICA EN CALLE EL CALVARIO</t>
  </si>
  <si>
    <t>PAVIMENTACION HIDRAULICA EN CALLE OBREGON</t>
  </si>
  <si>
    <t>CONSTRUCCION DE CANCHA MULTIFUNCIONAL EL PUEBLO</t>
  </si>
  <si>
    <t>REHABILITACION DE IGLESIA CATOLICA SANTA TERESITA</t>
  </si>
  <si>
    <t>CONSTRUCCION DE PAVIMENTO DE CONCRETO HIDRAULICO EN CALLE CANDIDO PADILLA</t>
  </si>
  <si>
    <t>CONSTRUCCION DE PAVIMENTO DE CONCRETO HIDRAULICO EN CALLE ALEJANDRO CARRILLO DURON (FINAL NORTE)</t>
  </si>
  <si>
    <t>CONSTRUCCION DE PLAZA DE LA LOCALIDAD DE OJO DE AGUA DE HUEPAC</t>
  </si>
  <si>
    <t>CONSTRUCCION DE TEJABAN EN H. AYUNTAMIENTO</t>
  </si>
  <si>
    <t>CONSTRUCCION DE GUARNICIONES EN CALLE ALEJANDRO CARRILLO DURON (FINALNORTE)</t>
  </si>
  <si>
    <t>PAVIMENTACION HIDRAULICA EN AVENIDA LIBERTAD</t>
  </si>
  <si>
    <t>CONSTRUCCION DE BANQUETAS EN ESCUELA SECUNDARIA N° 29</t>
  </si>
  <si>
    <t>CONSTRUCCION DE DORMITORIOS EN CENTRO DE SALUD</t>
  </si>
  <si>
    <t>REMODELACION DE IGLESIA CASA DE DIOS</t>
  </si>
  <si>
    <t>REHABILITACION DE ANDADORES EN ESCUELA TELESECUNDARIA N° 170</t>
  </si>
  <si>
    <t>REHABILITACION DE ANDADORES EN ESCULA PRIMARIA BENITO JUAREZ</t>
  </si>
  <si>
    <t>REHABILITACION DE PARQUE PUBLICO DE LA LOCALIDAD DE MESA DE TRES RIOS</t>
  </si>
  <si>
    <t>CONSTRUCCION DE ENTRADA MONUMENTAL A LA LOCALIDAD DE NACORI CHICO</t>
  </si>
  <si>
    <t>CONSTRUCCION DE IGLESIA APOSTOLICA DE LA FE EN CRISTO JESUS PRIMERA ETAPA</t>
  </si>
  <si>
    <t>REHABILITACION DE PARQUE EN COLONIA SAHUARO</t>
  </si>
  <si>
    <t>REHABILITACION DE PARQUE EN COLONIA CASA LINDA</t>
  </si>
  <si>
    <t>REHABILITACION DE PARQUE EN COLONIA OLIVOS</t>
  </si>
  <si>
    <t>REHABILITACION DE PARQUE EN COLONIA PALO VERDE</t>
  </si>
  <si>
    <t>REHABILITACION DE PARQUE EN COLONIA CAÑADA DE LOS NEGROS</t>
  </si>
  <si>
    <t>REHABILITACION DE PARQUE EN COLONIA AMAPOLAS</t>
  </si>
  <si>
    <t>REHABILITACION DE PARQUE EN COLONIA COLINAS</t>
  </si>
  <si>
    <t>REHABILITACION DE PARQUE EN COLONIA VILLA MERCEDES 1</t>
  </si>
  <si>
    <t>REHABILITACION DE PARQUE EN COLONIA VILLA MERCEDES 2</t>
  </si>
  <si>
    <t>REHABILITACION DE PARQUE EN EL POBLADO MIGUEL ALEMAN</t>
  </si>
  <si>
    <t>REHABILITACION DE PQRQUE EN EL POBLADO MIGUEL ALEMAN</t>
  </si>
  <si>
    <t>REHABILITACION DE PARQUE EN COLONIA PIEDRA BOLA</t>
  </si>
  <si>
    <t>REHABILITACION DE PARQUE EN COLONIA MISION</t>
  </si>
  <si>
    <t>REHABILITACION DE PARQUE EN COLONIA LOS CIRIOS</t>
  </si>
  <si>
    <t>SUPERVISION EXTERNA Y CONTROL DE CALIDAD DE 16 OBRAS EN BASE A INDIRECTOS</t>
  </si>
  <si>
    <t>REHABILITACION DE IGLESIA CATOLICA SAN ISIDRO LABRADOR</t>
  </si>
  <si>
    <t>INSTALACION DE FALSO PLAFON EN ARCHIVO MUNICIPAL</t>
  </si>
  <si>
    <t xml:space="preserve">CONSTRUCCION DE ACCESO PRINCIPAL AL LADO SUR DE LA LOCALIDAD_x000D_
</t>
  </si>
  <si>
    <t>CONSTRUCCION DE LETREROS DE BIENVENIDA EN LAS LOCALIDADES DE SANTA MARGARITA, MERESICHI, TUAPE Y PUEBLO VIEJO</t>
  </si>
  <si>
    <t>AMPLIACION DE PAVIMENTO DE CONCRETO HIDRAULICO EN CALLE FRANCISCO LUIS LOPEZ</t>
  </si>
  <si>
    <t>CONSTRUCCION DE PAVIMENTO DE CONCRETO HIDRAULICO EN CALLE CONSTITUCION</t>
  </si>
  <si>
    <t>PAVIMENTACION A BASE DE CONCRETO HIDRAULICO EN BOULEVARD BENITO JUAREZ</t>
  </si>
  <si>
    <t>PAVIMENTACION A BASE DE CONCRETO HIDRAULICO EN ESTACIONAMIENTO DE ESTADIO DE BEISBOL</t>
  </si>
  <si>
    <t>CONSTRUCCION DE GUARNICION, BANQUETA LISA Y BANQUETA ESTAMPADA EN BOULEVARD BENITO JUAREZ</t>
  </si>
  <si>
    <t>CONSTRUCCION DE TEJABAN EN ESCUELA DE EDUCACION ESPECIAL CAM 56</t>
  </si>
  <si>
    <t>CONSTRUCCION TEJABAN EN ESCUELA PRIMARIA 12 DE OCTUBRE</t>
  </si>
  <si>
    <t>BOULEVARD DE ACCESO A BENJAMIN HILL</t>
  </si>
  <si>
    <t>CONSTRUCCION DE TEJABAN EN ESCUELA PREPARATORIA CECYTES</t>
  </si>
  <si>
    <t>REHABILITACION DE CANCHA DE BASQUETBOL EN ZONA ESCOLAR</t>
  </si>
  <si>
    <t>CONSTRUCCION DE IGLESIA CATOLICA NUESTRA SEÑORA DE GUADALUPE</t>
  </si>
  <si>
    <t>CONSTRUCCION DE IGLESIA CATOLICA NUESTRA SEÑORA DE LA MEDALLA MILAGROSA</t>
  </si>
  <si>
    <t>REMODELACION DE IGLESIA CATOLICA NUESTRA SEÑORA DE GUADALUPE</t>
  </si>
  <si>
    <t>AMPLIACION DE SALA DE CAPACITACION</t>
  </si>
  <si>
    <t>REMODELACION DE LA UNIDAD MEDICA BASICA DE REHABILITACION (UBR)</t>
  </si>
  <si>
    <t>CONSTRUCCION DE PAVIMENTO HIDRAULICO EN CARIAS CALLES DE LA LOCALIDAD</t>
  </si>
  <si>
    <t>CONSTRUCCION DE TEJABAN EN ESCUELA PRIMARIA JUAN ESCUTIA</t>
  </si>
  <si>
    <t>CONSTRUCCION DE GUARNICION EN AVENIDA PRINCIPAL SUR DE LA LOCALIDAD CERRO PRIETO</t>
  </si>
  <si>
    <t>CONSTRUCCION DE GUARNICION EN CALLE DE LOS PAJAROS</t>
  </si>
  <si>
    <t>CONSTRUCCION DE EMPEDRADO EN CALLE DE PANTEON MUNICIPAL</t>
  </si>
  <si>
    <t>EHABILITACION DE ESTADIO DE BEISBOL DE SAN ANTONIO</t>
  </si>
  <si>
    <t>REHABILITACION E PLAZA PUBLICA</t>
  </si>
  <si>
    <t>REHABILITACION DE PLAZA PUBLICA</t>
  </si>
  <si>
    <t>CONSTRUCCION DE FACHADA Y CERCO PERIMETRAL EN PANTEON MUNICIPAL</t>
  </si>
  <si>
    <t>CONSTRUCCION DE BAÑOS, REHABILITACION DE JUEGOS Y PINTURA EN GRADAS DE UNIDAD DEPORTIVA TEBECHI ROBLES</t>
  </si>
  <si>
    <t>AMPLIACION DEL SISTEMA DE AGUA POTABLE EN VARIAS CALLES</t>
  </si>
  <si>
    <t>AMPLIACION DE LA RED DE ENERGIA ELECTRICA EN ZONA AGRICOLA SUR</t>
  </si>
  <si>
    <t>CONSTRUCCION DE TEJABAN EN ESCUELA TELESECUNDARIA N° 365</t>
  </si>
  <si>
    <t>CONSTRUCCION DE GRADAS EN TASTE DE CARRERAS DE CABALLOS</t>
  </si>
  <si>
    <t>CONSTRUCCION DE FACHADA DE ACCESO EN PANTEON MUNICIPAL</t>
  </si>
  <si>
    <t>PAVIMENTACION EN ACCESO A BARRIO SAN JUAN</t>
  </si>
  <si>
    <t>REHABILITACION DE CALLE JESUS GARCIA, CALLE URREA Y VARIOS TRAMOS DE CALLE JESUS GARCIA Y AVENIDA URREA</t>
  </si>
  <si>
    <t>PAVIMENTACION EN CALLE PRINCIPAL SIN NOMBRE EN BARRIO SAN ANTONIO</t>
  </si>
  <si>
    <t>ELECTRIFICACION EN CALLE SIN NOMBRE DEL BARRIO SUR SECCION OESTE</t>
  </si>
  <si>
    <t>COLOCACION DE NOMENCLATURAS EN VARIAS CALLES DE LA LOCALIDAD DE SAN JUAN DEL RIO</t>
  </si>
  <si>
    <t>AMPLIACION Y REHABILITACION DE PARQUES Y ESPACIOS PUBLICOS DEPORTIVOS EN HERMOSILLO</t>
  </si>
  <si>
    <t>PAVIMENTACION EN CALLE BENITO JUAREZ</t>
  </si>
  <si>
    <t>PAVIMENTACION EN CALLE CANANEA</t>
  </si>
  <si>
    <t>PAVIMENTACION EN CALLE LAZARO CARDENAS</t>
  </si>
  <si>
    <t>PAVIMENTACION EN CALLE AGUA PRIETA</t>
  </si>
  <si>
    <t>CONSTRUCCION DE CENTRO DE COMPUTO EN CECYTES</t>
  </si>
  <si>
    <t>AMPLIACION DE LA RED DE DRENAJE EN CALLE PLUTARCO ELIAS CALLES</t>
  </si>
  <si>
    <t>CEC0672</t>
  </si>
  <si>
    <t>MUEBLE ESCRITORIO DE 1.80 X .45 X.75</t>
  </si>
  <si>
    <t>S/N</t>
  </si>
  <si>
    <t>INMUEBLE CECOP (TERRENO Y CONSTRUCCIÓN)</t>
  </si>
  <si>
    <t>CECOP 34</t>
  </si>
  <si>
    <t>FORD RANGER 2001 VERDE CABINA Y MEDIA</t>
  </si>
  <si>
    <t>CECOP 35</t>
  </si>
  <si>
    <t>FORD FOCUS 2000 BLANCO</t>
  </si>
  <si>
    <t>NUMERO DE VOS</t>
  </si>
  <si>
    <t>PAVIMENTACION CON CARPETA ASFALTICA EN CALLE JORGE VALENCIA</t>
  </si>
  <si>
    <t xml:space="preserve">CONSTRUCCION DE UNIDAD DEPORTIVA CAMPO GRANDE _x000D_
</t>
  </si>
  <si>
    <t>REHABILITACION DE UNIDAD DEPORTIVA BALDERRAMA</t>
  </si>
  <si>
    <t>REHABILITACION DE UNIDAD DEPORTIVA HACIENDA DE LA FLOR</t>
  </si>
  <si>
    <t>REHABILITACION DE UNIDAD DEPORTIVA JACINTO LOPEZ</t>
  </si>
  <si>
    <t>REHABILITACION DE UNIDAD DEPORTIVA LAS PLACITAS</t>
  </si>
  <si>
    <t>REHABILITACION DE UNIDAD DEPORTIVA LOMAS DE MADRID</t>
  </si>
  <si>
    <t>REHABILITACION DE UNIDAD DEPORTIVA AGUALURCA</t>
  </si>
  <si>
    <t>REHABILITACION DE UNIDAD DEPORTIVA LAS INSURGENTES</t>
  </si>
  <si>
    <t>REHABILITACION DE UNIDAD DEPORTIVA LOS NARANJOS</t>
  </si>
  <si>
    <t>REHABILITACION DE UNIDAD DEPORTIVA MISION</t>
  </si>
  <si>
    <t>REHABILITACION DE UNIDAD DEPORTIVA ROMANZA</t>
  </si>
  <si>
    <t>CONSTRUCCION DE UNIDAD DEPORTIBA LA CAMPIÑA</t>
  </si>
  <si>
    <t>REHABILITACION DE UNIDAD DEPORTIVA LAS PLACITAS SAN DOROTEO</t>
  </si>
  <si>
    <t>REHABILITACION DE UNIDAD DEPORTIVA PUEBLITOS</t>
  </si>
  <si>
    <t>REHABILITACION DE UNIDAD DEPORTIVA REAL DEL LLANO</t>
  </si>
  <si>
    <t>REHABILITACION DE UNIDAD DEPORTIVA SOLEI PRIMERA ETAPA</t>
  </si>
  <si>
    <t>REHABILITACION Y CONSTRUCCION DE UNIDAD DEPORTIVA LOMAS</t>
  </si>
  <si>
    <t>CONSTRUCCION DE UNIDAD DEPORTIVA GALA</t>
  </si>
  <si>
    <t>REHABILITACION DE UNIDAD DEPORTIVA SAN BENITO</t>
  </si>
  <si>
    <t>CONSTRUCCION DE UNIDAD DEPORTIVA LA VERBENA</t>
  </si>
  <si>
    <t>REHABILITACION DE UNIDAD DEPORTIVA SABINOS</t>
  </si>
  <si>
    <t>REHABILITACION DE UNIDAD DEPORTIVA QUINTA EMILIA</t>
  </si>
  <si>
    <t>REHABILITACION DE UNIDAD DEPORTIVA ROSALES</t>
  </si>
  <si>
    <t>REHABILITACION DE UNIDAD DEPORTIVA VILLA MERLOT</t>
  </si>
  <si>
    <t>CONSTRUCCCION DEL CENTRO CULTURAL "PUEBLITOS</t>
  </si>
  <si>
    <t>PAVIMENTACION EN CALLE JOSE MARIA MORELOS Y PAVON</t>
  </si>
  <si>
    <t>SUMINISTRO Y COLOCACION DE LAMPARAS Y REHABILITACION DE SANITARIOS EN CAM N° 21</t>
  </si>
  <si>
    <t>CONSTRUCCION DE TEJABAN EN INSTALACIONES DEL INAPAM</t>
  </si>
  <si>
    <t>REHABILITACION DE MUROS INTERIORES, EXTERIORES Y PUERTAS EN EDIFICIO DEL H. AYUNTAMIENTO</t>
  </si>
  <si>
    <t>ALUMBRADO PUBLICO EN BOULEVARD COLOSIO SEGUNDA ETAPA</t>
  </si>
  <si>
    <t>REHABILITACIO DE CANCHA CIVICO DEPORTIVA</t>
  </si>
  <si>
    <t>REHABILITACION DE CANCHA CIVICO DEPORTIVA</t>
  </si>
  <si>
    <t>PAVIMENTACION EN AVENIDA FERNANDO A. PAREDES</t>
  </si>
  <si>
    <t>PAVIMENTACION EN AVENIDA HIDALGO</t>
  </si>
  <si>
    <t>PAVIMENTACION EN AVENIDA MARIANO HURTADO</t>
  </si>
  <si>
    <t>CONSTRUCCION DE DISPENSARIO EN IGLESIA APOSTOLICA DE LA FE EN CRISTO</t>
  </si>
  <si>
    <t>CONSTRUCCION DE PAVIMENTO HIDRAULICO EN CALLE JOSE MARIA MORELOS</t>
  </si>
  <si>
    <t>CONSTRUCCION DE TECHUMBRE EN DIRECCION DEL JARDIN DE NIÑOS TOHUI</t>
  </si>
  <si>
    <t>EQUIPAMIENTO E INSTALACION DE FILTROS EN POZO</t>
  </si>
  <si>
    <t>CONSTRUCCION DE PALAPAS Y SANITARIOS EN AREA RECREATIVA</t>
  </si>
  <si>
    <t>CONSTRUCCION DE SALON DE CATECISMO EN IGLESIA JUAN PABLO II</t>
  </si>
  <si>
    <t>REMODELACION DE CASINO MUNICIPAL</t>
  </si>
  <si>
    <t>REHABILITACION DE PARQUE EN COLONIA LAS QUINTAS</t>
  </si>
  <si>
    <t>CONSTRUCCION DE SEMINARIO FRANCISCANO SAN ANTONIO DE PADUA SEGUNDA ETAPA</t>
  </si>
  <si>
    <t>CONSTRUCCION DE TEJABAN EN ESCUELA SECUNDARIA NUEVA CREACION</t>
  </si>
  <si>
    <t>CONSTRUCCION DE TEJABAN EN ESCUELA PRIMARIA 13 DE JULIO</t>
  </si>
  <si>
    <t>CONSTRUCCION DE AUDITORIO EN CECYTES PLANTEL HERMOSILLO 1</t>
  </si>
  <si>
    <t>CONSTRUCCION DE CASA DE RETIRO JUAN PABLO II</t>
  </si>
  <si>
    <t>AMPLIACION DE LA RED DE ENERGIA ELECTRICA EN CALLE DEL ARROYO</t>
  </si>
  <si>
    <t>REMODELACION DEL EDIFICIO DE TELEMAX</t>
  </si>
  <si>
    <t>CONSTRUCCION DE TEJABAN EN CANCHA DE BASQUETBOL</t>
  </si>
  <si>
    <t>CONSTRUCCION DE CANCHA DE FUTBOL RAPIDO</t>
  </si>
  <si>
    <t>CONSTRUCCION DE MURO PERIMETRAL EN PLAZA CIVICA NUEVA IMAGEN</t>
  </si>
  <si>
    <t>REHABILITACION DE IGLESIA DE FATIMA</t>
  </si>
  <si>
    <t>REHABILITACION DE ASOCIACION GANADERA LOCAL SEGUNDA ETAPA</t>
  </si>
  <si>
    <t>CONSTRUCCION DE CUM EN ASOCIACION GANADERA LOCAL</t>
  </si>
  <si>
    <t>REHABILITACION DE ASOCIACION GANADERA LOCAL</t>
  </si>
  <si>
    <t>REHABILITACION DE ASOCIACION GANADERA HUASACA</t>
  </si>
  <si>
    <t>INSTALACION DE VOZ Y DATOS EN CENTRO DE SALUD</t>
  </si>
  <si>
    <t>CONSTRUCCION DE BANQUETAS Y RAMPAS EN PARQUE COLONIA LAS GRANJAS</t>
  </si>
  <si>
    <t>CONSTRUCCION DE CORRAL EN ASOCIACION GANADERA</t>
  </si>
  <si>
    <t>AMPLIACION DE REDES DE AGUA POTABLE Y DRENAJE EN CALLE TRES ALAMOS</t>
  </si>
  <si>
    <t>AMPLIACION DE RED DE ENERGIA ELECTRICA EN CALLE CONCORD FINAL</t>
  </si>
  <si>
    <t>BACHEO Y MICROCARPETA ASFALTICA DE 2.5 CM EN CALLE RETORNO DE LAS CATALANAS ORIENTE</t>
  </si>
  <si>
    <t xml:space="preserve">RECARPETEO CON MICROCARPETA DE 2.5 CM EN CALLE OAXACA_x000D_
</t>
  </si>
  <si>
    <t>CONSTRUCCION DE CERCO PERIMETRAL EN ASOCIACION GANADERA LOCAL</t>
  </si>
  <si>
    <t>CONSTRUCCION DE TEJABAN EN ASOCIACION GANADERA LOCAL</t>
  </si>
  <si>
    <t>REHABILITACION DE CORRALES Y BEBEDEROS EN ASOCIACION GANADERA LOCAL</t>
  </si>
  <si>
    <t>REHABILITACION DE CORRALES EN ASOCIACION GANADERA LOCAL</t>
  </si>
  <si>
    <t>RECARPETEO CON CONCRETO ASFALTICO EN CALLES CERRADA PARIS Y MARSELLA</t>
  </si>
  <si>
    <t>REHABILITACION DE ASOCIACION GANADERA LOCAL OVINOS DEL SUR</t>
  </si>
  <si>
    <t>CONSTRUCCION DE DE BAÑOS Y PINTURA EN ASOCIACION GANADERA LOCAL</t>
  </si>
  <si>
    <t>CONSTRUCCION DE TEJABAN EN JARDIN DE NIÑOS PROFRA ESPERANZA MARTINEZ CASTILLO</t>
  </si>
  <si>
    <t>CONSTRUCCION DE TEJABAN EN ESCUELA SECUNDARIA PROFR MARIO BARCELO ABRIL</t>
  </si>
  <si>
    <t>Ing. Miguel Servando Portoni Encinas</t>
  </si>
  <si>
    <t>Coordinador General</t>
  </si>
  <si>
    <t>Director General de Administracion y Finanzas</t>
  </si>
  <si>
    <t xml:space="preserve">Bajo protesta de decir verdad declaramos que los Estados Financieros y sus notas, son razonablemente </t>
  </si>
  <si>
    <t>Ing. Manuel de Jesús Bustamante Sandoval</t>
  </si>
  <si>
    <r>
      <t xml:space="preserve">correctos y </t>
    </r>
    <r>
      <rPr>
        <sz val="9"/>
        <color theme="1"/>
        <rFont val="Calibri"/>
        <family val="2"/>
        <scheme val="minor"/>
      </rPr>
      <t>son responsabilidad del emisor</t>
    </r>
    <r>
      <rPr>
        <sz val="9"/>
        <color rgb="FF000000"/>
        <rFont val="Arial"/>
        <family val="2"/>
      </rPr>
      <t xml:space="preserve"> </t>
    </r>
  </si>
  <si>
    <t xml:space="preserve"> Relación de esquemas bursátiles y de coberturas financieras</t>
  </si>
  <si>
    <t>FICHA TECNICA PARA SEGUIMIENTO Y EVALUACION DE INDICADORES DE PROYECTOS Y PROCESOS</t>
  </si>
  <si>
    <t>Al 31 de Diciembre de 2015</t>
  </si>
  <si>
    <t>TRIMESTRE: CUARTO DE 2015</t>
  </si>
  <si>
    <t xml:space="preserve"> al 31 de Diciembre de 2015</t>
  </si>
  <si>
    <t>al 31 de Diciembre de 2015</t>
  </si>
  <si>
    <t>Del 01 de Octubre al 31 de Diciembre de 2015</t>
  </si>
  <si>
    <t>MATERIAL ELECTRICO Y ELECTRONICO</t>
  </si>
  <si>
    <t>PRENDAS DE SEGURIDAD Y PROTECCION PERSONAL</t>
  </si>
  <si>
    <t>BIENES INFORMATICOS</t>
  </si>
  <si>
    <t>PAVIMENTACION DE CALLES Y AVENIDAS</t>
  </si>
  <si>
    <t>AMPLIACIONES Y REDUCCIONES AL EJERCICIO PRESUPUESTAL OCTUBRE-DICIEMBRE 2015</t>
  </si>
  <si>
    <t>EN EL EJERCICIO 2015 SE REALIZARON AMPLIACIONES AL PRESUPUESTO POR LA LLEGADA DE RECURSOS EXTRAORDINARIOS SEGÚN OFICIOS DE AUTORIZACION .</t>
  </si>
  <si>
    <t>OFICIO DE AUTORIZACION</t>
  </si>
  <si>
    <t xml:space="preserve"> IMPORTE </t>
  </si>
  <si>
    <t>OM-NC-15-022</t>
  </si>
  <si>
    <t>OM-NC-15-024</t>
  </si>
  <si>
    <t>OM-NC-15-R-017</t>
  </si>
  <si>
    <t>OM-NC-15-029</t>
  </si>
  <si>
    <t>OM-NC-15-041</t>
  </si>
  <si>
    <t>OM-NC-15-123</t>
  </si>
  <si>
    <t>OM-NC-15-142</t>
  </si>
  <si>
    <t>OM-NC-15-143</t>
  </si>
  <si>
    <t>OM-NC-15-148</t>
  </si>
  <si>
    <t>OM-ED-15-028</t>
  </si>
  <si>
    <t>OM-NC-15-178</t>
  </si>
  <si>
    <t>OM-NC-15-189</t>
  </si>
  <si>
    <t>OM-NC-15-190</t>
  </si>
  <si>
    <t>OM-NC-15-195</t>
  </si>
  <si>
    <t>OM-NC-15-202</t>
  </si>
  <si>
    <t>OM-NC-15-219</t>
  </si>
  <si>
    <t>EN EL MES DE OCTUBRE DEL 2015 SE CANCELO CH 13662 CON FECHA DEL 31 AGOSTO DEL 2015.</t>
  </si>
  <si>
    <t>EN EL MES DE DICIEMBRE DEL 2015 SE REALIZO AMPLIACION PRESUPUESTAL AL CAPITULO 1000 POR LA CANTIDAD DE $1,231,542.13 POR CONCEPTO DE RECURSOS QUE SE DEPOSITARON A LA DEPENDENCIA PARA PAGO DE  LIQUIDACIONES.</t>
  </si>
  <si>
    <t>EN EL MES DE DICIEMBRE DEL 2015 SE REALIZO AMPLIACION PRESUPUESTAL  AL CAPITULO  1000 PARA PODER DEVENGAR EL EGRESO DE LASDIFERENTES PARTIDAS QUE CONFORMAN EL SUELDO Y LAS DIFERENTES PARTIDAS QUE CONFORMAN LOS GASTOS DE SERVICIO MEDICO, POR LA CANTIDAD DE $ 1,005,813.28.</t>
  </si>
  <si>
    <t>EN EL MES DE DICIEMBRE DEL 2015 SE REALIZO AMPLIACION PRESPUESTAL  POR LA CANTIDAD DE $153,937.96 AL CAPITULO 1000 POR CONCEPTO DE RECURSO QUE SE DEPOSITO A LA DEPENDENCIA , PARA PAGO DE  LIQUIDACIONES.</t>
  </si>
  <si>
    <t>EN EL MES DE DICIEMBRE DEL 2015 SE REALIZO AMPLIACION PRESPUESTAL  POR LA CANTIDAD DE  $931,749.30 AL CAPITULO 1000 POR CONCEPTO DE RECURSO QUE SE DEPOSITO A LA DEPENDENCIA , PAGO DE  LIQUIDACIONES.</t>
  </si>
  <si>
    <t>11301 SUELDOS $-.54 EXISTE EN TESORERIA SUFICIENCIA EN DICHA PARTIDA, SIN EMBARGO SE REQUIRIO PRESUPUESTALMENTE EL RECURSO DE ESTA PARTIDA PARA APLICARLA EN EL RESTO DEL CAPITULO 1000,CABE ACLARAR QUE EL RECURSO DE LA 1000 LO  MANEJA RECURSOS HUMANOS DEL GOBIERNO DEL ESTADO</t>
  </si>
  <si>
    <t>13101 PRIMAS Y ACREDITACIONES POR AÑOS DE SERVICIO EFECTIVOS PRESTADOS AL PERSONAL $-41,483.35 EXISTE EN TESORERIA SUFICIENCIA EN DICHA PARTIDA, SIN EMBARGO SE REQUIRIO PRESUPUESTALMENTE EL RECURSO DE ESTA PARTIDA PARA APLICARLA EN EL RESTO DEL CAPITULO 1000,CABE ACLARAR QUE EL RECURSO DE LA 1000 LO  MANEJA RECURSOS HUMANOS DEL GOBIERNO DEL ESTADO</t>
  </si>
  <si>
    <t>13201 PRIMA VACACIONAL $-17,765.56 EXISTE EN TESORERIA SUFICIENCIA EN DICHA PARTIDA, SIN EMBARGO SE REQUIRIO PRESUPUESTALMENTE EL RECURSO DE ESTA PARTIDA PARA APLICARLA EN EL RESTO DEL CAPITULO 1000,CABE ACLARAR QUE EL RECURSO DE LA 1000 LO  MANEJA RECURSOS HUMANOS DEL GOBIERNO DEL ESTADO</t>
  </si>
  <si>
    <t>13202 GRATIFICACION POR FIN DE AÑO $-20,941.09 EXISTE EN TESORERIA SUFICIENCIA EN DICHA PARTIDA, SIN EMBARGO SE REQUIRIO PRESUPUESTALMENTE EL RECURSO DE ESTA PARTIDA PARA APLICARLA EN EL RESTO DEL CAPITULO 1000,CABE ACLARAR QUE EL RECURSO DE LA 1000 LO  MANEJA RECURSOS HUMANOS DEL GOBIERNO DEL ESTADO</t>
  </si>
  <si>
    <t>13203 COMPENSACION POR AJUSTE DE CALENDARIO $-18,601.11 EXISTE EN TESORERIA SUFICIENCIA EN DICHA PARTIDA, SIN EMBARGO SE REQUIRIO PRESUPUESTALMENTE EL RECURSO DE ESTA PARTIDA PARA APLICARLA EN EL RESTO DEL CAPITULO 1000,CABE ACLARAR QUE EL RECURSO DE LA 1000 LO  MANEJA RECURSOS HUMANOS DEL GOBIERNO DEL ESTADO</t>
  </si>
  <si>
    <t>13204 COMPENSACION POR BONO NAVIDEÑO $-27,916.92 EXISTE EN TESORERIA SUFICIENCIA EN DICHA PARTIDA, SIN EMBARGO SE REQUIRIO PRESUPUESTALMENTE EL RECURSO DE ESTA PARTIDA PARA APLICARLA EN EL RESTO DEL CAPITULO 1000,CABE ACLARAR QUE EL RECURSO DE LA 1000 LO  MANEJA RECURSOS HUMANOS DEL GOBIERNO DEL ESTADO</t>
  </si>
  <si>
    <t>13403 ESTIMULOS AL PERSONAL DE CONFIANZA $-164,033.60 EXISTE EN TESORERIA SUFICIENCIA EN DICHA PARTIDA, SIN EMBARGO SE REQUIRIO PRESUPUESTALMENTE EL RECURSO DE ESTA PARTIDA PARA APLICARLA EN EL RESTO DEL CAPITULO 1000,CABE ACLARAR QUE EL RECURSO DE LA 1000 LO  MANEJA RECURSOS HUMANOS DEL GOBIERNO DEL ESTADO</t>
  </si>
  <si>
    <t>11301 SUELDO $190,341.08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</si>
  <si>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11305 COMPENSACION POR RIESGO PROFESIONAL $46,423.80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</si>
  <si>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11307 AYUDA HABITACION $32,760.70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</si>
  <si>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11308 AYUDA DESPENSA $7,050.80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</si>
  <si>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13403 ESTIMULOS AL PERSONAL DE CONFIANZA $.81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</si>
  <si>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12201 SUELDO BASE AL PERSONAL EVENTUAL  $14,164.98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</si>
  <si>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21201 MATERIALES Y UTILES DE IMPESION Y REPRODUCCION SE TRASPASO PRESUPUESTALMENTE A LA PARTIDA 21101  MATERIALES, UTILES Y EQUIPOS MENORES DE OFICINA LA CANTIDAD DE $4,547.55 YA QUE NO SE CONTABA CON SUFICIENCIA PRESUPUESTAL Y POR LA NECESIDAD DE TRABAJO SE OCUPABAN HOJAS BLANCAS , POSTIT, PUNTILLAS, PLUMAS, GRAPAS, FOLDERS, MATERIAL MENOR PARA EL FUNCIONAMIENTO DE LA DEPENDENCIA.</t>
  </si>
  <si>
    <t>21401 MATERIALES, UTILES PARA EL PROCESAMIENTO DE EQUIPOS Y BIENES INFORMATICOSSE TRASPASO PRESUPUESTALMENTE A LA PARTIDA 21101  MATERIALES, UTILES Y EQUIPOS MENORES DE OFICINA LA CANTIDAD DE $699.96 YA QUE NO SE CONTABA CON SUFICIENCIA PRESUPUESTAL Y POR LA NECESIDAD DE TRABAJO SE OCUPABAN HOJAS BLANCAS , POSTIT, PUNTILLAS, PLUMAS, GRAPAS, FOLDERS, MATERIAL MENOR PARA EL FUNCIONAMIENTO DE LA DEPENDENCIA.</t>
  </si>
  <si>
    <t>21501 MATERIAL PARA INFORMACION SE TRASPASO PRESUPUESTALMENTE A LA PARTIDA 21101  MATERIALES, UTILES Y EQUIPOS MENORES DE OFICINA LA CANTIDAD DE $3,412.73 YA QUE NO SE CONTABA CON SUFICIENCIA PRESUPUESTAL Y POR LA NECESIDAD DE TRABAJO SE OCUPABAN HOJAS BLANCAS , POSTIT, PUNTILLAS, PLUMAS, GRAPAS, FOLDERS, MATERIAL MENOR PARA EL FUNCIONAMIENTO DE LA DEPENDENCIA.</t>
  </si>
  <si>
    <t>21801 PLACAS, ENGOMADOS, CALCAMONIAS Y HOLOGRAMAS SE TRASPASO PRESUPUESTALMENTE A LA PARTIDA 21101  MATERIALES, UTILES Y EQUIPOS MENORES DE OFICINA LA CANTIDAD DE $3,669.69 YA QUE NO SE CONTABA CON SUFICIENCIA PRESUPUESTAL Y POR LA NECESIDAD DE TRABAJO SE OCUPABAN HOJAS BLANCAS , POSTIT, PUNTILLAS, PLUMAS, GRAPAS, FOLDERS, MATERIAL MENOR PARA EL FUNCIONAMIENTO DE LA DEPENDENCIA.</t>
  </si>
  <si>
    <t>22101 PRODUCTOS ALIMENTICIOS PARA EL PERSONAL EN LAS INSTALACIONES SE TRASPASO PRESUPUESTALMENTE A LA PARTIDA 21101  MATERIALES, UTILES Y EQUIPOS MENORES DE OFICINA LA CANTIDAD DE $357.92 YA QUE NO SE CONTABA CON SUFICIENCIA PRESUPUESTAL Y POR LA NECESIDAD DE TRABAJO SE OCUPABAN HOJAS BLANCAS , POSTIT, PUNTILLAS, PLUMAS, GRAPAS, FOLDERS, MATERIAL MENOR PARA EL FUNCIONAMIENTO DE LA DEPENDENCIA.</t>
  </si>
  <si>
    <t>32201 ARRENDAMIENTO DE EDIFICIOS SE TRASPASO PRESUPUESTALMENTE A LA PARTIDA 21101  MATERIALES, UTILES Y EQUIPOS MENORES DE OFICINA LA CANTIDAD DE $2,391.79 YA QUE NO SE CONTABA CON SUFICIENCIA PRESUPUESTAL Y POR LA NECESIDAD DE TRABAJO SE OCUPABAN HOJAS BLANCAS , POSTIT, PUNTILLAS, PLUMAS, GRAPAS, FOLDERS, MATERIAL MENOR PARA EL FUNCIONAMIENTO DE LA DEPENDENCIA.</t>
  </si>
  <si>
    <t>33801 SERVICIO DE VIGILANCIA SE TRASPASO PRESUPUESTALMENTE A LA PARTIDA 21101  MATERIALES, UTILES Y EQUIPOS MENORES DE OFICINA LA CANTIDAD DE $2,195.26 YA QUE NO SE CONTABA CON SUFICIENCIA PRESUPUESTAL Y POR LA NECESIDAD DE TRABAJO SE OCUPABAN HOJAS BLANCAS , POSTIT, PUNTILLAS, PLUMAS, GRAPAS, FOLDERS, MATERIAL MENOR PARA EL FUNCIONAMIENTO DE LA DEPENDENCIA.</t>
  </si>
  <si>
    <t>34501 SEGURO DE BIENES PATRIMONIALES SE TRASPASO PRESUPUESTALMENTE A LA PARTIDA 21101  MATERIALES, UTILES Y EQUIPOS MENORES DE OFICINA LA CANTIDAD DE $1,870.57 YA QUE NO SE CONTABA CON SUFICIENCIA PRESUPUESTAL Y POR LA NECESIDAD DE TRABAJO SE OCUPABAN HOJAS BLANCAS , POSTIT, PUNTILLAS, PLUMAS, GRAPAS, FOLDERS, MATERIAL MENOR PARA EL FUNCIONAMIENTO DE LA DEPENDENCIA.</t>
  </si>
  <si>
    <t>35201 MANTENIMIENTO Y CONSERVACION DE MOBILIARIO Y EQUIPO SE TRASPASO PRESUPUESTALMENTE A LA PARTIDA 21101  MATERIALES, UTILES Y EQUIPOS MENORES DE OFICINA LA CANTIDAD DE $188.55 YA QUE NO SE CONTABA CON SUFICIENCIA PRESUPUESTAL Y POR LA NECESIDAD DE TRABAJO SE OCUPABAN HOJAS BLANCAS , POSTIT, PUNTILLAS, PLUMAS, GRAPAS, FOLDERS, MATERIAL MENOR PARA EL FUNCIONAMIENTO DE LA DEPENDENCIA.</t>
  </si>
  <si>
    <t>38301 CONGRESOS Y CONVENCIONES SE TRASPASO PRESUPUESTALMENTE A LA PARTIDA 21101  MATERIALES, UTILES Y EQUIPOS MENORES DE OFICINA LA CANTIDAD DE $1,395.53 YA QUE NO SE CONTABA CON SUFICIENCIA PRESUPUESTAL Y POR LA NECESIDAD DE TRABAJO SE OCUPABAN HOJAS BLANCAS , POSTIT, PUNTILLAS, PLUMAS, GRAPAS, FOLDERS, MATERIAL MENOR PARA EL FUNCIONAMIENTO DE LA DEPENDENCIA.</t>
  </si>
  <si>
    <t>39201 IMPUESTOS Y DERECHOS SE TRASPASO PRESUPUESTALMENTE A LA PARTIDA 21101  MATERIALES, UTILES Y EQUIPOS MENORES DE OFICINA LA CANTIDAD DE $236.80 YA QUE NO SE CONTABA CON SUFICIENCIA PRESUPUESTAL Y POR LA NECESIDAD DE TRABAJO SE OCUPABAN HOJAS BLANCAS , POSTIT, PUNTILLAS, PLUMAS, GRAPAS, FOLDERS, MATERIAL MENOR PARA EL FUNCIONAMIENTO DE LA DEPENDENCIA.</t>
  </si>
  <si>
    <t>21101 MATERIALES, UTILES Y EQUIPOS MENORES DE OFICINA SE TRASPASO PRESUPUESTALMENTE A LA PARTIDA 21201  MATERIALES Y UTILES DE IMPESION Y REPRODUCCION LA CANTIDAD DE $254.42 YA QUE NO SE CONTABA CON SUFICIENCIA PRESUPUESTAL Y POR LA NECESIDAD DE TRABAJO SE OCUPAN TONERS Y TINTAS PARA IMPRESORAS DE DIFERENTES UNIDADES ADMINISTRATIVAS Y ASI PODER CUMPLIR CON EL TRABAJO DE LA DEPENDENCIA.</t>
  </si>
  <si>
    <t>21801 PLACAS, ENGOMADOS, CALCAMONIAS Y HOLOGRAMAS SE TRASPASO PRESUPUESTALMENTE A LA PARTIDA 21201  MATERIALES Y UTILES DE IMPESION Y REPRODUCCION LA CANTIDAD DE $12,690.76 YA QUE NO SE CONTABA CON SUFICIENCIA PRESUPUESTAL Y POR LA NECESIDAD DE TRABAJO SE OCUPAN TONERS Y TINTAS PARA IMPRESORAS DE DIFERENTES UNIDADES ADMINISTRATIVAS Y ASI PODER CUMPLIR CON EL TRABAJO DE LA DEPENDENCIA.</t>
  </si>
  <si>
    <t>22101 PRODUCTOS ALIMENTICIOS PARA EL PERSONAL EN LAS INSTALACIONES SE TRASPASO PRESUPUESTALMENTE A LA PARTIDA 21201  MATERIALES Y UTILES DE IMPESION Y REPRODUCCION LA CANTIDAD DE $746.22 YA QUE NO SE CONTABA CON SUFICIENCIA PRESUPUESTAL Y POR LA NECESIDAD DE TRABAJO SE OCUPAN TONERS Y TINTAS PARA IMPRESORAS DE DIFERENTES UNIDADES ADMINISTRATIVAS Y ASI PODER CUMPLIR CON EL TRABAJO DE LA DEPENDENCIA.</t>
  </si>
  <si>
    <t>37501 VIATICOS EN EL PAIS SE TRASPASO PRESUPUESTALMENTE A LA PARTIDA 21201  MATERIALES Y UTILES DE IMPESION Y REPRODUCCION LA CANTIDAD DE $2,308.32 YA QUE NO SE CONTABA CON SUFICIENCIA PRESUPUESTAL Y POR LA NECESIDAD DE TRABAJO SE OCUPAN TONERS Y TINTAS PARA IMPRESORAS DE DIFERENTES UNIDADES ADMINISTRATIVAS Y ASI PODER CUMPLIR CON EL TRABAJO DE LA DEPENDENCIA.</t>
  </si>
  <si>
    <t>38301 CONGRESOS Y CONVENCIONES SE TRASPASO PRESUPUESTALMENTE A LA PARTIDA 21201  MATERIALES Y UTILES DE IMPESION Y REPRODUCCION LA CANTIDAD DE $1,075.17 YA QUE NO SE CONTABA CON SUFICIENCIA PRESUPUESTAL Y POR LA NECESIDAD DE TRABAJO SE OCUPAN TONERS Y TINTAS PARA IMPRESORAS DE DIFERENTES UNIDADES ADMINISTRATIVAS Y ASI PODER CUMPLIR CON EL TRABAJO DE LA DEPENDENCIA.</t>
  </si>
  <si>
    <t>31101 ENERGIA ELECTRICA SE TRASPASO PRESUPUESTALMENTE A LA PARTIDA 21501  MATERIAL PARA INFORMACION LA CANTIDAD DE $88.91 YA QUE NO SE CONTABA CON SUFICIENCIA PRESUPUESTAL ,SE MANDARON A ELABORAR TRIPTICOS INFORMATIVOS LOS CUALES SON UTILIZADOS POR LA DIRECCION GENERAL DE ORGANIZACION SOCIAL</t>
  </si>
  <si>
    <t>21101  MATERIALES, UTILES Y EQUIPOS MENORES DE OFICINA SE REALIZO UN TRASPASO A LA PARTIDA 21601 MATERIAL DE LIMPIEZA POR LA CANTIDAD DE $17,599.14 ,YA QUE NO SE CONTABA CON SUFICIENCIA PRESUPUESTAL EN DICHA PARTIDA Y SE REQUERIA LA COMPRA DE PRODUCTOS DE LIMPIEZA PARA LA DEPENDENCIA</t>
  </si>
  <si>
    <t>21801 PLACAS, ENGOMADOS, CALCAMONIAS Y HOLOGRAMAS SE REALIZO UN TRASPASO A LA PARTIDA 21601 MATERIAL DE LIMPIEZA POR LA CANTIDAD DE $8,407.80 ,YA QUE NO SE CONTABA CON SUFICIENCIA PRESUPUESTAL EN DICHA PARTIDA Y SE REQUERIA LA COMPRA DE PRODUCTOS DE LIMPIEZA PARA LA DEPENDENCIA</t>
  </si>
  <si>
    <t>22301 UTENSILIOS PARA EL SERVICIO DE ALIMENTACION SE REALIZO UN TRASPASO A LA PARTIDA 21601 MATERIAL DE LIMPIEZA POR LA CANTIDAD DE $2,068.22 ,YA QUE NO SE CONTABA CON SUFICIENCIA PRESUPUESTAL EN DICHA PARTIDA Y SE REQUERIA LA COMPRA DE PRODUCTOS DE LIMPIEZA PARA LA DEPENDENCIA</t>
  </si>
  <si>
    <t>37501 VIATICOS EN EL PAIS SE REALIZO UN TRASPASO A LA PARTIDA 21601 MATERIAL DE LIMPIEZA POR LA CANTIDAD DE $7,016.28 ,YA QUE NO SE CONTABA CON SUFICIENCIA PRESUPUESTAL EN DICHA PARTIDA Y SE REQUERIA LA COMPRA DE PRODUCTOS DE LIMPIEZA PARA LA DEPENDENCIA</t>
  </si>
  <si>
    <t>22301 UTENSILIOS PARA EL SERVICIO DE ALIMENTACION SE REALIZO UN TRASPASO A LA PARTIDA 22101 PRODUCTOS ALIMENTICIOS PARA EL PERSONAL EN LAS INSTALACIONES POR LA CANTIDAD DE $544.00 ,YA QUE NO SE CONTABA CON SUFICIENCIA PRESUPUESTAL EN DICHA PARTIDA , Y POR LAS CUALES SE ADQUIRIERON PRODUCTOS ALIMENTICIOS PARA EL PERSONAL QUE POR SU GIRO DE TRABAJO SE QUEDO LABORANDO MAS TARDE.</t>
  </si>
  <si>
    <t>39201 IMPUESTOS Y DERECHOS SE REALIZO UN TRASPASO A LA PARTIDA 22101 PRODUCTOS ALIMENTICIOS PARA EL PERSONAL EN LAS INSTALACIONES POR LA CANTIDAD DE $700.00 ,YA QUE NO SE CONTABA CON SUFICIENCIA PRESUPUESTAL EN DICHA PARTIDA , Y POR LAS CUALES SE ADQUIRIERON PRODUCTOS ALIMENTICIOS PARA EL PERSONAL QUE POR SU GIRO DE TRABAJO SE QUEDO LABORANDO MAS TARDE.</t>
  </si>
  <si>
    <t>21801 PLACAS, ENGOMADOS, CALCAMONIAS Y HOLOGRAMAS SE REALIZO UN TRASPASO A LA PARTIDA 22106 ADQUISICION DE AGUA POTABLE  POR LA CANTIDAD DE $1,337.00 ,YA QUE NO SE CONTABA CON SUFICIENCIA PRESUPUESTAL EN DICHA PARTIDA , Y SE REALIZO COMPRA DE AGUA PARA CONSUMO DEL PERSONAL DE LA DEPENDENCIA</t>
  </si>
  <si>
    <t>22101 PRODUCTOS ALIMENTICIOS PARA EL PERSONAL EN LAS INSTALACIONES SE REALIZO UN TRASPASO A LA PARTIDA 22301 UTENSILIOS PARA EL SERVICIO DE ALIMENTACION POR LA CANTIDAD DE $91.69,YA QUE NO SE CONTABA CON SUFICIENCIA PRESUPUESTAL EN DICHA PARTIDA , Y SE REALIZARON COMPRAS DE SERVILLETAS, CUCHARAS PARA LA UTILIZACION POR PERSONAL DE LA DEPENDENCIA</t>
  </si>
  <si>
    <t>21501 MATERIAL PARA INFORMACION SE REALIZO UN TRASPASO A LA PARTIDA  26101 COMBUSTIBLES POR LA CANTIDAD DE $5,767.57  YA QUE NO SE CONTABA CON SUFICIENCIA PRESUPUESTAL EN DICHA PARTIDA Y SE TIENEN QUE GENERAR LOS PAGOS PARA PODER SEGUIR CON EL FUNCIONAMIENTO DE LA DEPENDENCIA.</t>
  </si>
  <si>
    <t>22101 PRODUCTOS ALIMENTICIOS PARA EL PERSONAL EN LAS INSTALACIONES  SE REALIZO UN TRASPASO A LA PARTIDA  26101 COMBUSTIBLES POR LA CANTIDAD DE $1,307.32  YA QUE NO SE CONTABA CON SUFICIENCIA PRESUPUESTAL EN DICHA PARTIDA Y SE TIENEN QUE GENERAR LOS PAGOS PARA PODER SEGUIR CON EL FUNCIONAMIENTO DE LA DEPENDENCIA.</t>
  </si>
  <si>
    <t>24801 MATERIALES COMPLEMENTARIOS  SE REALIZO UN TRASPASO A LA PARTIDA  26101 COMBUSTIBLES POR LA CANTIDAD DE $.01  YA QUE NO SE CONTABA CON SUFICIENCIA PRESUPUESTAL EN DICHA PARTIDA Y SE TIENEN QUE GENERAR LOS PAGOS PARA PODER SEGUIR CON EL FUNCIONAMIENTO DE LA DEPENDENCIA.</t>
  </si>
  <si>
    <t>24901 OTROS MATERIALES Y ARTICULOS DE CONSTRUCCION Y REPARACION  SE REALIZO UN TRASPASO A LA PARTIDA  26101 COMBUSTIBLES POR LA CANTIDAD DE $500  YA QUE NO SE CONTABA CON SUFICIENCIA PRESUPUESTAL EN DICHA PARTIDA Y SE TIENEN QUE GENERAR LOS PAGOS PARA PODER SEGUIR CON EL FUNCIONAMIENTO DE LA DEPENDENCIA.</t>
  </si>
  <si>
    <t>26102 LUBRICANTES Y ADITIVOS DE CONSTRUCCION Y REPARACION  SE REALIZO UN TRASPASO A LA PARTIDA  26101 COMBUSTIBLES POR LA CANTIDAD DE $1,935.00  YA QUE NO SE CONTABA CON SUFICIENCIA PRESUPUESTAL EN DICHA PARTIDA Y SE TIENEN QUE GENERAR LOS PAGOS PARA PODER SEGUIR CON EL FUNCIONAMIENTO DE LA DEPENDENCIA.</t>
  </si>
  <si>
    <t>27101 VESTUARIO Y UNIFORMES  SE REALIZO UN TRASPASO A LA PARTIDA  26101 COMBUSTIBLES POR LA CANTIDAD DE $1,615.82  YA QUE NO SE CONTABA CON SUFICIENCIA PRESUPUESTAL EN DICHA PARTIDA Y SE TIENEN QUE GENERAR LOS PAGOS PARA PODER SEGUIR CON EL FUNCIONAMIENTO DE LA DEPENDENCIA.</t>
  </si>
  <si>
    <t>29201 REFACCIONES Y ACCESORIOS MENORES DE EDIFICIOS SE REALIZO UN TRASPASO A LA PARTIDA  26101 COMBUSTIBLES POR LA CANTIDAD DE $650.37  YA QUE NO SE CONTABA CON SUFICIENCIA PRESUPUESTAL EN DICHA PARTIDA Y SE TIENEN QUE GENERAR LOS PAGOS PARA PODER SEGUIR CON EL FUNCIONAMIENTO DE LA DEPENDENCIA.</t>
  </si>
  <si>
    <t>29601 REFACC Y ACCS MENORES DE EQ DE TRANSPORTE SE REALIZO UN TRASPASO A LA PARTIDA  26101 COMBUSTIBLES POR LA CANTIDAD DE $17,079.17  YA QUE NO SE CONTABA CON SUFICIENCIA PRESUPUESTAL EN DICHA PARTIDA Y SE TIENEN QUE GENERAR LOS PAGOS PARA PODER SEGUIR CON EL FUNCIONAMIENTO DE LA DEPENDENCIA.</t>
  </si>
  <si>
    <t>31101 ENERGIA ELECTRICA  SE REALIZO UN TRASPASO A LA PARTIDA  26101 COMBUSTIBLES POR LA CANTIDAD DE $4,879.25  YA QUE NO SE CONTABA CON SUFICIENCIA PRESUPUESTAL EN DICHA PARTIDA Y SE TIENEN QUE GENERAR LOS PAGOS PARA PODER SEGUIR CON EL FUNCIONAMIENTO DE LA DEPENDENCIA.</t>
  </si>
  <si>
    <t>31401 TELEFONIA TRADICIONAL SE REALIZO UN TRASPASO A LA PARTIDA  26101 COMBUSTIBLES POR LA CANTIDAD DE $16,320.10  YA QUE NO SE CONTABA CON SUFICIENCIA PRESUPUESTAL EN DICHA PARTIDA Y SE TIENEN QUE GENERAR LOS PAGOS PARA PODER SEGUIR CON EL FUNCIONAMIENTO DE LA DEPENDENCIA.</t>
  </si>
  <si>
    <t>35501 MANTENIMIENTO Y CONSERVACION DE EQUIPO DE TRANSPORTE SE REALIZO UN TRASPASO A LA PARTIDA  26101 COMBUSTIBLES POR LA CANTIDAD DE $20,910.42  YA QUE NO SE CONTABA CON SUFICIENCIA PRESUPUESTAL EN DICHA PARTIDA Y SE TIENEN QUE GENERAR LOS PAGOS PARA PODER SEGUIR CON EL FUNCIONAMIENTO DE LA DEPENDENCIA.</t>
  </si>
  <si>
    <t>37501 VIATICOS EN EL PAIS SE REALIZO UN TRASPASO A LA PARTIDA  26101 COMBUSTIBLES POR LA CANTIDAD DE $87,774.88  YA QUE NO SE CONTABA CON SUFICIENCIA PRESUPUESTAL EN DICHA PARTIDA Y SE TIENEN QUE GENERAR LOS PAGOS PARA PODER SEGUIR CON EL FUNCIONAMIENTO DE LA DEPENDENCIA.</t>
  </si>
  <si>
    <t>37901 CUOTAS SE REALIZO UN TRASPASO A LA PARTIDA  26101 COMBUSTIBLES POR LA CANTIDAD DE $615.00  YA QUE NO SE CONTABA CON SUFICIENCIA PRESUPUESTAL EN DICHA PARTIDA Y SE TIENEN QUE GENERAR LOS PAGOS PARA PODER SEGUIR CON EL FUNCIONAMIENTO DE LA DEPENDENCIA.</t>
  </si>
  <si>
    <t>29401 REFACC Y ACCS MENORES DE EQ DE COMPUTO Y TEC DE INF SE REALIZO UN TRASPASO A LA PARTIDA  29201 REFACCIONES Y ACCESORIOS MENORES DE EDIFICIOS POR LA CANTIDAD DE $464.00  YA QUE NO SE CONTABA CON SUFICIENCIA PRESUPUESTAL EN DICHA PARTIDA Y SE ADQUIRIO REFACCIONES MENORES PARA EL MANTENIMIENTO DEL EDIFICIO</t>
  </si>
  <si>
    <t>21101  MATERIALES, UTILES Y EQUIPOS MENORES DE OFICINA SE REALIZO UN TRASPASO A LA PARTIDA 29401 REFACC Y ACCS MENORES DE EQ DE COMPUTO Y TEC DE INF POR LA CANTIDAD DE $33,350.00 ,YA QUE NO SE CONTABA CON SUFICIENCIA PRESUPUESTAL EN DICHA PARTIDA Y SE ADQUIRIERON REFACCIONES PARA LOS EQUIPOS DE COMPUTO</t>
  </si>
  <si>
    <t>35501 MANTENIMIENTO Y CONSERVACION DE EQUIPO DE TRANSPORTE SE REALIZO UN TRASPASO A LA PARTIDA 29401 REFACC Y ACCS MENORES DE EQ DE COMPUTO Y TEC DE INF POR LA CANTIDAD DE $3,897.60 ,YA QUE NO SE CONTABA CON SUFICIENCIA PRESUPUESTAL EN DICHA PARTIDA Y SE ADQUIRIERON REFACCIONES PARA LOS EQUIPOS DE COMPUTO</t>
  </si>
  <si>
    <t>31701 SERV DE ACCESO A INTERNET, REDES Y PROC DE INFORMACION SE REALIZO UN TRASPASO A LA PARTIDA 31801 SERVICIO POSTAL POR LA CANTIDAD DE $289.43 ,YA QUE NO SE CONTABA CON SUFICIENCIA PRESUPUESTAL EN DICHA PARTIDA Y SE UTILIZO SERVICIO DE PAQUETERIA</t>
  </si>
  <si>
    <t>34501 SEGURO DE BIENES PATRIMONIALES SE REALIZO UN TRASPASO A LA PARTIDA 32301 ARRENDAMIENTO DE MUEBLES, MAQUINARIA Y EQUIPO POR LA CANTIDAD DE $7,524.22 ,YA QUE NO SE CONTABA CON SUFICIENCIA PRESUPUESTAL EN DICHA PARTIDA Y SE ARRENDA EQUIPO DE COMPUTO EL CUAL SE UTILIZA EN LA DEPENDENCIA</t>
  </si>
  <si>
    <t>32201 ARRENDAMIENTO DE EDIFICIOS SE REALIZO UN TRASPASO A LA PARTIDA 32301 ARRENDAMIENTO DE MUEBLES, MAQUINARIA Y EQUIPO POR LA CANTIDAD DE $4,070.21 ,YA QUE NO SE CONTABA CON SUFICIENCIA PRESUPUESTAL EN DICHA PARTIDA Y SE ARRENDA EQUIPO DE COMPUTO EL CUAL SE UTILIZA EN LA DEPENDENCIA</t>
  </si>
  <si>
    <t>37501 VIATICOS EN EL PAIS SE REALIZO UN TRASPASO A LA PARTIDA 33101 SERVICIOS LEGALES, DE CONTABILIDAD, AUDITORIAS RELACIONADOS POR LA CANTIDAD DE $8,120.00 ,YA QUE NO SE CONTABA CON SUFICIENCIA PRESUPUESTAL EN DICHA PARTIDA Y SE REALIZO PAGO A NOTARIO PUBLICO POR  PROTOCOLIZACION DE ACTA</t>
  </si>
  <si>
    <t>35302 MANTENIMIENTO Y CONSERVACION DE BIENES INFORMATICOS SE REALIZO UN TRASPASO A LA PARTIDA 33301 SERVICIO DE INFORMATICA POR LA CANTIDAD DE $13,920.00 ,YA QUE NO SE CONTABA CON SUFICIENCIA PRESUPUESTAL EN DICHA PARTIDA Y SE REALIZARON RESPALDOS DE INFORMACION</t>
  </si>
  <si>
    <t>21101  MATERIALES, UTILES Y EQUIPOS MENORES DE OFICINA SE REALIZO UN TRASPASO A LA PARTIDA 33603 IMPRESIONES Y PUBLICACIONES OFICIALES POR LA CANTIDAD DE $34,304.10 , TRIPTICOS , BITACORAS QUE SE UTILIZAN EN LA DEPENDENCIA</t>
  </si>
  <si>
    <t>21501 MATERIAL PARA INFORMACION SE REALIZO UN TRASPASO A LA PARTIDA 33605 LICITACIONES, CONVENIOS Y CONVOCATORIAS POR LA CANTIDAD DE $6,924.00 ,YA QUE NO SE CONTABA CON SUFICIENCIA PRESUPUESTAL EN DICHA PARTIDA Y SE REALIZARON GASTOS POR LICITACIONES DE OBRA</t>
  </si>
  <si>
    <t>37501 VIATICOS EN EL PAIS SE REALIZO UN TRASPASO A LA PARTIDA 33605 LICITACIONES, CONVENIOS Y CONVOCATORIAS POR LA CANTIDAD DE $976.04 ,YA QUE NO SE CONTABA CON SUFICIENCIA PRESUPUESTAL EN DICHA PARTIDA Y SE REALIZARON GASTOS POR LICITACIONES DE OBRA</t>
  </si>
  <si>
    <t>37201 PASAJES TERRESTRES SE REALIZO UN TRASPASO A LA PARTIDA 33605 LICITACIONES, CONVENIOS Y CONVOCATORIAS POR LA CANTIDAD DE $999.96 ,YA QUE NO SE CONTABA CON SUFICIENCIA PRESUPUESTAL EN DICHA PARTIDA, Y SE REALIZARON GASTOS POR LICITACIONES DE OBRA</t>
  </si>
  <si>
    <t>37501 VIATICOS EN EL PAIS SE REALIZO UN TRASPASO A LA PARTIDA 33605 LICITACIONES, CONVENIOS Y CONVOCATORIAS POR LA CANTIDAD DE $56,000.00 ,YA QUE NO SE CONTABA CON SUFICIENCIA PRESUPUESTAL EN DICHA PARTIDA YSE REALIZARON GASTOS POR LICITACIONES DE OBRA</t>
  </si>
  <si>
    <t>34501 SEGURO DE BIENES PATRIMONIALES SE REALIZO UN TRASPASO A LA PARTIDA 33801 SERVICIO DE VIGILANCIA POR LA CANTIDAD DE $6,540.00 ,YA QUE NO SE CONTABA CON SUFICIENCIA PRESUPUESTAL EN DICHA PARTIDA Y SE PAGA SERVICIO DE VIGILANCIA DE LA DEPENDENCIA</t>
  </si>
  <si>
    <t>33801 SERVICIO DE VIGILANCIA SE REALIZO UN TRASPASO A LA PARTIDA 34101 SERVICIOS FINANCIEROS Y BANCARIOS  POR LA CANTIDAD DE $4,147.62.00 ,YA QUE NO SE CONTABA CON SUFICIENCIA PRESUPUESTAL EN DICHA PARTIDA Y SE PAGAN COMISIONES BANCARIAS</t>
  </si>
  <si>
    <t>34501 SEGURO DE BIENES PATRIMONIALES SE REALIZO UN TRASPASO A LA PARTIDA 35101 MANTENIMIENTO Y CONSERVACION DE INMUEBLES  POR LA CANTIDAD DE $28,751.76 ,YA QUE NO SE CONTABA CON SUFICIENCIA PRESUPUESTAL EN DICHA PARTIDA, Y SE REALIZARON TRAJABOS DE PINTURA AL  EDIFICIO DE CECOP</t>
  </si>
  <si>
    <t>33301 SERVICIO DE INFORMATICA SE REALIZO UN TRASPASO A LA PARTIDA 35302 MANTENIMIENTO Y CONSERVACION DE BIENES INFORMATICOS  POR LA CANTIDAD DE $24,824.00, YA QUE NO SE CONTABA CON SUFICIENCIA PRESUPUESTAL EN DICHA PARTIDA Y SE REALIZAN PAGO DE SERVICIOS  A COMPUTADORAS DE  LA DEPENDENCIA</t>
  </si>
  <si>
    <t>35201 MANTENIMIENTO Y CONSERVACION DE MOBILIARIO Y EQUIPO SE REALIZO UN TRASPASO A LA PARTIDA 35302 MANTENIMIENTO Y CONSERVACION DE BIENES INFORMATICOS  POR LA CANTIDAD DE $12,412.00, YA QUE NO SE CONTABA CON SUFICIENCIA PRESUPUESTAL EN DICHA PARTIDA Y SE REALIZAN PAGO DE SERVICIOS  A COMPUTADORAS DE  LA DEPENDENCIA</t>
  </si>
  <si>
    <t>31401 TELEFONIA TRADICIONAL SE REALIZO UN TRASPASO A LA PARTIDA 33801 SERVICIO DE VIGILANCIA  LA CANTIDAD DE $15,950.00 , YA QUE NO SE CONTABA CON SUFICIENCIA PRESUPUESTAL EN DICHA PARTIDA Y SE TIENE CONTRATADO SERVICIO DE VIGILANCIA LAS CUAL SE LE PAGA UNA MENSUALIDAD</t>
  </si>
  <si>
    <t>35701 MANTENIMIENTO Y CONSERVACION DE MAQUINARIA Y EQUIPO SE REALIZO UN TRASPASO A LA PARTIDA 35302 MANTENIMIENTO Y CONSERVACION DE BIENES INFORMATICOS  POR LA CANTIDAD DE $24,824.00, YA QUE NO SE CONTABA CON SUFICIENCIA PRESUPUESTAL EN DICHA PARTIDA Y SE REALIZA PAGO DE SERVICIOS  A COMPUTADORAS DE  LA DEPENDENCIA</t>
  </si>
  <si>
    <t>35701 MANTENIMIENTO Y CONSERVACION DE MAQUINARIA Y EQUIPO SE REALIZO UN TRASPASO A LA PARTIDA 35302 MANTENIMIENTO Y CONSERVACION DE BIENES INFORMATICOS  POR LA CANTIDAD DE $12,412.00,YA QUE NO SE CONTABA CON SUFICIENCIA PRESUPUESTAL EN DICHA PARTIDA Y SE REALIZA PAGO DE SERVICIOS  A COMPUTADORAS DE  LA DEPENDENCIA</t>
  </si>
  <si>
    <t>33801 SERVICIO DE VIGILANCIA SE REALIZO UN TRASPASO A LA PARTIDA 35501 MANTENIMIENTO Y CONSERVACION DE EQUIPO DE TRANSPORTE  POR LA CANTIDAD DE $9,607.12,YA QUE NO SE CONTABA CON SUFICIENCIA PRESUPUESTAL EN DICHA PARTIDA Y POR EL GIRO DE LA DEPENDENCIA SALEN A SUPERVISAR OBRA POR LO CUAL SE UTILIZAN LOS VEHICULOS DE CECOP POR LO CUAL SE TIENE QUE DARLE SERVICIO CONSTANTE A DICHOS VEHICULOS.</t>
  </si>
  <si>
    <t>39201 IMPUESTOS Y DERECHOS SE REALIZO UN TRASPASO A LA PARTIDA 35501 MANTENIMIENTO Y CONSERVACION DE EQUIPO DE TRANSPORTE  POR LA CANTIDAD DE $200.00,YA QUE NO SE CONTABA CON SUFICIENCIA PRESUPUESTAL EN DICHA PARTIDA Y POR EL GIRO DE LA DEPENDENCIA SALEN A SUPERVISAR OBRA POR LO CUAL SE UTILIZAN LOS VEHICULOS DE CECOP POR LO CUAL SE TIENE QUE DARLE SERVICIO CONSTANTE A DICHOS VEHICULOS.</t>
  </si>
  <si>
    <t>35201 MANTENIMIENTO Y CONSERVACION DE MOBILIARIO Y EQUIPO SE REALIZO UN TRASPASO A LA PARTIDA 35501 MANTENIMIENTO Y CONSERVACION DE EQUIPO DE TRANSPORTE  POR LA CANTIDAD DE $1,450.01,YA QUE NO SE CONTABA CON SUFICIENCIA PRESUPUESTAL EN DICHA PARTIDA Y POR EL GIRO DE LA DEPENDENCIA SALEN A SUPERVISAR OBRA POR LO CUAL SE UTILIZAN LOS VEHICULOS DE CECOP POR LO CUAL SE TIENE QUE DARLE SERVICIO CONSTANTE A DICHOS VEHICULOS.</t>
  </si>
  <si>
    <t>37501 VIATICOS EN EL PAIS SE REALIZO UN TRASPASO A LA PARTIDA 35501 MANTENIMIENTO Y CONSERVACION DE EQUIPO DE TRANSPORTE  POR LA CANTIDAD DE $27,434.00,YA QUE NO SE CONTABA CON SUFICIENCIA PRESUPUESTAL EN DICHA PARTIDA Y POR EL GIRO DE LA DEPENDENCIA SALEN A SUPERVISAR OBRA POR LO CUAL SE UTILIZAN LOS VEHICULOS DE CECOP POR LO CUAL SE TIENE QUE DARLE SERVICIO CONSTANTE A DICHOS VEHICULOS.</t>
  </si>
  <si>
    <t>35201 MANTENIMIENTO Y CONSERVACION DE MOBILIARIO Y EQUIPO SE REALIZO UN TRASPASO A LA PARTIDA 35701 MANTENIMIENTO Y CONSERVACION DE MAQUINARIA Y EQUIPO  POR LA CANTIDAD DE $7,644.40,YA QUE NO SE CONTABA CON SUFICIENCIA PRESUPUESTAL EN DICHA PARTIDA Y SE REALIZA MANTENIMIENTO AL EQUIPO DE COMPUTO</t>
  </si>
  <si>
    <t xml:space="preserve">31101 ENERGIA ELECTRICA SE REALIZO UN TRASPASO A LA PARTIDA 35901 SERVICIOS DE JARDINERIA Y FUMIGACION POR LA CANTIDAD DE $3,168.01, YA QUE NO SE CONTABA CON SUFICIENCIA PRESUPUESTAL EN DICHA PARTIDA Y SE REALIZARON TRABAJO DE FUMIGACION AL EDIFICIO </t>
  </si>
  <si>
    <t>37501 VIATICOS EN EL PAIS SE REALIZO UN TRASPASO A LA PARTIDA 37502 GASTOS DE CAMINO POR LA CANTIDAD DE $12,000.00, POR EL GIRO DE LA DEPENDENCIA SALEN A SUPERVISAR OBRA POR LO CUAL SE ASIGNAN GASTOS DE CAMINO  YA QUE NO SE CONTABA CON SUFICIENCIA PRESUPUESTAL EN DICHA PARTIDA</t>
  </si>
  <si>
    <t xml:space="preserve">22101 PRODUCTOS ALIMENTICIOS PARA EL PERSONAL EN LAS INSTALACIONES SE REALIZO UN TRASPASO A LA PARTIDA 37901 CUOTAS POR LA CANTIDAD DE $725.00,YA QUE NO SE CONTABA CON SUFICIENCIA PRESUPUESTAL EN DICHA PARTIDA  POR EL GIRO DE LA DEPENDENCIA SALEN A SUPERVISAR OBRA POR LO CUAL SE ASIGNAN GASTOS DE CAMINO  </t>
  </si>
  <si>
    <t>38301 CONGRESOS Y CONVENCIONES PARA EL PERSONAL EN LAS INSTALACIONES SE REALIZO UN TRASPASO A LA PARTIDA 51501 BIENES INFORMATICOS POR LA CANTIDAD DE $3,076.32,YA QUE NO SE CONTABA CON SUFICIENCIA PRESUPUESTAL EN DICHA PARTIDA  Y SE ADQUIRIO UNA IMPRESORA PARA EL AREA DE COORDINACION</t>
  </si>
  <si>
    <t>EN LA PARTIDA 31401 TELEFONIA TRADICIONALSE TRASPASO LA CANTIDAD DE $13,878.96 DE LA DIRECCION GENERAL DE ADMINISTRACION Y FINANZAS A LA DIRECCION GENERAL DE CONCERTACION Y APOYO TECNICO , PARA DARLE SUFICIENCIA A DICHA PARTIDA Y ASI PODER COMPROMETER LOS GASTOS DE TELEFONO</t>
  </si>
  <si>
    <t>EN LA PARTIDA 35501 MANTENIMIENTO Y CONSERVACION DE EQUIPO DE TRANSPORTE SE TRASPASO LA CANTIDAD DE $5,556.36 DE LA COORDINACION GENERAL  A LA DIRECCION GENERAL DE ORGANIZACION SOCIAL , PARA DARLE SUFICIENCIA A DICHA PARTIDA Y ASI PODER COMPROMETER LOS GASTOS DE MANTENIMIENTO  EN DICHA UNIDAD ADMINISTRATIVA</t>
  </si>
  <si>
    <t>EN LA PARTIDA 21101 MATERIALES, UTILES Y EQUIPOS MENORES DE OFICINA SE TRASPASO LA CANTIDAD DE $2,866.81 DE LA  DIRECCION GENERAL DE CONCERTACION Y APOYO TECNICO  A LA DIRECCION GENERAL DE ADMINISTRACION Y FINANZAS , PARA DARLE SUFICIENCIA A DICHA PARTIDA Y ASI PODER COMPROMETER LOS GASTOS DE PAPELERIA  EN DICHA UNIDAD ADMINISTRATIVA</t>
  </si>
  <si>
    <t>EN LA PARTIDA 22101 PRODUCTOS ALIMENTICIOS PARA EL PERSONAL EN LAS INSTALACIONES SE TRASPASO LA CANTIDAD DE $1,284.24 DE LA  DIRECCION GENERAL DE ORGANIZACION SOCIAL  A LA DIRECCION GENERAL DE ADMINISTRACION Y FINANZAS , PARA DARLE SUFICIENCIA A DICHA PARTIDA Y ASI PODER COMPROMETER LOS GASTOS DE ALIMENTACION  EN DICHA UNIDAD ADMINISTRATIVA</t>
  </si>
  <si>
    <t>EN LA PARTIDA 21101 MATERIALES, UTILES Y EQUIPOS MENORES DE OFICINA SE TRASPASO LA CANTIDAD DE $2,492.89 DE LA  COORDINACION GENERAL   A LA DIRECCION GENERAL DE ADMINISTRACION Y FINANZAS , PARA DARLE SUFICIENCIA A DICHA PARTIDA Y ASI PODER COMPROMETER LOS GASTOS DE PAPELERIA  EN DICHA UNIDAD ADMINISTRATIVA</t>
  </si>
  <si>
    <t>EN LA PARTIDA 21201 MATERIALES Y UTILES DE IMPESION Y REPRODUCCION SE TRASPASO LA CANTIDAD DE $9,002.38 DE LA  COORDINACION GENERAL   A LA DIRECCION GENERAL DE CONCERTACION Y APOYO TECNICO , PARA DARLE SUFICIENCIA A DICHA PARTIDA Y ASI PODER COMPROMETER LOS GASTOS DE TINTAS Y TONERS  EN DICHA UNIDAD ADMINISTRATIVA</t>
  </si>
  <si>
    <t>EN LA PARTIDA 21601 MATERIAL DE LIMPIEZA SE TRASPASO LA CANTIDAD DE $1,999.93 DE LA  COORDINACION GENERAL   A LA DIRECCION GENERAL DE ADMINISTRACION Y FINANZAS , PARA DARLE SUFICIENCIA A DICHA PARTIDA Y ASI PODER COMPROMETER LOS GASTOS DE MATERIAL DE LIMPIEZA  EN DICHA UNIDAD ADMINISTRATIVA</t>
  </si>
  <si>
    <t>EN LA PARTIDA 21201 MATERIALES Y UTILES DE IMPESION Y REPRODUCCION SE TRASPASO LA CANTIDAD DE $113.51 DE LA  COORDINACION GENERAL   A LA DIRECCION GENERAL DE ORGANIZACION SOCIAL , PARA DARLE SUFICIENCIA A DICHA PARTIDA Y ASI PODER COMPROMETER LOS GASTOS DE TINTAS Y TONERS  EN DICHA UNIDAD ADMINISTRATIVA</t>
  </si>
  <si>
    <t>EN LA PARTIDA 21201 MATERIALES Y UTILES DE IMPESION Y REPRODUCCION SE TRASPASO LA CANTIDAD DE $6,827.13 DE LA  COORDINACION GENERAL   A LA DIRECCION GENERAL DE CONCERTACION Y APOYO TECNICO , PARA DARLE SUFICIENCIA A DICHA PARTIDA Y ASI PODER COMPROMETER LOS GASTOS DE TINTAS Y TONERS  EN DICHA UNIDAD ADMINISTRATIVA</t>
  </si>
  <si>
    <t>EN LA PARTIDA 31401 TELEFONIA TRADICIONAL SE TRASPASO LA CANTIDAD DE $6,827.13 DE LA  DIRECCION GENERAL DE ADMINISTRACION Y FINANZAS   A LA DIRECCION GENERAL DE CONCERTACION Y APOYO TECNICO , PARA DARLE SUFICIENCIA A DICHA PARTIDA Y ASI PODER COMPROMETER LOS GASTOS DE TELEFONIA  EN DICHA UNIDAD ADMINISTRATIVA</t>
  </si>
  <si>
    <t>EN LA PARTIDA 35701 MANTENIMIENTO Y CONSERVACION DE MAQUINARIA Y EQUIPOSE TRASPASO LA CANTIDAD DE $4,824.25 DE LA  COORDINACION GENERAL   A LA DIRECCION GENERAL ADMINISTRACION Y FINANZAS , PARA DARLE SUFICIENCIA A DICHA PARTIDA Y ASI PODER COMPROMETER LOS GASTOS DE MANTENIMIENTO  EN DICHA UNIDAD ADMINISTRATIVA</t>
  </si>
  <si>
    <t>31401 TELEFONIA TRADICIONAL  SE REALIZO UN TRASPASO A LA PARTIDA 27201 PRENDAS DE SEGURIDAD Y PROTECCION PERSONAL POR LA CANTIDAD DE $949.92, CHALECOS QUE SE UTILIZARON EN EL BAZAR NAVIDEÑO</t>
  </si>
  <si>
    <t>27201 PRENDAS DE SEGURIDAD Y PROTECCION PERSONAL SE REALIZO UN TRASPASO A LA PARTIDA 27101 VESTUARIOS Y UNIFORMES POR LA CANTIDAD DE $949.92, CHALECOS QUE SE UTILIZARON EN EL BAZAR NAVIDEÑO</t>
  </si>
  <si>
    <t>31101 ENERGIA ELECTRICA SE REALIZO UN TRASPASO A LA PARTIDA 27101 VESTUARIOS Y UNIFORMES POR LA CANTIDAD DE $854.93, CHALECOS QUE SE UTILIZARON EN EL BAZAR NAVIDEÑO</t>
  </si>
  <si>
    <t>EN LA PARTIDA 31401 TELEFONIA TRADICIONAL SE TRASPASO LA CANTIDAD DE $949.92 DE LA  DIRECCION GENERAL DE ADMINISTRACION Y FINANZAS   A LA DIRECCION GENERAL DE CONCERTACION Y APOYO TECNICO , PARA DARLE SUFICIENCIA A DICHA PARTIDA Y ASI PODER COMPROMETER LOS GASTOS DE TELEFONIA TRADICIONAL.</t>
  </si>
  <si>
    <t>EN LA PARTIDA 37501 VIATICOS EN EL PAIS SE TRASPASO LA CANTIDAD DE $6,974.72 DE LA  DIRECCION GENERAL DE CONCERTACION Y APOYO TECNICO A LA PARTIDA 21101 MATERIALES, UTILES Y EQUPOS MENORES DE OFICINA LA $6,516.69   Y A LA PARTIDA 21201 MATERIALES Y UTILES DE IMPRESIÓN Y PRODUCCION A LA DIRECCION GENERAL DE CONCERTACION Y APOYO TECNICO POR LA CANTIDAD DE $458.03 , PARA DARLE SUFICIENCIA A DICHA PARTIDA Y ASI PODER COMPROMETER LOS GASTOS DE MATERIALES MENORES Y MATERIALES Y UTILES DE IMPRESIÓN</t>
  </si>
  <si>
    <t>EN LA PARTIDA 37502 GASTOS DE CAMINO SE TRASPASO LA CANTIDAD DE $3,402.90 DE LA  DIRECCION GENERAL DE CONCERTACION Y APOYO TECNICO A LA PARTIDA 21201 MATERIALES Y UTILES DE IMPRESIÓN Y PRODUCCION A LA DIRECCION GENERAL DE CONCERTACION Y APOYO TECNICO PARA DARLE SUFICIENCIA A DICHA PARTIDA Y ASI PODER COMPROMETER MATERIALES Y UTILES DE IMPRESIÓN.</t>
  </si>
  <si>
    <r>
      <t xml:space="preserve">correctos y </t>
    </r>
    <r>
      <rPr>
        <sz val="9"/>
        <color theme="1"/>
        <rFont val="Arial"/>
        <family val="2"/>
      </rPr>
      <t>son responsabilidad del emisor</t>
    </r>
    <r>
      <rPr>
        <sz val="9"/>
        <color rgb="FF000000"/>
        <rFont val="Arial"/>
        <family val="2"/>
      </rPr>
      <t xml:space="preserve"> </t>
    </r>
  </si>
  <si>
    <t>CONSTRUCCION DE CASA DE LA JUVENTUD, SEGUNDA ETAPA</t>
  </si>
  <si>
    <t>CONSTRUCCION DE CENTRO INTEGRAL DE FORMACION FAMILIAR, SEGUNDA ESTAPA</t>
  </si>
  <si>
    <t>REVITALIZACION 1RA. ETAPA DE PLAZA PUBLICA DE LA COMUNIDAD DE SAN
IGNACIO</t>
  </si>
  <si>
    <t>REMODELACION DE LA PLAZA PUBLICA EN LA LOCALIDAD DE PESQUEIRA</t>
  </si>
  <si>
    <t>INSTALACION DE SISTEMA DE ALUMBRADO PUBLICO EN EL CENTRO 
HISTORICO DE
CANANEA</t>
  </si>
  <si>
    <t xml:space="preserve">CONSTRUCCION DE MODULO DEPORTIVO EN LA LOCALIDAD DE PUEBLO DE ALAMOS_x000D_
</t>
  </si>
  <si>
    <t>CONSTRUCCION DE ESPACIO DEPORTIVO EN LA LOCALIDAD DE SAN MARCIAL</t>
  </si>
  <si>
    <t>CONSTRUCCION DE DOS TEJABANES EN PRIMARIA Y SECUNDARIA DEL 
MUNICIPIO DE
BACERAC, SONORA</t>
  </si>
  <si>
    <t>CONSTRUCCION DE CERCO PERIMETRAL Y FACHADA PRINCIPAL EN ESCUELA
TELESECUNDARIA NO. 169 H EN LA LOCALIDAD DE NACORI CHICO</t>
  </si>
  <si>
    <t>PAVIMENTACION CON CONCRETO HIDRAULICO DE CALLE VILLA LINDA ORIENTE Y VILLALINDA PONIENTE EN COLONIA LAS VILLAS, HERMOSILLO</t>
  </si>
  <si>
    <t>PAVIMENTACION CON CARPETA ASFALTICA DE CALLE 1RO. DE MAYO. AVE. IGNACIOZARAGOZA Y AVE. CRISTOBAL COLON EN COLONIA 5 DE MAYO, HERMOSILLO</t>
  </si>
  <si>
    <t>PROYECTOS DE INFRAESTRUCTURA DEPORTIVA MUNICIPAL(CONSTRUCCION DE UNIDAD DEPORTIVA "SAN FRANCISCO"), HERMOSILLO</t>
  </si>
  <si>
    <t>REHABILITACION DE UNIDAD DEPORTIVA MIRASOLES I Y II</t>
  </si>
  <si>
    <t>CONSTRUCCION DE UNIDAD DEPORTIVA CAMPO GRANDE</t>
  </si>
  <si>
    <t>CONSTRUCCION DE UNIDAD DEPORTIVA VILLA LOURDES</t>
  </si>
  <si>
    <t>REHABILITACION DE UNIDAD DEPORTIVALOMAS DE MADRID</t>
  </si>
  <si>
    <t>CONSTRUCCION DE UNIDAD DEPORTIVA DUNAS</t>
  </si>
  <si>
    <t>CONSTRUCCION DE UNIDAD DEPORTIVA LA CAMPIÑA</t>
  </si>
  <si>
    <t>REHABILITACION DE BIBLIOTECA PUBLICA "ELDON HEASTON</t>
  </si>
  <si>
    <t>REHABILITACION DE BIBLIOTECA PUBLICA "LA MALINCHE</t>
  </si>
  <si>
    <t>REHABILITACION DE BIBLIOTECA PUBLICA "BEATRIZ JUVERA</t>
  </si>
  <si>
    <t>REHABILITACION DE BIBLIOTECA PUBLICA "SAN BARTOLO</t>
  </si>
  <si>
    <t>REHABILITACION DE BIBLIOTECA PUBLICA "SAN PEDRO</t>
  </si>
  <si>
    <t>INSTALACION DE DRENAJE EN CALLE DIANA LAURA RIOJAS DE COLOSIO</t>
  </si>
  <si>
    <t>PAVIMENTACION CON CONCRETO HIDRAULICO EN CALLE BONFIL FINAL</t>
  </si>
  <si>
    <t>REHABILITACION DE DISPENSARIO MEDICO</t>
  </si>
  <si>
    <t>CONSTRUCCION DE TEJABANA EN ESCUELA PRIMARIA PROFR EPIFANIO VIERA</t>
  </si>
  <si>
    <t>PAVIMENTACION CON CONCRETO HIDRAULICO EN CALLE SONORA</t>
  </si>
  <si>
    <t>AMPLIACION DE RED DE ENERGIA ELECTRICA</t>
  </si>
  <si>
    <t>AMPLIACION DE SALON DE EVENTOS "SERGIO EFRAIN PLACENCIA LOPEZ"</t>
  </si>
  <si>
    <t>REHABILITACION DE IGLESIA NUESTRA SEÑORA DE GUADALUPE</t>
  </si>
  <si>
    <t>CONSTRUCCION DE TEJABAN EN ESCUELA PRIMARIA GENERAL MANUEL SAMANIEGO</t>
  </si>
  <si>
    <t>AMPLIACION DE RED DE ENERGIA ELECTRICA EN CALLE SALERNO Y NAVOJOA FINAL</t>
  </si>
  <si>
    <t>REHABILITACION DE ASOCIACION GANADERA DE HERMOSILLO</t>
  </si>
  <si>
    <t>REHABILITACION DE TANQUE ELEVADO METALICO PARA AGUA</t>
  </si>
  <si>
    <t>PAVIMENTACION CON CONCRETO HIDRAULICO EN CALLE EMILIANO ZAPATA</t>
  </si>
  <si>
    <t>REHABILITACION DE IGLESIA APOSTOLICA DE LA FE EN CRISTO JESUS</t>
  </si>
  <si>
    <t>PAVIMENTACION EN ALBERGUE SANTANENSE</t>
  </si>
  <si>
    <t>TERMINACION DE IGLESIA SAN JUAN BAUTISTA</t>
  </si>
  <si>
    <t>PAVIMENTACION DE CONCRETO HIDRAULICO EN CALLE NARCISO MENDOZA</t>
  </si>
  <si>
    <t>CONSTRUCCION DE BAÑOS</t>
  </si>
  <si>
    <t>INTRODUCCION DE RED DE AGUA POTABLE EN CALLE BACHEROS</t>
  </si>
  <si>
    <t>CONSTRUCCION DE CERCO EN PARQUE EN COLONIA CASA BLANCA</t>
  </si>
  <si>
    <t>CONSTRUCCION DE BIBLIOTECA MUNICIPAL</t>
  </si>
  <si>
    <t>CONSTRUCCION DE SALONES EN PARROQUIA SAN CARLO BORROMEO</t>
  </si>
  <si>
    <t>CONSTRUCCION DE ESCALINATAS EN COLONIA KM 6.5</t>
  </si>
  <si>
    <t>REHABILITACION DEL INSTITUTO TECNOLOGICO DEL VALLE DEL YAQUI</t>
  </si>
  <si>
    <t>AMPLIACION DE LA RED DE ENRGIA ELECTRICA  EN CALLE SIN NOMBRE</t>
  </si>
  <si>
    <t>CONSTRUCCION DE CERCO PERIMETRAL EN JARDIN DE NIÑOS EN COLONIA EL MEZQUITE</t>
  </si>
  <si>
    <t>REHABILITACION DE BAÑOS EN TELESECUNDARIA N° 233</t>
  </si>
  <si>
    <t>CONSTRUCCION DE TEJABAN EN CAM 58</t>
  </si>
  <si>
    <t>REHABILITACION DE PARROQUIA NUESTRA SEÑORA DE GUADALUPE</t>
  </si>
  <si>
    <t>CONSTRUCCION DE SALONES DE CATECISMO EN CAPILLA SANTO NIÑO DE ATOCHA</t>
  </si>
  <si>
    <t>REHABILITACION DE BAÑOS EN ESCUELA PRIMARIA GREGORIO TORRES QUINTERO</t>
  </si>
  <si>
    <t>CONSTRUCCION DE PARQUE DEL DIF</t>
  </si>
  <si>
    <t>PAVIMENTACION CON CONCRETO HIDRAULICO DE ACCESO A UNION GANADERA LOCAL</t>
  </si>
  <si>
    <t>REHABILITACION DE CANCHA CIVICA EN ESCUELA NORMAL ESTATAL DE ESPECIALIZACION</t>
  </si>
  <si>
    <t>REHABILLITACION DE IGLESIA EVANGELICA BETANIA</t>
  </si>
  <si>
    <t>REMODELACION DE INSTALACIONES Y CONSTRUCCION DE TEJABAN EN CAME N° 10</t>
  </si>
  <si>
    <t>CONSTRUCCION DE PISOS EN ESCUELA SECUNDARIA GENERAL ENRIQUETA URGELL N° 20</t>
  </si>
  <si>
    <t>REHABILITACION DE DISPENSARIO MEDICO MUNICIPAL</t>
  </si>
  <si>
    <t>CONSTRUCCION DE CUARTO PARA MOLINO  Y REHABILITACION DE LOCAL DE ASOCIACION GANADERA LOCAL</t>
  </si>
  <si>
    <t>REHABILITACION DE KIOSKO EN PLAZA PUBLICA</t>
  </si>
  <si>
    <t>REHABILITACION DE ALUMBRADO PUBLICO EN LA COMUNIDAD DE SAN MANUEL, EJIDO LA SANGRE, LA CUCHILLA Y SAN JOSE.</t>
  </si>
  <si>
    <t>REHABILITACION DE IGLESIA SAN ISIDRO</t>
  </si>
  <si>
    <t>CONSTRUCCION DE CERCO PERIMETRAL</t>
  </si>
  <si>
    <t>REHABILITACION EN JARDIN DE NIÑOS LIRIOS DEL DESIERTO</t>
  </si>
  <si>
    <t>REHABILITACION DE BAÑOS EN ESTADIO DE BEISBOL APOLONIO MIRANDA</t>
  </si>
  <si>
    <t>CONSTRUCCION DE DORMITORIO EN CENTRO COMUNITARIO DE ATENCION AL MIGRANTE Y NECESITADO</t>
  </si>
  <si>
    <t>REHABILITACION DE DRENAJE EN CALLE ROSARIO VALENZUELA</t>
  </si>
  <si>
    <t>CONSTRUCCION DE PAVIMENTO HIDRAULICO EN CALLE PRINCIPAL DE LA LOCALIDAD DE MUTUTICACHI</t>
  </si>
  <si>
    <t>CONSTRUCCION DE GRANDAS EN ESCUELA PRIMARIA VASCO DE QUIROGA</t>
  </si>
  <si>
    <t>CONSTRUCCION DE CERCO PERIMETRAL EN CANCHA DE FUTBOL RAPIDO EN PARQUE REFORMA</t>
  </si>
  <si>
    <t>CONSTRUCCION DE TEJABAN EN ESCUELA PRIMARIA CAM N° 5 MAESTRO JORGE NIEBLAS PINO</t>
  </si>
  <si>
    <t>CONSTRUCCION DE CERCO PERIMETRAL EN JARDIN DE NIÑOS NUEVO AMANECER</t>
  </si>
  <si>
    <t>CONSTRUCCION DE TEJABAN EN JARDIN DE NIÑOS ECOS DEL DESIERTO</t>
  </si>
  <si>
    <t>REMODELACION DE PISOS EN EXPALANADA CIVICA EN ESCUELA PRIMARIA OSWALDO BALLESTEROS</t>
  </si>
  <si>
    <t>CONSTRUCCION Y TERMINACION DE CANCHA MULTIFUNCIONAL PUBLICA</t>
  </si>
  <si>
    <t>AMPLIACION DE RED ELECTRICA EN CALLE SAN FELIPE</t>
  </si>
  <si>
    <t>AMPLIACION DE RED DE ENERGIA ELECTRICA EN EL SECTOR EL PUENTECITO</t>
  </si>
  <si>
    <t>CONSTRUCCION DE MURO DE CONTENCION EN PANTEON MUNICIPAL</t>
  </si>
  <si>
    <t>CONSTRUCCION DE COCINA COMEDOR Y MURO DE CONTENCION EN ESCUELA PRIMARIA LIC. BENITO JUAREZ</t>
  </si>
  <si>
    <t>CONSTRUCCION DE JARDINERAS EN BOULEVARD MATAMOROS EN ACCESO PRINCIPAL</t>
  </si>
  <si>
    <t>CONSTRUCCION DE FACHADA EN ACCESO PRINCIPAL DE ONAVAS</t>
  </si>
  <si>
    <t>REHABILITACION DE ENTRADA A JARDIN DE NIÑOS LOS ANGELITOS</t>
  </si>
  <si>
    <t>CONSTRUCCION DE CERCO PERIMETRAL EN PILA DE AGUA POTABLE</t>
  </si>
  <si>
    <t>REHABILITACION EN CASINO DE EVENTOS CASINO MUNICIPAL</t>
  </si>
  <si>
    <t>CONSTRUCCION DE CERCO EN ESCUELA PRIMARIA PRIMERO DE MAYO</t>
  </si>
  <si>
    <t>CONSTRUCCION DE BACKSTOP PARA CANCHA NEGRA DE BASQUETBOL</t>
  </si>
  <si>
    <t>CONSTRUCCION DE BACKSTOP PARA CANCHAS DE BASQUETBOL EN UNIDAD DEPORTIVA</t>
  </si>
  <si>
    <t>CONSTRUCCION DE TECHO DE LAMINA GALVANIZADA EN IGLESIA LUZ DEL MUNDO</t>
  </si>
  <si>
    <t>CONSTRUCCION DE TECHO DE VIGUETA Y BOVEDILLA EN CENTRO DE FE ESPERAZA Y AMOR A.R.</t>
  </si>
  <si>
    <t>CONSTRUCCION DE BAÑOS, BEBEDEROS Y MODULO DE GRADAS EN UNIDAD DEPORTIVA</t>
  </si>
  <si>
    <t>CONSTRUCCION DE AREA RECREATIVA EN CALLE VICENTE GUERRERO FINAL</t>
  </si>
  <si>
    <t>REHABILITACION DEL DIF MUNICIPAL</t>
  </si>
  <si>
    <t>CARPETEO ASFALTICO EN CALLE PESQUEIRA</t>
  </si>
  <si>
    <t>CONSTRUCCION DE PARQUE DE BEISBOL EL LLANO</t>
  </si>
  <si>
    <t>CONSTRUCCION DE CERCO PERIMETRAL EN TANQUE DE ALMACENAMIENTO Y POZO DE AGUA POTABLE</t>
  </si>
  <si>
    <t>REMODELACION DE PARQUE LAS LIEBRES</t>
  </si>
  <si>
    <t>REHABILITACION DE DRENAJE EN AVENIDA FERROCARRIL</t>
  </si>
  <si>
    <t>INSTALACION DE MODULOS DE JUEGOS INFANTILES Y EJERCITADORES EN UNIDAD DEPORTIBA DEL EJIDO 16 DE SEPTIEMBRE</t>
  </si>
  <si>
    <t>CONSTRUCCION Y REHABILITACION DE PARQUE "VILLAS DEL MEDITERRANEO 1",HERMOSILLO</t>
  </si>
  <si>
    <t>CONSTRUCCION EN UNIDAD DEPORTIVA INTERNACIONAL, HERMOSILLO</t>
  </si>
  <si>
    <t>CONSTRUCCION Y REHABILITACION DE PARQUE "VILLA SOL II", HERMOSILLO</t>
  </si>
  <si>
    <t>CONSTRUCCION Y REHABILITACION DE PARQUE "RIOS", HERMOSILLO</t>
  </si>
  <si>
    <t>CONSTRUCCION Y REHABILITACION DE PARQUE "AGUALURCA", HERMOSILLO</t>
  </si>
  <si>
    <t>CONSTRUCCION Y REHABILITACION DE PARQUE "JEREZ DEL VALLE", HERMOSILLO</t>
  </si>
  <si>
    <t>REHABILITACION DE ESTADIO "CASTRO SERVIN", HERMOSILLO</t>
  </si>
  <si>
    <t>CONSTRUCCION Y REHABILITACION EN CAMPO DE BASEBALL LA SAUCEDA 1,HERMOSILLO</t>
  </si>
  <si>
    <t>CONSTRUCCION Y REHABILITACION DE PARQUE "LAGOS", HERMOSILLO</t>
  </si>
  <si>
    <t>CONSTRUCCION Y REHABILITACION DE PARQUE "LAS VILLAS", HERMOSILLO</t>
  </si>
  <si>
    <t>CONSTRUCCION Y REHABILITACION DE PARQUE CRUZ GALVEZ, HERMOSILLO</t>
  </si>
  <si>
    <t>CONSTRUCCION Y REHABILITACION DE PARQUE "VILLAS DEL REAL", HERMOSILLO</t>
  </si>
  <si>
    <t>CONSTRUCCION Y REHABILITACION DE PARQUE "VILLAS DEL MEDITERRANEO 2",HERMOSILLO</t>
  </si>
  <si>
    <t>REHABILITACION DE PARQUE "MONTE CARLO", HERMOSILLO</t>
  </si>
  <si>
    <t>CONSTRUCCION Y REHABILITACION DE PARQUE "VALLE GRANDE", HERMOSILLO</t>
  </si>
  <si>
    <t>REHABILITACION DE PARQUE "NUEVO HERMOSILLO II", HERMOSILLO</t>
  </si>
  <si>
    <t>REHABILITACION DE VELODROMO EN ESTADIO HEROE DE NACOZARI, HERMOSILLO</t>
  </si>
  <si>
    <t>REHABILITACION DE PARQUE "TUMACACORI", HERMOSILLO</t>
  </si>
  <si>
    <t>CONSTRUCCION Y REHABILITACION DE PARQUE "VILLAS DEL MEDITERRANEO 3",HERMOSILLO</t>
  </si>
  <si>
    <t>CONSTRUCCION Y REHABILITACION DE PARQUE "PALMERA", HERMOSILLO</t>
  </si>
  <si>
    <t>CONSTRUCCION Y REHABILITACION DE UNIDAD DEPORTIVA "BELLA VISTA",HERMOSILLO</t>
  </si>
  <si>
    <t>CONSTRUCCION Y REHABILITACION DE PARQUE "SAN JUDAS", HERMOSILLO</t>
  </si>
  <si>
    <t>REHABILITACION DE PARQUE "LAS PLACITAS", HERMOSILLO</t>
  </si>
  <si>
    <t>CONSTRUCCION Y REHABILITACION DE UNIDAD DEPORTIVA CARMEN SERDAN,HERMOSILLO</t>
  </si>
  <si>
    <t>CONSTRUCCION Y REHABILITACION DE PARQUE "LAS FUENTES", HERMOSILLO</t>
  </si>
  <si>
    <t>REHABILITACION DE VELODROMO EN ESTADIO HEROES DE NACOZARI, HERMOSILLO</t>
  </si>
  <si>
    <t>CONSTRUCCION Y REHABILITACION DE PLAZA " 3 PUEBLOS", HERMOSILLO</t>
  </si>
  <si>
    <t>CONSTRUCCION Y REHABILITACION DE PARQUE "RAQUET", HERMOSILLO</t>
  </si>
  <si>
    <t>CONSTRUCCION Y REHABILITACION DE PARQUE "PUEBLO ESCONDIDO", HERMOSILLO</t>
  </si>
  <si>
    <t>CONSTRUCCION Y REHABILITACION DE PARQUE "PALMA DORADA", HERMOSILLO</t>
  </si>
  <si>
    <t>CONSTRUCCION Y REHABILITACION DE UNIDAD DEPORTIVA "CAFÉ COMBATE",HERMOSILLO</t>
  </si>
  <si>
    <t>CONSTRUCCION Y REHABILITACION DE PARQUE "LAS PLAZAS", HERMOSILLO</t>
  </si>
  <si>
    <t>CONSTRUCCION Y REHABILITACION DE PARQUE "SAN JUAN", HERMOSILLO</t>
  </si>
  <si>
    <t>REHABILITACION DE GIMNASIO EN HERMOSILLO</t>
  </si>
  <si>
    <t>REHABILITACION Y COSNTRUCCION DE PARQUE BACHOCO, HERMOSILLO</t>
  </si>
  <si>
    <t>CONSTRUCCION Y REHABILITACION DE PARQUE "VILLAS DEL MEDITERRANEO",HERMOSILLO</t>
  </si>
  <si>
    <t>REHABILITACION Y CONSTRUCCION DE PARQUE "SANTA LAURA", HERMOSILLO</t>
  </si>
  <si>
    <t>CONSTRUCCION Y REHABILITACION DE PARQUE "VILLA BONITA 1", HERMOSILLO</t>
  </si>
  <si>
    <t>CONSTRUCCION Y REHABILITACION DE PARQUE "VILLA SATELITE", HERMOSILLO</t>
  </si>
  <si>
    <t>CONSTRUCCION Y REHABILITACION DE PARQUE "ARENOSO", MIGUEL ALEMAN,HERMOSILLO</t>
  </si>
  <si>
    <t>CONSTRUCCION Y REHABILITACION DE PARQUE "PALERMO", HERMOSILLO</t>
  </si>
  <si>
    <t>CONSTRUCCION Y REHABILITACION DE PARQUE SAN GERMAN, HERMOSILLO</t>
  </si>
  <si>
    <t>REHABILITACION DE PARQUE "QUINTAS DEL SOL", HERMOSILLO</t>
  </si>
  <si>
    <t>CONSTRUCCION Y REHABILITACION DE PARQUE "VILLA BONITA", HERMOSILLO</t>
  </si>
  <si>
    <t>CONSTRUCCION Y REHABILITACION DE PARQUE "VILLA BONITA 2", HERMOSILLO</t>
  </si>
  <si>
    <t>CONSTRUCCION Y REHABILITACION DE PARQUE "ACANTILADOS", HERMOSILLO</t>
  </si>
  <si>
    <t>CONSTRUCCION Y REHABILITACION DE PARQUE "LUIS TERAN", HERMOSILLO</t>
  </si>
  <si>
    <t>REHABILITACION DE PARQUE LINEAL "CENTRO HISTORICO", HERMOSILLO</t>
  </si>
  <si>
    <t>REHABILITACION Y CONSTRUCCION EN PARQUE "SOL AGUILAR", HERMOSILLO</t>
  </si>
  <si>
    <t>CONSTRUCCION Y REHABILITACION DE PARQUE "ANTILLAS", HERMOSILLO</t>
  </si>
  <si>
    <t>CONSTRUCCION Y REHABILITACION DE PARQUE "VILLA BONITA 3", HERMOSILLO</t>
  </si>
  <si>
    <t>REHABILITACION DE PARQUE "BENITO JUAREZ", HERMOSILLO</t>
  </si>
  <si>
    <t>CONSTRUCCION Y REHABILITACION DE PARQUE "NUEVO HERMOSILLO", HERMOSILLO</t>
  </si>
  <si>
    <t>CONSTRUCCION Y REHABILITACION DE PARQUE "HECIENDA DE LA FLOR", HERMOSILLO</t>
  </si>
  <si>
    <t>CONSTRUCCION Y REHABILITACION DE PARQUE "PIEDRA BOLA", HERMOSILLO</t>
  </si>
  <si>
    <t>REHABILITACION DE UNIDAD DEPORTIVA LA SAUCEDA, HERMOSILLO</t>
  </si>
  <si>
    <t>CONSTRUCCION Y REHABILITACION DE PARQUE LINEAL "GOMEZ MORIN", HERMOSILLO</t>
  </si>
  <si>
    <t>CONSTRUCCION Y REHABILITACION DE PARQUE "LOS JARDINES", HERMOSILLO</t>
  </si>
  <si>
    <t>CONSTRUCCION Y REHABILITACION DE PARQUE "SAN JERONIMO", HERMOSILLO</t>
  </si>
  <si>
    <t>CONSTRUCCION Y REHABILITACION DE PARQUE "APACHE", HERMOSILLO</t>
  </si>
  <si>
    <t>CONSTRUCCION Y REHABILITACION DE PARQUE "LLANURAS", HERMOSILLO</t>
  </si>
  <si>
    <t>CONSTRUCCION Y REHABILITACION DE PARQUE "LAS LOMAS", HERMOSILLO</t>
  </si>
  <si>
    <t>CONSTRUCCION Y REHABILITACION DE PARQUE "PALMAR DEL SOL", HERMOSILLO</t>
  </si>
  <si>
    <t>CONSTRUCCION Y REHABILITACION DE PARQUE "SABANAS", HERMOSILLO</t>
  </si>
  <si>
    <t>CONSTRUCCION Y REHABILITACION DE PARQUE "SAN RENE", HERMOSILLO</t>
  </si>
  <si>
    <t>REHABILITACION DE PARQUE "REAL DEL CARMEN", HERMOSILLO</t>
  </si>
  <si>
    <t>CONSTRUCCION Y REHABILITACION DE PARQUE LINEAL "REAL DEL COBRE", HERMOSILLO</t>
  </si>
  <si>
    <t>CONSTRUCCION Y REHABILITACION DE PARQUE "JORGE VALDEZ MU?OZ", HERMOSILLO</t>
  </si>
  <si>
    <t>CONSTRUCCION Y REHABILITACION DE PARQUE LINEAL "CENTRO HISTORICO",HERMOSILLO</t>
  </si>
  <si>
    <t>CONSTRUCCION Y REHABILITACION DE PARQUE "LA VERBENA", HERMOSILLO</t>
  </si>
  <si>
    <t>CONSTRUCCION Y REHABILITACION DE PARQUE "4 DE MARZO", HERMOSILLO</t>
  </si>
  <si>
    <t>CONSTRUCCION Y REHABILITACION DE PARQUE "BICENTENARIO", HERMOSILLO</t>
  </si>
  <si>
    <t>CONSTRUCCION Y REHABILITACION DE PARQUE "VALLE DEL PORTAL", HERMOSILLO</t>
  </si>
  <si>
    <t>CONSTRUCCION Y REHABILITACION DE PARQUE "LAS TORRES", HERMOSILLO</t>
  </si>
  <si>
    <t>CONSTRUCCION Y REHABILITACION DE UNIDAD DEPORTIVA 3M, MIGUEL ALEMAN,HERMOSILLO</t>
  </si>
  <si>
    <t>CONSTRUCCION Y REHABILITACION DE PARQUE "CASA BONITA", HERMOSILLO</t>
  </si>
  <si>
    <t>CONSTRUCCION DE LINEA DE CONDUCION, PILAS Y CERCO PERIMETRAL EN EL SISTE DE AGUA POTABLE</t>
  </si>
  <si>
    <t>AMPLIACION DE LAL RED DE DRENAJE DE 8" EN CALLE PRIMERO DE OCTUBRE Y SIN NOMBRE</t>
  </si>
  <si>
    <t>AMPLIACION DE LA RED DE DRENAJE DE 8" EN CALLE LOS OLIVOS FINAL</t>
  </si>
  <si>
    <t>PAVIMENTACION DE LA CALLE CALIFORNIA</t>
  </si>
  <si>
    <t>CONSTRUCCION Y REHABILITACION EN CAMPO DE BASEBALL "SAHUARO"</t>
  </si>
  <si>
    <t>CONSTRUCCION DE CAMPO DE BASEBALL "PALO VERDE"</t>
  </si>
  <si>
    <t>CONSTRUCCION Y REHABILITACION DE UNIDAD DEPORTIVA LAS CARRETAS</t>
  </si>
  <si>
    <t>REHABILITACION DE PLAZA PUBLICA VILLA DE SERIS</t>
  </si>
  <si>
    <t>CONSTRUCCION DE TEJABAN EN ESCUELA PRIMARIA JORGE ALFONSO CORELLA VALLES</t>
  </si>
  <si>
    <t>CONSTRUCCION DE TEJABAN EN ESCUELA PRIMARIA SALVADOR ALVARADO</t>
  </si>
  <si>
    <t>AMPLIACION DE LA RED DE ENERGIA ELECTRICA EN CALLES BENITO JUAREZ Y NOVENA</t>
  </si>
  <si>
    <t>REHABILITACION Y CONSTRUCCION DE MURO DE MAMPOSTERIA DETRAS DEL INSTITUTO TECNOLOGICO SUPERIOR DE CANANEA</t>
  </si>
  <si>
    <t>AMPLIACION DE LA RED DE ENERGIA ELECTRICA EN CALLE ROBERTO COTA NAVARRO</t>
  </si>
  <si>
    <t>AMPLIACION DE LA RED DE ENERGIA ELECTRICA EN CALLE CRESCENCIO MONROY</t>
  </si>
  <si>
    <t>AMPLIACION DE LA RED DE ENERGIA ELECTRICA SECUNDARIA EN CALLE JESUS BURROLA</t>
  </si>
  <si>
    <t>AMPLIACION DE LA RED DE ENERGIA ELECTRICA PRIMARIA Y SECUNDARIA EN CALLE MANUEL AVILA CAMACHO</t>
  </si>
  <si>
    <t>AMPLIACION DE LA RED DE ENERGIA ELECTRICA EN CALLE 5A</t>
  </si>
  <si>
    <t>del 1 de Octubre al 30 de Diciembre de 2015</t>
  </si>
  <si>
    <t>CEC0673</t>
  </si>
  <si>
    <t>CEC0674</t>
  </si>
  <si>
    <t xml:space="preserve"> al 31 de  Diciembre de 2015</t>
  </si>
  <si>
    <t>CEC0675</t>
  </si>
  <si>
    <t>IMPRESORA LASER COLOR SAMSUNG EPRESS C410 W</t>
  </si>
  <si>
    <t>IMPRESORA SAMSUNG SL</t>
  </si>
  <si>
    <t>IMPRESORA MULTIFUNCIONAL LASER JET MFP M127FN</t>
  </si>
  <si>
    <t>del 1 de Enero al 31 de Diciembre de 2015</t>
  </si>
  <si>
    <t xml:space="preserve">NOTA: DICHOS TRASPASOS NO IMPLICAN NINGUNA MODIFICACION EN NUESTRA ESTRUCTURA PROGRAMATICA, POR LO QUE NUESTRAS METAS </t>
  </si>
  <si>
    <t>NO SE VEN AFECTADAS EN SU PROGRAMACION</t>
  </si>
  <si>
    <t xml:space="preserve">NOTA: LA PARTIDA 1000 LA MANEJA RECURSOS HUMANOS , POR LO QUE LA DEPENDENCIA NO REALIZA AUMENTOS NI DISMINUCIONES </t>
  </si>
  <si>
    <t>PRESUPUESTALES MAS SOLO TRANSFERENCIA ENTRE PARTIDAS DERIVADAS DE LO QUE REPORTA RECURSOS HUMANOS A LA DEPENDENCIA</t>
  </si>
  <si>
    <t>ARCHIVO EN WORD</t>
  </si>
  <si>
    <t xml:space="preserve">del 1 Octubre al 31 Diciembre </t>
  </si>
  <si>
    <t>EN LA PARTIDA 31401 TELEFONIA TRADICIONAL SE TRASPASO LA CANTIDAD DE $949.92 DE LA  DIRECCION GENERAL DE ADMINISTRACION Y FINANZAS   A LA DIRECCION GENERAL DE CONCERTACION Y APOYO TECNICO , PARA DARLE SUFICIENCIA A DICHA PARTIDA Y ASI PODER COMPROMETER LOS GASTOS DE TELEFONIA TRADICIONAL</t>
  </si>
  <si>
    <t>EN EL MES DE DICIEMBRE SE AMPLIO PARTIDA 61211 POR LA CANTIDAD DE $145,057.01 AMPLIACION DE CONTRATO 154/2015 CECOP-R23-15-028ª SE CONFORMAN DE INTERESES DE DICHO RECURSO</t>
  </si>
  <si>
    <t>SE AUTORIZO LA APLICACIÓN DE DEVOLUCION DE RECURSO POR OBSERVACIONES DE PARTE DE LA CONTRALORIA, PARA QUE SE EJECUTE EN OBRA 2015 POR LA CANTIDAD DE 420,077.35</t>
  </si>
  <si>
    <t>EN EL MES DE NOVIEMBRE HUBO AFECTACION A LA CUENTA DE RESULTADOS DE EJERCICIOS ANTERIORES POR LA CANTIDAD DE $4,995.00 CANCELACION DE DEPOSITO EN GARANTIA DEL EJERCICIO 2013</t>
  </si>
  <si>
    <t>EN EL MES DE DICIEMBRE HUBO AFECTACION A LA CUENTA DE RESULTADOS DE EJERCICIOS ANTERIORES POR LA CANTIDAD DE $472.41 REFERENTE A LA DEVOLUCION DE RECURSO FEDERAL , $420,077.35 DEVOLUCION DE RECURSO POR OBSERVACION ES POR PARTE DE LA CONTRALORIA</t>
  </si>
  <si>
    <t xml:space="preserve">EN EL MES DE DICIEMBRE HUBO AFECTACION A LA CUENTA DE RESULTADOS DE EJERCICIOS ANTERIORES POR LA CANTIDAD DE $36,676,548.14 REGISTROS DEL GASTO DE EJERCICIO 2014 CON ENTREGA DE ACTAS FINIQUITOS DE CONTRATOS 99/2014, 98/2014,97/2014,73/2014 </t>
  </si>
  <si>
    <t>CONSTRUCCION DE CERCO EN PARQUE EN COLONIA MISION DEL REAL</t>
  </si>
  <si>
    <t>AMPLIACION DE LA RED DE ENERGIA ELECTRICA EN CALLE MESA DE GARIBAY</t>
  </si>
  <si>
    <t>AMPLIACION DE LA RE DE ENERGIA ELECTRICA EN CALLE NUEVO LEON ZARAGOZA Y CALLEJON SIN NOMBRE</t>
  </si>
  <si>
    <t>ELECTRIFICACION EN CALZADA PRIMERO DE JUNIO Y LUIS DONALDO COLOSIO</t>
  </si>
  <si>
    <t>CONSTRUCCION DE MURO DE MAMPOSTERIA A ESPALDAS DE CASA DE REHABILITACION CRISTIANA</t>
  </si>
  <si>
    <t>CONSTRUCCION DE MURO DE MAMPOSTERIA EN CALLE CHIAPAS Y SEGUNDA OESTE</t>
  </si>
  <si>
    <t>CONSTRUCCION DE MURO DE MAMPOSTERIA</t>
  </si>
  <si>
    <t>REHABILITACION DE TRAMO DE PAVIMENTO EN CALLE G. PRIETO</t>
  </si>
  <si>
    <t>CONSTRUCCION DE AULA DE MEDIOS EN JARDIN DE NIÑOS DIANA LAURA RIOJAS DE COLOSIO</t>
  </si>
  <si>
    <t>CONSTRUCCION DE CANCHA MULTIDEPORTIVA EN ESCUELA PRIMARIA FEDERAL MARGARITA MAZA DE JUAREZ</t>
  </si>
  <si>
    <t xml:space="preserve"> CONSTRUCCION DE CANCHA Y TECHUMBRE EN JARDIN DE NIÑOS ARCOIRIS</t>
  </si>
  <si>
    <t>CONSTRUCCION DE CASA DEL MAESTRO</t>
  </si>
  <si>
    <t>CONSTRUCCION DE PLAZA PUBLICA EN COLONIA ARMANDO LOPEZ NOGALES</t>
  </si>
  <si>
    <t>REHABILITACION EN EDIFICIO DEL DIF MUNICIPAL</t>
  </si>
  <si>
    <t>REHABILITACION DE IGLESIA INMACULADA CONCEPCION</t>
  </si>
  <si>
    <t>CONSTRUCCION DE CASETA DE ABORDAJE EN ACCESO A UNIVERSIDAD</t>
  </si>
  <si>
    <t>CONSTRUCCION DE TEJABAN METALICO CON COBIERTA DE LAMINA EN ESCUELA PRIMARIA JESUS GARCIA CORONA</t>
  </si>
  <si>
    <t>CONSTRUCCION DE TEJABAN METALICO CON CUBIERTA METALICA EN ESCUELA PRIMARIA VICENTE GUERRERO</t>
  </si>
  <si>
    <t>ISNTALACION DE ALUMBRADO PARA TEJABAN EN ESCUELA PRIMARIA JOSE MARIA MOLELOS Y PAVON</t>
  </si>
  <si>
    <t>INSTALACION DE SUBESTACION Y RAMAL SECUNDARIO</t>
  </si>
  <si>
    <t>CONSTRUCCION DE CERCO DE MALLA CICLONICA Y DALA PERIMETRAL EN CASA DE LA SALUD</t>
  </si>
  <si>
    <t>CONSTRUCCION DE TEJABAN METALICO CON CUBIERTA DE LAMINA EN IGLESIA DE DIOS EN MEXICO</t>
  </si>
  <si>
    <t>INSTALACION DE PLAFON MODULADO Y LAMPARAS LED EN IGLESIA DIOS ES AMOR</t>
  </si>
  <si>
    <t>COLOCACION DE LOSETA CERAMICA, CONSTRUCCION DE BAUTISTERIO Y FORJADO DE ESCALONES EN TEMPLO APOSENTO ALTO</t>
  </si>
  <si>
    <t>COLOCACION DE LOSETA CERAMICA Y REHABILITACION DE BAÑOS EN TEMPLO CALVARIO</t>
  </si>
  <si>
    <t>CONSTRUCCION DE CANCHA DE USOS MULTIPLES EN CENTRO DE RETIRO EL BUEN PASTOR</t>
  </si>
  <si>
    <t>CONSTRUCCION DE LOSA DE CONCRETO E IMPERMEABILIZACION EN IGLESIA GENTIL DE CRISTO</t>
  </si>
  <si>
    <t>AMPLIACION DE LA BIBLIOTECA Y REHABILITACION DE AULA DE COMPUTO EN ESCUELA SECUNDARIA TECNICA N° 11</t>
  </si>
  <si>
    <t>INSTALACION DE LOSETA DE CERAMICA EN PASILLOS DE LA ESCUELA PRIMARIA JOSE CARMELO</t>
  </si>
  <si>
    <t>COLOCACION DE LUMINARIAS EN CANCHA DE BASQUETBOL</t>
  </si>
  <si>
    <t>REHABILITACION DE JARDIN DE NIÑOS FRANCISCA RUIZ CORDOVA</t>
  </si>
  <si>
    <t>AMPLIACION DEL EDIFICIO DEL DIF</t>
  </si>
  <si>
    <t>AMPLIACION DE LA RED DE ALCANTARILLADO EN CALLEJON 57</t>
  </si>
  <si>
    <t>REHABILITACION DE LA RED DE ALCANTARILLADO EN CARRETERA VIEJA</t>
  </si>
  <si>
    <t>SUMINISTRO E INSTALACION DEL SISTEMA ELECTRICO DE PLAZA PUBLICA</t>
  </si>
  <si>
    <t>REHABILITACION DE MODULO SANITARIO EN ESCUELA TELESECUNDARIA N° 314</t>
  </si>
  <si>
    <t>CONSTRUCCION DE TEJABAN EN ESCUELA PRIMARIA CAMARA JUNIOR</t>
  </si>
  <si>
    <t>CONSTRUCCION DE TEJABAN EN ESCUELA SECUNDARIA N° 70 PROFESOR ROBERTO MAGAÑA SAIZA</t>
  </si>
  <si>
    <t>CONSTRUCCION DE TEJABAN EN CBTIS N° 37</t>
  </si>
  <si>
    <t>CONSTRUCCION DE AULAS DE TRABAJO PRIMERA ETAPA EN ESTACIA ALZHEIMER DORITA OJEDA I.A.P.</t>
  </si>
  <si>
    <t>CONSTRUCCION DE PISO DE ADOQUIN, CONCRETO Y BANCAS EN ATRIO DE LA PARROQUIA DE SAN FRANCISCO DE ASIS</t>
  </si>
  <si>
    <t>CONSTRUCCION DE LOSA  Y FIRME DE CONCRETO EN PARROQUIA JUAN PABLO II</t>
  </si>
  <si>
    <t>CONSTRUCCION DE BARDA, FALSO PLAFON E INSTALACIONES ELECTRICAS EN CAPILLA NUESTRA SEÑORA DE GUADALUPE</t>
  </si>
  <si>
    <t>CONSTRUCCION DE TEJABAN METALICO EN CAME N° 12</t>
  </si>
  <si>
    <t>CONSTRUCCION DE REJAS DE PERFIL TUBULAR SOBRE MURETE DE BLOCK Y RAMPA DE ACCESO EN JARDIN DE NIÑOS ANA DUARTE</t>
  </si>
  <si>
    <t>CONSTRUCCION DE MODULOS DE BAÑOS EN JARDIN DE NIÑOS HELIO CARLOS AGANZA</t>
  </si>
  <si>
    <t>CONSTRUCCION DE TEJABAN METALICO EN JARDIN DE NIÑOS JOSEFINA PADILLA</t>
  </si>
  <si>
    <t>AMPLIACION DE TEJABAN METALICO EN JARDIN DE NIÑOS ROBERT OWEN</t>
  </si>
  <si>
    <t>CONSTRUCCION DE DESAYUNADOR EN JARDIN DE NIÑOS LUIS SPOTA</t>
  </si>
  <si>
    <t>CONSTRUCCION DE TEJABAN METALICO EN JARDIN DE NIÑOS MARGARITA URUCHURTU</t>
  </si>
  <si>
    <t>CONSTRUCCION DE TEJABAN METALICO EN ESCUELA PRIMARIA PLUTARCO ELIAS CALLES</t>
  </si>
  <si>
    <t>CONSTRUCCION DE TEJABAN METALICO EN ESCUELA PRIMARIA EDUARDO LOPEZ RUIZ</t>
  </si>
  <si>
    <t>CONSTRUCCION DE TEJABAN METALICO Y PISO DE CONCRETOEN ESCUELA PRIMARIA RAFAEL SANTACRUZ REYES</t>
  </si>
  <si>
    <t>SUMINISTRO Y COLOCACION DE VITROPISO EN BIBLIOTECA Y TRES AULAS EN ESCUELA SECUNDARIA TECNICA N° 14</t>
  </si>
  <si>
    <t>CONSTRUCCION DE TEJABAN METALICO EN CECYTES N° IV</t>
  </si>
  <si>
    <t>CONSTRUCCION DE BANQUETAS, RAMPAS Y ACCESO A ESTACIONAMIENTO DEL CENDI N° 5</t>
  </si>
  <si>
    <t>TERMINACION DE LAS OFICINAS DEL SUTSMH</t>
  </si>
  <si>
    <t>CONSTRUCCION DE BANQUETAS Y RAMPAS EN CALLE SAN ANTONIO LADO PONIENTE</t>
  </si>
  <si>
    <t>AMPLIACION DE TECHUMBRE EN CANCHA DEL DIF MUNICIPAL</t>
  </si>
  <si>
    <t>REHABILITACION DE BASURON MUNICIPAL</t>
  </si>
  <si>
    <t>PAVIMENTACION CON CARPETA ASFALTICA EN CALLE 3</t>
  </si>
  <si>
    <t>PAVIMENTACION CON CARPETA ASFALTICA EN CALL 1</t>
  </si>
  <si>
    <t>CONSTRUCCION DE SALON DE USOS MULTIPLES EN ESCUELA PRIMARIA RURAL JACINTO LOPEZ</t>
  </si>
  <si>
    <t>SUBESTACION ELECTRICA EN IGLESIA DE DIOS EN MEXICO DEL EVANGELIO COMPLETO</t>
  </si>
  <si>
    <t>CONSTRUCCION DE IGLESIA DE DIOS EN MEXICO DEL EVANGELIO COMPLETO SEGUNDA ETAPA</t>
  </si>
  <si>
    <t>CONSTRUCCION DE TEJABAN EN ESCUELA PRIMARIA NARCISO MENDOZA</t>
  </si>
  <si>
    <t>CONSTRUCCION DE TEJABAN EN ESCUELA PRIMARIA ESTADO DE VERACRUZ</t>
  </si>
  <si>
    <t>MEJORAMIENTO DE ESTADIO DE BEISBOL EN LA LOCALIDAD LAS MIL HECTAREAS</t>
  </si>
  <si>
    <t>REHABILITACION DE PLAZA PUBLICA EN COLONIA LUIS DONALDO COLOSIO</t>
  </si>
  <si>
    <t>CONSTRUCCION DE TEJABAN EN IGLESIA DE DIOS EN MEXICO EVANGELIO COMPLETO A.R.</t>
  </si>
  <si>
    <t>CONSTRUCCION DE IGLESIA CATOLICA VIRGEN DE FATIMA PRIMERA ETAPA</t>
  </si>
  <si>
    <t>REHABILITACION DE CALLES EN LATERAL SUR CARRETERA HUATABAMPO AL JUPARE</t>
  </si>
  <si>
    <t>REHABILITACION DE CALLE DE ACCESO EN LATERAL SUR DE CARRETERA HUATABAMPO AL TABARE</t>
  </si>
  <si>
    <t>REHABILITACION DE CALLES EN LATERAL NORTE DE CARRETERA HUATABAMPO A ETCHOROPO</t>
  </si>
  <si>
    <t>REHABILITACION DE CALLES EN LATERAL SUR DE CARRETERA HUATABAMPO AL JUPARE</t>
  </si>
  <si>
    <t>REHABILITACION DE CALLES EN LATERAL PONIENTE DE LA CARRETERA DE LAS PARRAS A ENTRONQUE DE CARRETERA DE HUATABAMPO AL TABARE</t>
  </si>
  <si>
    <t>REHABILITACION DE CALLES EN LATERAL SUR DE CARRERERA DE HUATABAMPO A CITAVARO</t>
  </si>
  <si>
    <t>REHABILITACION DE CALLES EN LATERAL PONIENTE DE LA CARRETERA DE LAS PARRAS A ENTRONQUE DE LA CARRETERA HUATABAMPO AL TABARE</t>
  </si>
  <si>
    <t>REHABILITACION DE CANCHA DE USOS MULTIPLES PUBLICA CON TABLEROS MULTIFUNCIONALES</t>
  </si>
  <si>
    <t>CONSTRUCCION DE CERCO PERIMETRAL DE MALLA CICLONICA EN TEMPLO LA PESCA MILAGROSA</t>
  </si>
  <si>
    <t>CONSTRUCCION DE CERCO PERIMETRAL DE MALLA CICLONICA EN ALBERGUE SANTISIMA TRINIDAD</t>
  </si>
  <si>
    <t>CONSTRUCCION DE CERCO PERIMETRAL DE MALLA CICLONICA EN IGLESIA VIRGEN DE GUADALUPE</t>
  </si>
  <si>
    <t>INSTALACION DE SUBESTACION Y SISTEMA DE MEDIA TENSION EN PARROQUIA DEL SANTUARIO DE GUADALUPE</t>
  </si>
  <si>
    <t>CONSTRUCCION DE TEJABAN METALICO CON CUBIERTA DE LAMINA EN ESCUELA PRIMARIA ALFONSO CRUZ DELGADILLO</t>
  </si>
  <si>
    <t>CONSTRUCCION DE TEJABAN METALICO CON CUBIERTA DE LAMINA GALVANIZADA EN ESCUELA PRIMARIA VICENTE GUERRERO</t>
  </si>
  <si>
    <t>CONSTRUCCION DE TEJABAN METALICO CON CUBIERTA DE LAMINA GALVANIZADA EN ESCUELA PRIMARIA ANSELMO MACIAS</t>
  </si>
  <si>
    <t>INSTALACION DE ALUMBRADO PARA TEJABAN EN ESCUELA PRIMARIA JOSE MARIA MORELOS Y PAVON</t>
  </si>
  <si>
    <t>CONSTRUCCION DE BARDA Y CERCO DE MALLA CICLONICA CON DALA PERIMETRAL EN CANCHA DE USOS MULTIPLES</t>
  </si>
  <si>
    <t>INSTALACION DE SUBESTACION Y ARREGLO DE PROYECTORES EN CANCHA DE FUTBOL</t>
  </si>
  <si>
    <t>CONSTRUCCION DE BARDA, FACHADA Y CERCO DE MALLA CICLONICA CON DALA PERIMETRAL EN UNIDAD DEPORTIVA</t>
  </si>
  <si>
    <t>CONSTRUCCION DE MURO DE PROTECCION PARA POZO DE AGUA POTABLE</t>
  </si>
  <si>
    <t>AMPLIACION DE LA RED DE ENERGIA ELECTRICA</t>
  </si>
  <si>
    <t>CONSTRUCCION DE TEJABAN METALICO CON CUBIERTA DE LAMINA Y CERCO DE MALLA CICLONICA EN RAMADA PARA PASCOLAS</t>
  </si>
  <si>
    <t>AMPLIACION DE LA RED DE ENERGIA EN CENTRO DE SALUD</t>
  </si>
  <si>
    <t>INSTALACION DE ALUMBRADO EN EXPLANADA DEL CENTRO DE USOS MULTIPLES</t>
  </si>
  <si>
    <t>INSTALACION DE PLAFON MODULADO, REHABILITACION DE TECHUMBRE Y APLANADO EN MUROS EXTERIORES EN IGLESIA DULCE CORAZON DE MARIA</t>
  </si>
  <si>
    <t>CONSTRUCCION DE BAÑO Y COCINA EN IGLESIA CATOLICA SAN MIGUEL DE MASIACA</t>
  </si>
  <si>
    <t>CONSTRUCCION DE LOSA DE CONCRETO E IMPERMEABILIZACION EN IGLESIA MARIA DE GUADALUPE</t>
  </si>
  <si>
    <t>CONSTRUCCION DE LOSA DE CONCRETO E IMPERMEABILIZACION EN IGLESIA CATOLICA VIRGEN MARIA DE GUADALUPE</t>
  </si>
  <si>
    <t>CONSTRUCCION DE LOSA DE CONCRETO E IMPERMEABILIZACION EN CONICNA COMUNITARIA EN TEMPLO NAZARETH</t>
  </si>
  <si>
    <t>CONSTRUCCION DE LOSA DE CONCREO E IMPERMEABILIZACION EN IGLESIA GENTIL DE CRISTO</t>
  </si>
  <si>
    <t>CONSTRUCCION DE TEMPLO MONTE HOREB DE LA IGLESIA DE DIOS EN MEXICO EVANGELIO COMPLETO</t>
  </si>
  <si>
    <t>CONSTRUCCION DE TEJABAN METALICO CON CUBIERTA DE LA LAMINA EN IGLESIA DE DIOS DE LA PROFESIA</t>
  </si>
  <si>
    <t>CONSTRUCCION DE TEJABAN METALICO CON CUBIERTA DE LAMINA Y CONSTRUCCION DE PISO PULIDO EN CAPILLA SAN ISIDRO LABRADOR</t>
  </si>
  <si>
    <t>CONSTRUCCION DE TEJABAN METALICO CON CUBIERTA DE LAMINA GALVANIZADA EN CENTRO DE USOS MULTIPLES</t>
  </si>
  <si>
    <t>CONSTRUCCION DE TEJABAN METALICO CON CUBIERTA DE LAMINA, INSTALACION DE ALUMBRADO Y PINTURA EN MURO DEL CENTRO DE USOS MULTIPLES</t>
  </si>
  <si>
    <t>CONSTRUCCION DE LOSA DE CONCRETO EN IGLESIA CATOLICA SANTA MARIA DE GUADALUPE</t>
  </si>
  <si>
    <t>PAVIMENTACION EN AVENIDA PESQUEIRA</t>
  </si>
  <si>
    <t>REHABILITACION Y APLICACION DE PINTURA EN PLAZA ZARAGOZA</t>
  </si>
  <si>
    <t>REHABILITACION DE AULAS EN ESCUELA SECUNDARIA GENERAL MIGUEL PEÑA</t>
  </si>
  <si>
    <t>CONSTRUCCION DE SANITARIOS EN UNIDAD DEPORTIVA LA ALAMEDA</t>
  </si>
  <si>
    <t>AMPLIACION DE LINEA DE AGUA POTABLE EN CALLE DEL TINACO</t>
  </si>
  <si>
    <t>REHABILITACION DE LA RED DE ALCANTARILLADO EN AVENIDA ZARAGOZA</t>
  </si>
  <si>
    <t>REHABILITACION DE LA RED DE ALCANTARILLADO EN BOULEVARD COLOSIO</t>
  </si>
  <si>
    <t>REHABILITACION DE UNIDAD DEPORTIVA MAQUIO CLOUTHIER</t>
  </si>
  <si>
    <t>REHABILITACION DE CENTRO DE CATECISMO SAN PABLO</t>
  </si>
  <si>
    <t>CONSTRUCCION DE CERCO EN IGLESIA MEDALLA MILAGROSA</t>
  </si>
  <si>
    <t>PAVIMENTACION HIDRAULICA EN BOULEVARD MIGUEL HIDALGO</t>
  </si>
  <si>
    <t>REHABILITACION Y CONSTRUCCION DE BAÑOS EN EDIFICIO DEL DIF MUNICIPAL</t>
  </si>
  <si>
    <t>REMODELACION DE PALACIO MUNICIPAL</t>
  </si>
  <si>
    <t>CONSTRUCCION DE RAMPA EN ACCESO PRINCIPAL Y REMODELACION DE BAÑOS EN PALACIO MUNICIPAL</t>
  </si>
  <si>
    <t>AMPLIACION DE PAVIMENTO CON CONCRETO HIDRAULICO EN CALL A ACCESO AL PARQUE EL DIVISADERITO</t>
  </si>
  <si>
    <t>COSNTRUCCION DE CASA PARROQUIAL EN TEMPLO LA LUZ DEL MUNDO</t>
  </si>
  <si>
    <t>CONSTRUCCION DE CASA PARROQUIAL EN IGLESIA APOSTOLICA DE LA FE DE CRISTO JESUS</t>
  </si>
  <si>
    <t>CONSTRUCCION DE SALONES PARA PLATICAS EN IGLESIA EVANGELICA GENTIL DE CRISTO</t>
  </si>
  <si>
    <t>REHABILITACION DE PARQUE EN COLONIA VILLA SATELITE</t>
  </si>
  <si>
    <t>REHABILITACION DE PARQUE EN COLONIA 5 DE MAYO</t>
  </si>
  <si>
    <t>REHABILITACION DE PARQUE EN COLONIA LAS QUINTAS 1</t>
  </si>
  <si>
    <t>REHABILITACION DE PARQUE EN COLONIA LAS QUINTAS 2</t>
  </si>
  <si>
    <t>REHABILITACION DE PARQUE EN COLONIA PORTAL DEL PITIC</t>
  </si>
  <si>
    <t>REHABILITACION DE OBRA EXTERIOR Y AREAS VERDES EN GIMNACIO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</si>
</sst>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quot;€&quot;* #,##0.00_-;_-&quot;€&quot;* &quot;-&quot;??_-;_-@_-"/>
    <numFmt numFmtId="165" formatCode="0.0"/>
    <numFmt numFmtId="166" formatCode="#,##0.00_ ;\-#,##0.00\ "/>
    <numFmt numFmtId="167" formatCode="_(* #,##0.00_);_(* \(#,##0.00\);_(* &quot;-&quot;??_);_(@_)"/>
  </numFmts>
  <fonts count="86" x14ac:knownFonts="1">
    <font>
      <sz val="11"/>
      <color theme="1"/>
      <name val="Calibri"/>
      <family val="2"/>
      <scheme val="minor"/>
    </font>
    <font>
      <b/>
      <sz val="11"/>
      <color theme="1"/>
      <name val="Calibri"/>
      <family val="2"/>
      <scheme val="minor"/>
    </font>
    <font>
      <b/>
      <sz val="9"/>
      <color theme="1"/>
      <name val="Arial"/>
      <family val="2"/>
    </font>
    <font>
      <sz val="6"/>
      <color rgb="FF000000"/>
      <name val="Arial"/>
      <family val="2"/>
    </font>
    <font>
      <sz val="6"/>
      <color theme="1"/>
      <name val="Arial"/>
      <family val="2"/>
    </font>
    <font>
      <b/>
      <sz val="6"/>
      <color rgb="FF000000"/>
      <name val="Arial"/>
      <family val="2"/>
    </font>
    <font>
      <b/>
      <sz val="11"/>
      <color theme="1"/>
      <name val="Arial"/>
      <family val="2"/>
    </font>
    <font>
      <sz val="11"/>
      <color rgb="FF000000"/>
      <name val="Arial"/>
      <family val="2"/>
    </font>
    <font>
      <b/>
      <u/>
      <sz val="11"/>
      <color theme="1"/>
      <name val="Arial"/>
      <family val="2"/>
    </font>
    <font>
      <sz val="11"/>
      <color theme="1"/>
      <name val="Arial"/>
      <family val="2"/>
    </font>
    <font>
      <b/>
      <sz val="11"/>
      <color rgb="FF000000"/>
      <name val="Arial"/>
      <family val="2"/>
    </font>
    <font>
      <i/>
      <sz val="11"/>
      <color theme="1"/>
      <name val="Arial"/>
      <family val="2"/>
    </font>
    <font>
      <b/>
      <i/>
      <sz val="11"/>
      <color theme="1"/>
      <name val="Arial"/>
      <family val="2"/>
    </font>
    <font>
      <b/>
      <sz val="12"/>
      <color theme="1"/>
      <name val="Arial"/>
      <family val="2"/>
    </font>
    <font>
      <sz val="12"/>
      <color theme="1"/>
      <name val="Calibri"/>
      <family val="2"/>
      <scheme val="minor"/>
    </font>
    <font>
      <sz val="10"/>
      <color theme="1"/>
      <name val="Arial"/>
      <family val="2"/>
    </font>
    <font>
      <b/>
      <sz val="9"/>
      <color rgb="FF000000"/>
      <name val="Arial"/>
      <family val="2"/>
    </font>
    <font>
      <sz val="10"/>
      <color theme="1"/>
      <name val="Arial Narrow"/>
      <family val="2"/>
    </font>
    <font>
      <b/>
      <sz val="10"/>
      <color theme="1"/>
      <name val="Arial"/>
      <family val="2"/>
    </font>
    <font>
      <sz val="9"/>
      <color theme="1"/>
      <name val="Calibri"/>
      <family val="2"/>
      <scheme val="minor"/>
    </font>
    <font>
      <sz val="9"/>
      <color rgb="FF000000"/>
      <name val="Arial"/>
      <family val="2"/>
    </font>
    <font>
      <b/>
      <i/>
      <sz val="11"/>
      <color rgb="FF000000"/>
      <name val="Arial"/>
      <family val="2"/>
    </font>
    <font>
      <sz val="10"/>
      <color rgb="FF000000"/>
      <name val="Arial Narrow"/>
      <family val="2"/>
    </font>
    <font>
      <b/>
      <sz val="10"/>
      <color theme="1"/>
      <name val="Arial Narrow"/>
      <family val="2"/>
    </font>
    <font>
      <sz val="10"/>
      <name val="Arial"/>
      <family val="2"/>
    </font>
    <font>
      <b/>
      <sz val="12"/>
      <name val="Arial"/>
      <family val="2"/>
    </font>
    <font>
      <b/>
      <sz val="10"/>
      <name val="Arial"/>
      <family val="2"/>
    </font>
    <font>
      <b/>
      <sz val="11"/>
      <color theme="1"/>
      <name val="Arial Narrow"/>
      <family val="2"/>
    </font>
    <font>
      <b/>
      <sz val="10"/>
      <color theme="1"/>
      <name val="Calibri"/>
      <family val="2"/>
      <scheme val="minor"/>
    </font>
    <font>
      <b/>
      <sz val="12"/>
      <color theme="1"/>
      <name val="Calibri"/>
      <family val="2"/>
      <scheme val="minor"/>
    </font>
    <font>
      <b/>
      <i/>
      <sz val="12"/>
      <color theme="1"/>
      <name val="Calibri"/>
      <family val="2"/>
      <scheme val="minor"/>
    </font>
    <font>
      <sz val="11"/>
      <color theme="1"/>
      <name val="Calibri"/>
      <family val="2"/>
      <scheme val="minor"/>
    </font>
    <font>
      <b/>
      <u/>
      <sz val="11"/>
      <color rgb="FF000000"/>
      <name val="Arial"/>
      <family val="2"/>
    </font>
    <font>
      <sz val="10"/>
      <name val="MS Sans Serif"/>
      <family val="2"/>
    </font>
    <font>
      <b/>
      <sz val="11"/>
      <name val="Arial"/>
      <family val="2"/>
    </font>
    <font>
      <b/>
      <sz val="18"/>
      <color theme="1"/>
      <name val="Calibri"/>
      <family val="2"/>
      <scheme val="minor"/>
    </font>
    <font>
      <b/>
      <sz val="12"/>
      <color theme="1"/>
      <name val="Arial Narrow"/>
      <family val="2"/>
    </font>
    <font>
      <b/>
      <sz val="14"/>
      <color theme="1"/>
      <name val="Calibri"/>
      <family val="2"/>
      <scheme val="minor"/>
    </font>
    <font>
      <b/>
      <i/>
      <u/>
      <sz val="11"/>
      <name val="Arial"/>
      <family val="2"/>
    </font>
    <font>
      <sz val="8"/>
      <color theme="1"/>
      <name val="Arial"/>
      <family val="2"/>
    </font>
    <font>
      <sz val="8"/>
      <color theme="1"/>
      <name val="Arial Narrow"/>
      <family val="2"/>
    </font>
    <font>
      <b/>
      <sz val="8"/>
      <color theme="1"/>
      <name val="Arial"/>
      <family val="2"/>
    </font>
    <font>
      <sz val="7.5"/>
      <color theme="1"/>
      <name val="Arial Narrow"/>
      <family val="2"/>
    </font>
    <font>
      <sz val="11"/>
      <color indexed="8"/>
      <name val="Calibri"/>
      <family val="2"/>
    </font>
    <font>
      <b/>
      <sz val="9"/>
      <name val="Arial"/>
      <family val="2"/>
    </font>
    <font>
      <sz val="10"/>
      <name val="Wingdings"/>
      <charset val="2"/>
    </font>
    <font>
      <sz val="9"/>
      <name val="Arial"/>
      <family val="2"/>
    </font>
    <font>
      <sz val="10"/>
      <name val="Times New Roman"/>
      <family val="1"/>
    </font>
    <font>
      <sz val="10"/>
      <name val="Bookman Old Style"/>
      <family val="1"/>
    </font>
    <font>
      <sz val="12"/>
      <name val="Arial"/>
      <family val="2"/>
    </font>
    <font>
      <sz val="8"/>
      <name val="Arial"/>
      <family val="2"/>
    </font>
    <font>
      <b/>
      <u/>
      <sz val="10"/>
      <color theme="1"/>
      <name val="Arial Narrow"/>
      <family val="2"/>
    </font>
    <font>
      <b/>
      <sz val="8"/>
      <name val="Arial"/>
      <family val="2"/>
    </font>
    <font>
      <b/>
      <sz val="8"/>
      <color indexed="8"/>
      <name val="Arial"/>
      <family val="2"/>
    </font>
    <font>
      <sz val="8"/>
      <color indexed="8"/>
      <name val="Arial"/>
      <family val="2"/>
    </font>
    <font>
      <sz val="11"/>
      <color indexed="8"/>
      <name val="Arial"/>
      <family val="2"/>
    </font>
    <font>
      <sz val="9"/>
      <color indexed="8"/>
      <name val="Times New Roman"/>
      <family val="1"/>
    </font>
    <font>
      <sz val="9"/>
      <color theme="1"/>
      <name val="Arial"/>
      <family val="2"/>
    </font>
    <font>
      <sz val="88"/>
      <color rgb="FF000000"/>
      <name val="Calibri"/>
      <family val="2"/>
      <scheme val="minor"/>
    </font>
    <font>
      <b/>
      <sz val="9"/>
      <color theme="1"/>
      <name val="Times New Roman"/>
      <family val="1"/>
    </font>
    <font>
      <b/>
      <u/>
      <sz val="8"/>
      <color rgb="FF000000"/>
      <name val="Arial"/>
      <family val="2"/>
    </font>
    <font>
      <b/>
      <sz val="8"/>
      <color rgb="FF000000"/>
      <name val="Arial"/>
      <family val="2"/>
    </font>
    <font>
      <sz val="8"/>
      <color rgb="FF000000"/>
      <name val="Arial"/>
      <family val="2"/>
    </font>
    <font>
      <b/>
      <i/>
      <sz val="8"/>
      <color theme="1"/>
      <name val="Arial"/>
      <family val="2"/>
    </font>
    <font>
      <i/>
      <sz val="8"/>
      <color theme="1"/>
      <name val="Arial"/>
      <family val="2"/>
    </font>
    <font>
      <b/>
      <u/>
      <sz val="8"/>
      <color theme="1"/>
      <name val="Arial"/>
      <family val="2"/>
    </font>
    <font>
      <vertAlign val="superscript"/>
      <sz val="8"/>
      <color theme="1"/>
      <name val="Arial"/>
      <family val="2"/>
    </font>
    <font>
      <b/>
      <vertAlign val="superscript"/>
      <sz val="8"/>
      <color theme="1"/>
      <name val="Arial"/>
      <family val="2"/>
    </font>
    <font>
      <b/>
      <sz val="8"/>
      <color theme="1"/>
      <name val="Arial Narrow"/>
      <family val="2"/>
    </font>
    <font>
      <b/>
      <sz val="8"/>
      <color theme="1"/>
      <name val="Arial Black"/>
      <family val="2"/>
    </font>
    <font>
      <sz val="8"/>
      <color theme="1"/>
      <name val="Calibri"/>
      <family val="2"/>
      <scheme val="minor"/>
    </font>
    <font>
      <sz val="10"/>
      <color theme="1"/>
      <name val="Calibri"/>
      <family val="2"/>
      <scheme val="minor"/>
    </font>
    <font>
      <sz val="10"/>
      <color rgb="FF000000"/>
      <name val="Arial"/>
      <family val="2"/>
    </font>
    <font>
      <b/>
      <sz val="10"/>
      <color rgb="FF000000"/>
      <name val="Arial"/>
      <family val="2"/>
    </font>
    <font>
      <b/>
      <i/>
      <sz val="10"/>
      <color rgb="FF000000"/>
      <name val="Arial"/>
      <family val="2"/>
    </font>
    <font>
      <sz val="9.5"/>
      <color theme="1"/>
      <name val="Arial"/>
      <family val="2"/>
    </font>
    <font>
      <sz val="11"/>
      <name val="Arial"/>
      <family val="2"/>
    </font>
    <font>
      <b/>
      <i/>
      <sz val="11"/>
      <name val="Arial"/>
      <family val="2"/>
    </font>
    <font>
      <sz val="11"/>
      <color theme="0"/>
      <name val="Calibri"/>
      <family val="2"/>
      <scheme val="minor"/>
    </font>
    <font>
      <b/>
      <sz val="11"/>
      <color rgb="FF000000"/>
      <name val="Calibri"/>
      <family val="2"/>
      <scheme val="minor"/>
    </font>
    <font>
      <sz val="11"/>
      <color rgb="FF000000"/>
      <name val="Calibri"/>
      <family val="2"/>
      <scheme val="minor"/>
    </font>
    <font>
      <sz val="12"/>
      <color theme="0"/>
      <name val="Calibri"/>
      <family val="2"/>
      <scheme val="minor"/>
    </font>
    <font>
      <sz val="11"/>
      <color theme="0"/>
      <name val="Arial"/>
      <family val="2"/>
    </font>
    <font>
      <sz val="7"/>
      <name val="Arial"/>
      <family val="2"/>
    </font>
    <font>
      <sz val="6"/>
      <name val="Arial"/>
      <family val="2"/>
    </font>
    <font>
      <b/>
      <sz val="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indexed="47"/>
      </patternFill>
    </fill>
    <fill>
      <patternFill patternType="solid">
        <fgColor indexed="9"/>
        <bgColor indexed="64"/>
      </patternFill>
    </fill>
    <fill>
      <patternFill patternType="solid">
        <fgColor theme="2" tint="-9.9978637043366805E-2"/>
        <bgColor indexed="64"/>
      </patternFill>
    </fill>
    <fill>
      <patternFill patternType="solid">
        <fgColor indexed="9"/>
      </patternFill>
    </fill>
    <fill>
      <patternFill patternType="solid">
        <fgColor theme="2" tint="-9.9978637043366805E-2"/>
        <bgColor indexed="8"/>
      </patternFill>
    </fill>
    <fill>
      <patternFill patternType="solid">
        <fgColor theme="0" tint="-0.249977111117893"/>
        <bgColor indexed="64"/>
      </patternFill>
    </fill>
  </fills>
  <borders count="10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double">
        <color auto="1"/>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style="double">
        <color auto="1"/>
      </top>
      <bottom style="double">
        <color auto="1"/>
      </bottom>
      <diagonal/>
    </border>
    <border>
      <left/>
      <right/>
      <top style="thin">
        <color auto="1"/>
      </top>
      <bottom/>
      <diagonal/>
    </border>
  </borders>
  <cellStyleXfs count="15">
    <xf numFmtId="0" fontId="0"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9" fontId="24" fillId="0" borderId="0" applyFont="0" applyFill="0" applyBorder="0" applyAlignment="0" applyProtection="0"/>
    <xf numFmtId="9" fontId="31" fillId="0" borderId="0" applyFont="0" applyFill="0" applyBorder="0" applyAlignment="0" applyProtection="0"/>
    <xf numFmtId="0" fontId="33" fillId="0" borderId="0"/>
    <xf numFmtId="44" fontId="31" fillId="0" borderId="0" applyFont="0" applyFill="0" applyBorder="0" applyAlignment="0" applyProtection="0"/>
    <xf numFmtId="43" fontId="24" fillId="0" borderId="0" applyFont="0" applyFill="0" applyBorder="0" applyAlignment="0" applyProtection="0"/>
    <xf numFmtId="0" fontId="43" fillId="6" borderId="0" applyNumberFormat="0" applyBorder="0" applyAlignment="0" applyProtection="0"/>
    <xf numFmtId="0" fontId="31" fillId="0" borderId="0"/>
    <xf numFmtId="43" fontId="3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cellStyleXfs>
  <cellXfs count="1186">
    <xf numFmtId="0" fontId="0" fillId="0" borderId="0" xfId="0"/>
    <xf numFmtId="0" fontId="0" fillId="0" borderId="0" xfId="0" applyFont="1"/>
    <xf numFmtId="0" fontId="9" fillId="0" borderId="7" xfId="0" applyFont="1" applyBorder="1" applyAlignment="1">
      <alignment horizontal="justify" vertical="top" wrapText="1"/>
    </xf>
    <xf numFmtId="0" fontId="11" fillId="0" borderId="7" xfId="0" applyFont="1" applyBorder="1" applyAlignment="1">
      <alignment horizontal="justify" vertical="top" wrapText="1"/>
    </xf>
    <xf numFmtId="0" fontId="12" fillId="0" borderId="7" xfId="0" applyFont="1" applyBorder="1" applyAlignment="1">
      <alignment horizontal="justify" vertical="top" wrapText="1"/>
    </xf>
    <xf numFmtId="0" fontId="9" fillId="0" borderId="6" xfId="0" applyFont="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9" fillId="0" borderId="0" xfId="0" applyFont="1"/>
    <xf numFmtId="0" fontId="19" fillId="0" borderId="0" xfId="0" applyFont="1"/>
    <xf numFmtId="0" fontId="6" fillId="0" borderId="7" xfId="0" applyFont="1" applyBorder="1" applyAlignment="1">
      <alignment horizontal="justify" vertical="top" wrapText="1"/>
    </xf>
    <xf numFmtId="0" fontId="6" fillId="0" borderId="7" xfId="0" applyFont="1" applyBorder="1" applyAlignment="1">
      <alignment horizontal="justify" vertical="top" wrapText="1"/>
    </xf>
    <xf numFmtId="0" fontId="12" fillId="0" borderId="10" xfId="0" applyFont="1" applyBorder="1" applyAlignment="1">
      <alignment horizontal="justify" vertical="top" wrapText="1"/>
    </xf>
    <xf numFmtId="0" fontId="17" fillId="0" borderId="7" xfId="0" applyFont="1" applyBorder="1" applyAlignment="1">
      <alignment horizontal="justify" vertical="top" wrapText="1"/>
    </xf>
    <xf numFmtId="0" fontId="0" fillId="0" borderId="0" xfId="0" applyAlignment="1">
      <alignment horizontal="center"/>
    </xf>
    <xf numFmtId="0" fontId="0" fillId="0" borderId="22" xfId="0" applyBorder="1" applyAlignment="1">
      <alignment horizontal="left"/>
    </xf>
    <xf numFmtId="0" fontId="0" fillId="0" borderId="22" xfId="0" applyBorder="1"/>
    <xf numFmtId="0" fontId="0" fillId="0" borderId="26" xfId="0" applyBorder="1"/>
    <xf numFmtId="0" fontId="0" fillId="0" borderId="27" xfId="0" applyBorder="1"/>
    <xf numFmtId="0" fontId="1" fillId="0" borderId="0" xfId="0" applyFont="1"/>
    <xf numFmtId="0" fontId="0" fillId="0" borderId="27" xfId="0" applyBorder="1" applyAlignment="1">
      <alignment horizontal="left"/>
    </xf>
    <xf numFmtId="0" fontId="0" fillId="0" borderId="26" xfId="0" applyBorder="1" applyAlignment="1">
      <alignment horizontal="left"/>
    </xf>
    <xf numFmtId="0" fontId="29" fillId="2" borderId="22" xfId="0" applyFont="1" applyFill="1" applyBorder="1" applyAlignment="1">
      <alignment horizontal="center"/>
    </xf>
    <xf numFmtId="0" fontId="1" fillId="2" borderId="0" xfId="0" applyFont="1" applyFill="1"/>
    <xf numFmtId="0" fontId="0" fillId="2" borderId="0" xfId="0" applyFill="1"/>
    <xf numFmtId="0" fontId="29" fillId="0" borderId="23" xfId="0" applyFont="1" applyFill="1" applyBorder="1" applyAlignment="1">
      <alignment horizontal="center"/>
    </xf>
    <xf numFmtId="0" fontId="29" fillId="0" borderId="16" xfId="0" applyFont="1" applyFill="1" applyBorder="1" applyAlignment="1">
      <alignment horizontal="center"/>
    </xf>
    <xf numFmtId="0" fontId="29" fillId="0" borderId="0" xfId="0" applyFont="1" applyFill="1" applyBorder="1" applyAlignment="1">
      <alignment horizontal="center"/>
    </xf>
    <xf numFmtId="0" fontId="14" fillId="0" borderId="0" xfId="0" applyFont="1" applyFill="1" applyBorder="1" applyAlignment="1">
      <alignment horizontal="left"/>
    </xf>
    <xf numFmtId="0" fontId="0" fillId="0" borderId="0" xfId="0" applyFill="1" applyBorder="1"/>
    <xf numFmtId="0" fontId="18" fillId="0" borderId="1" xfId="0" applyFont="1" applyFill="1" applyBorder="1" applyAlignment="1">
      <alignment horizontal="center" vertical="top" wrapText="1"/>
    </xf>
    <xf numFmtId="0" fontId="18" fillId="0" borderId="1" xfId="0" applyFont="1" applyFill="1" applyBorder="1" applyAlignment="1">
      <alignment vertical="top" wrapText="1"/>
    </xf>
    <xf numFmtId="0" fontId="0" fillId="0" borderId="0" xfId="0" applyFont="1" applyFill="1" applyBorder="1" applyAlignment="1">
      <alignment horizontal="left"/>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25" fillId="0" borderId="0" xfId="0" applyFont="1" applyAlignment="1">
      <alignment horizontal="center"/>
    </xf>
    <xf numFmtId="0" fontId="26" fillId="0" borderId="0" xfId="0" applyFont="1" applyAlignment="1">
      <alignment horizontal="center"/>
    </xf>
    <xf numFmtId="0" fontId="24" fillId="0" borderId="0" xfId="0" applyFont="1"/>
    <xf numFmtId="0" fontId="0" fillId="0" borderId="0" xfId="0" applyFont="1" applyBorder="1" applyAlignment="1">
      <alignment horizontal="left"/>
    </xf>
    <xf numFmtId="0" fontId="14" fillId="0" borderId="0" xfId="0" applyFont="1" applyBorder="1" applyAlignment="1">
      <alignment horizontal="left"/>
    </xf>
    <xf numFmtId="0" fontId="9" fillId="0" borderId="0" xfId="0" applyFont="1" applyAlignment="1">
      <alignment vertical="center"/>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3" borderId="5"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0" fillId="0" borderId="0" xfId="0" applyAlignment="1">
      <alignment vertical="center"/>
    </xf>
    <xf numFmtId="0" fontId="16" fillId="3" borderId="5" xfId="0" applyFont="1" applyFill="1" applyBorder="1" applyAlignment="1">
      <alignment horizontal="justify" vertical="center" wrapText="1"/>
    </xf>
    <xf numFmtId="0" fontId="20" fillId="3" borderId="7" xfId="0" applyFont="1" applyFill="1" applyBorder="1" applyAlignment="1">
      <alignment horizontal="justify" vertical="center" wrapText="1"/>
    </xf>
    <xf numFmtId="0" fontId="19" fillId="0" borderId="0" xfId="0" applyFont="1" applyAlignment="1">
      <alignment vertical="center"/>
    </xf>
    <xf numFmtId="0" fontId="20" fillId="3" borderId="5"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9" fillId="0" borderId="0" xfId="0" applyFont="1" applyAlignment="1">
      <alignment wrapText="1"/>
    </xf>
    <xf numFmtId="0" fontId="0" fillId="0" borderId="0" xfId="0" applyAlignment="1"/>
    <xf numFmtId="0" fontId="0" fillId="0" borderId="0" xfId="0" applyFont="1" applyAlignment="1"/>
    <xf numFmtId="0" fontId="9" fillId="0" borderId="0" xfId="0" applyFont="1" applyAlignment="1"/>
    <xf numFmtId="0" fontId="6" fillId="3" borderId="6" xfId="0" applyFont="1" applyFill="1" applyBorder="1" applyAlignment="1">
      <alignment horizontal="justify" vertical="top"/>
    </xf>
    <xf numFmtId="0" fontId="12" fillId="3" borderId="6" xfId="0" applyFont="1" applyFill="1" applyBorder="1" applyAlignment="1">
      <alignment horizontal="justify" vertical="top"/>
    </xf>
    <xf numFmtId="0" fontId="17" fillId="3" borderId="6" xfId="0" applyFont="1" applyFill="1" applyBorder="1" applyAlignment="1">
      <alignment horizontal="justify" vertical="top"/>
    </xf>
    <xf numFmtId="0" fontId="11" fillId="3" borderId="6" xfId="0" applyFont="1" applyFill="1" applyBorder="1" applyAlignment="1">
      <alignment horizontal="justify" vertical="top"/>
    </xf>
    <xf numFmtId="0" fontId="7" fillId="3" borderId="7" xfId="0" applyFont="1" applyFill="1" applyBorder="1" applyAlignment="1">
      <alignment horizontal="justify" vertical="top"/>
    </xf>
    <xf numFmtId="0" fontId="17" fillId="3" borderId="8" xfId="0" applyFont="1" applyFill="1" applyBorder="1" applyAlignment="1">
      <alignment horizontal="justify" vertical="top"/>
    </xf>
    <xf numFmtId="0" fontId="7" fillId="3" borderId="9" xfId="0" applyFont="1" applyFill="1" applyBorder="1" applyAlignment="1">
      <alignment horizontal="justify" vertical="top"/>
    </xf>
    <xf numFmtId="0" fontId="7" fillId="3" borderId="10" xfId="0" applyFont="1" applyFill="1" applyBorder="1" applyAlignment="1">
      <alignment horizontal="justify" vertical="top"/>
    </xf>
    <xf numFmtId="0" fontId="7" fillId="3" borderId="0" xfId="0" applyFont="1" applyFill="1" applyBorder="1" applyAlignment="1">
      <alignment horizontal="justify" vertical="top"/>
    </xf>
    <xf numFmtId="0" fontId="10" fillId="3" borderId="2" xfId="0" applyFont="1" applyFill="1" applyBorder="1" applyAlignment="1">
      <alignment horizontal="justify" vertical="top"/>
    </xf>
    <xf numFmtId="0" fontId="32" fillId="3" borderId="3" xfId="0" applyFont="1" applyFill="1" applyBorder="1" applyAlignment="1">
      <alignment horizontal="center" vertical="top"/>
    </xf>
    <xf numFmtId="0" fontId="32" fillId="3" borderId="4" xfId="0" applyFont="1" applyFill="1" applyBorder="1" applyAlignment="1">
      <alignment horizontal="center" vertical="top"/>
    </xf>
    <xf numFmtId="0" fontId="9" fillId="0" borderId="0" xfId="0" applyFont="1" applyAlignment="1">
      <alignment vertical="center" wrapText="1"/>
    </xf>
    <xf numFmtId="0" fontId="6" fillId="0" borderId="17" xfId="0" applyFont="1" applyFill="1" applyBorder="1" applyAlignment="1">
      <alignment horizontal="center" vertical="center" wrapText="1"/>
    </xf>
    <xf numFmtId="0" fontId="0" fillId="0" borderId="0" xfId="0" applyFont="1" applyAlignment="1">
      <alignment vertical="center"/>
    </xf>
    <xf numFmtId="0" fontId="14" fillId="0" borderId="0" xfId="0" applyFont="1" applyBorder="1" applyAlignment="1">
      <alignment horizontal="left" vertical="center"/>
    </xf>
    <xf numFmtId="0" fontId="0" fillId="0" borderId="0" xfId="0" applyFont="1" applyBorder="1" applyAlignment="1">
      <alignment horizontal="left" vertical="center"/>
    </xf>
    <xf numFmtId="0" fontId="10" fillId="3" borderId="2" xfId="0" applyFont="1" applyFill="1" applyBorder="1" applyAlignment="1">
      <alignment vertical="center"/>
    </xf>
    <xf numFmtId="0" fontId="10" fillId="3" borderId="4" xfId="0" applyFont="1" applyFill="1" applyBorder="1" applyAlignment="1">
      <alignment vertical="center"/>
    </xf>
    <xf numFmtId="0" fontId="7" fillId="3" borderId="7" xfId="0" applyFont="1" applyFill="1" applyBorder="1" applyAlignment="1">
      <alignment horizontal="justify"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6" xfId="0" applyFont="1" applyFill="1" applyBorder="1" applyAlignment="1">
      <alignment horizontal="justify" vertical="center"/>
    </xf>
    <xf numFmtId="0" fontId="21" fillId="3" borderId="7" xfId="0" applyFont="1" applyFill="1" applyBorder="1" applyAlignment="1">
      <alignment horizontal="justify" vertical="center"/>
    </xf>
    <xf numFmtId="0" fontId="7" fillId="3" borderId="6" xfId="0" applyFont="1" applyFill="1" applyBorder="1" applyAlignment="1">
      <alignment horizontal="justify" vertical="center"/>
    </xf>
    <xf numFmtId="0" fontId="22" fillId="3" borderId="7" xfId="0" applyFont="1" applyFill="1" applyBorder="1" applyAlignment="1">
      <alignment horizontal="justify" vertical="center"/>
    </xf>
    <xf numFmtId="0" fontId="7" fillId="3" borderId="8" xfId="0" applyFont="1" applyFill="1" applyBorder="1" applyAlignment="1">
      <alignment horizontal="justify" vertical="center"/>
    </xf>
    <xf numFmtId="0" fontId="7" fillId="3" borderId="10" xfId="0" applyFont="1" applyFill="1" applyBorder="1" applyAlignment="1">
      <alignment horizontal="justify" vertical="center"/>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vertical="center"/>
    </xf>
    <xf numFmtId="0" fontId="18" fillId="0" borderId="1" xfId="0"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0" fontId="4" fillId="0" borderId="7"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0" fillId="0" borderId="0" xfId="0"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0" xfId="0" applyFont="1" applyAlignment="1">
      <alignment vertical="center"/>
    </xf>
    <xf numFmtId="0" fontId="15" fillId="0" borderId="8" xfId="0" applyFont="1" applyBorder="1" applyAlignment="1">
      <alignment horizontal="justify" vertical="center" wrapText="1"/>
    </xf>
    <xf numFmtId="0" fontId="15" fillId="0" borderId="10" xfId="0" applyFont="1" applyBorder="1" applyAlignment="1">
      <alignment horizontal="justify" vertical="center" wrapText="1"/>
    </xf>
    <xf numFmtId="0" fontId="23" fillId="0" borderId="4" xfId="0" applyFont="1" applyFill="1" applyBorder="1" applyAlignment="1">
      <alignment horizontal="center" vertical="center" wrapText="1"/>
    </xf>
    <xf numFmtId="0" fontId="28" fillId="0" borderId="0" xfId="0" applyFont="1" applyAlignment="1">
      <alignment vertical="center"/>
    </xf>
    <xf numFmtId="49" fontId="28" fillId="0" borderId="0" xfId="0" applyNumberFormat="1" applyFont="1" applyAlignment="1">
      <alignment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0" xfId="0" applyAlignment="1">
      <alignment horizontal="right" vertical="center" indent="1"/>
    </xf>
    <xf numFmtId="49" fontId="18" fillId="0" borderId="6"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0" fontId="26" fillId="0" borderId="15" xfId="0" applyFont="1" applyBorder="1" applyAlignment="1">
      <alignment horizontal="left" vertical="center" wrapText="1"/>
    </xf>
    <xf numFmtId="3" fontId="26" fillId="0" borderId="15" xfId="6" applyNumberFormat="1" applyFont="1" applyBorder="1" applyAlignment="1">
      <alignment horizontal="center" vertical="center" wrapText="1"/>
    </xf>
    <xf numFmtId="3" fontId="26" fillId="0" borderId="20" xfId="0" applyNumberFormat="1" applyFont="1" applyBorder="1" applyAlignment="1">
      <alignment horizontal="right" vertical="center" wrapText="1"/>
    </xf>
    <xf numFmtId="3" fontId="26" fillId="0" borderId="7" xfId="6" applyNumberFormat="1" applyFont="1" applyBorder="1" applyAlignment="1">
      <alignment horizontal="center" vertical="center" wrapText="1"/>
    </xf>
    <xf numFmtId="0" fontId="26" fillId="0" borderId="6" xfId="0" applyFont="1" applyBorder="1" applyAlignment="1">
      <alignment horizontal="left" vertical="center"/>
    </xf>
    <xf numFmtId="0" fontId="26" fillId="0" borderId="28" xfId="0" applyFont="1" applyBorder="1" applyAlignment="1">
      <alignment vertical="center"/>
    </xf>
    <xf numFmtId="3" fontId="26" fillId="0" borderId="29" xfId="0" applyNumberFormat="1" applyFont="1" applyBorder="1" applyAlignment="1">
      <alignment horizontal="right" vertical="center"/>
    </xf>
    <xf numFmtId="3" fontId="26" fillId="0" borderId="28" xfId="0" applyNumberFormat="1" applyFont="1" applyBorder="1" applyAlignment="1">
      <alignment horizontal="center" vertical="center"/>
    </xf>
    <xf numFmtId="3" fontId="26" fillId="0" borderId="13" xfId="0" applyNumberFormat="1" applyFont="1" applyBorder="1" applyAlignment="1">
      <alignment horizontal="center" vertical="center"/>
    </xf>
    <xf numFmtId="0" fontId="6" fillId="4" borderId="0" xfId="0" applyFont="1" applyFill="1" applyBorder="1" applyAlignment="1">
      <alignment horizontal="right"/>
    </xf>
    <xf numFmtId="0" fontId="9" fillId="0" borderId="0" xfId="0" applyFont="1" applyAlignment="1">
      <alignment horizontal="center" vertical="center"/>
    </xf>
    <xf numFmtId="0" fontId="25" fillId="0" borderId="0" xfId="0" applyFont="1" applyAlignment="1">
      <alignment horizontal="center"/>
    </xf>
    <xf numFmtId="0" fontId="26" fillId="0" borderId="11" xfId="0" applyFont="1" applyBorder="1" applyAlignment="1">
      <alignment horizontal="center" vertical="center"/>
    </xf>
    <xf numFmtId="0" fontId="17" fillId="0" borderId="7" xfId="0" applyFont="1" applyBorder="1" applyAlignment="1">
      <alignment horizontal="left" vertical="justify"/>
    </xf>
    <xf numFmtId="0" fontId="18" fillId="0" borderId="3" xfId="0" applyFont="1" applyBorder="1" applyAlignment="1">
      <alignment horizontal="center" vertical="center"/>
    </xf>
    <xf numFmtId="0" fontId="36" fillId="0" borderId="0" xfId="0" applyFont="1" applyAlignment="1">
      <alignment vertical="top"/>
    </xf>
    <xf numFmtId="0" fontId="23" fillId="0" borderId="0" xfId="0" applyFont="1" applyAlignment="1">
      <alignment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2" borderId="4" xfId="0"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0" fontId="17" fillId="2" borderId="0" xfId="0" applyFont="1" applyFill="1" applyAlignment="1">
      <alignment vertical="center"/>
    </xf>
    <xf numFmtId="0" fontId="18" fillId="0" borderId="0" xfId="0" applyFont="1" applyBorder="1" applyAlignment="1">
      <alignment horizontal="center" vertical="center"/>
    </xf>
    <xf numFmtId="0" fontId="26" fillId="0" borderId="6" xfId="0" applyFont="1" applyBorder="1" applyAlignment="1">
      <alignment horizontal="center" vertical="center"/>
    </xf>
    <xf numFmtId="0" fontId="26" fillId="0" borderId="15" xfId="0" applyFont="1" applyBorder="1" applyAlignment="1">
      <alignment horizontal="center" vertical="center"/>
    </xf>
    <xf numFmtId="0" fontId="26" fillId="0" borderId="7" xfId="0" applyFont="1" applyBorder="1" applyAlignment="1">
      <alignment horizontal="center" vertical="center"/>
    </xf>
    <xf numFmtId="0" fontId="26" fillId="0" borderId="35" xfId="0" applyFont="1" applyBorder="1" applyAlignment="1">
      <alignment horizontal="center" vertical="center"/>
    </xf>
    <xf numFmtId="0" fontId="26" fillId="0" borderId="18" xfId="0" applyFont="1" applyBorder="1" applyAlignment="1">
      <alignment horizontal="center" vertical="center"/>
    </xf>
    <xf numFmtId="0" fontId="26" fillId="0" borderId="30" xfId="0" applyFont="1" applyBorder="1" applyAlignment="1">
      <alignment horizontal="center" vertical="center"/>
    </xf>
    <xf numFmtId="0" fontId="26" fillId="0" borderId="33" xfId="0" applyFont="1" applyBorder="1" applyAlignment="1">
      <alignment horizontal="center" vertical="center"/>
    </xf>
    <xf numFmtId="0" fontId="6" fillId="0" borderId="0" xfId="0" applyFont="1"/>
    <xf numFmtId="0" fontId="25" fillId="0" borderId="0" xfId="0" applyFont="1" applyBorder="1" applyAlignment="1">
      <alignment horizontal="center"/>
    </xf>
    <xf numFmtId="0" fontId="26" fillId="0" borderId="20" xfId="0" applyFont="1" applyBorder="1" applyAlignment="1">
      <alignment horizontal="center" vertical="center"/>
    </xf>
    <xf numFmtId="0" fontId="26" fillId="0" borderId="34" xfId="0" applyFont="1" applyBorder="1" applyAlignment="1">
      <alignment horizontal="center" vertical="center"/>
    </xf>
    <xf numFmtId="0" fontId="24" fillId="0" borderId="15" xfId="0" applyFont="1" applyBorder="1" applyAlignment="1">
      <alignment horizontal="left" vertical="center"/>
    </xf>
    <xf numFmtId="0" fontId="26" fillId="0" borderId="8" xfId="0" applyFont="1" applyBorder="1" applyAlignment="1">
      <alignment horizontal="center" vertical="center"/>
    </xf>
    <xf numFmtId="0" fontId="26" fillId="0" borderId="37"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wrapText="1"/>
    </xf>
    <xf numFmtId="0" fontId="9" fillId="4" borderId="0" xfId="0" applyFont="1" applyFill="1" applyAlignment="1">
      <alignment vertical="center" wrapText="1"/>
    </xf>
    <xf numFmtId="0" fontId="10" fillId="3" borderId="6" xfId="0" applyFont="1" applyFill="1" applyBorder="1" applyAlignment="1">
      <alignment horizontal="left" vertical="center"/>
    </xf>
    <xf numFmtId="0" fontId="6" fillId="4" borderId="9" xfId="0" applyFont="1" applyFill="1" applyBorder="1" applyAlignment="1">
      <alignment horizontal="left" vertical="center"/>
    </xf>
    <xf numFmtId="0" fontId="6" fillId="4" borderId="9" xfId="0" applyFont="1" applyFill="1" applyBorder="1" applyAlignment="1">
      <alignment horizontal="center" vertical="center" wrapText="1"/>
    </xf>
    <xf numFmtId="0" fontId="10" fillId="3" borderId="11" xfId="0" applyFont="1" applyFill="1" applyBorder="1" applyAlignment="1">
      <alignment vertical="center"/>
    </xf>
    <xf numFmtId="0" fontId="10" fillId="3" borderId="12" xfId="0" applyFont="1" applyFill="1" applyBorder="1" applyAlignment="1">
      <alignment vertical="center"/>
    </xf>
    <xf numFmtId="0" fontId="7" fillId="3" borderId="12" xfId="0" applyFont="1" applyFill="1" applyBorder="1" applyAlignment="1">
      <alignment horizontal="justify" vertical="center"/>
    </xf>
    <xf numFmtId="0" fontId="10" fillId="3" borderId="8" xfId="0" applyFont="1" applyFill="1" applyBorder="1" applyAlignment="1">
      <alignment vertical="center"/>
    </xf>
    <xf numFmtId="0" fontId="22" fillId="3" borderId="10" xfId="0" applyFont="1" applyFill="1" applyBorder="1" applyAlignment="1">
      <alignment horizontal="justify"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7" fillId="2" borderId="12" xfId="0" applyFont="1" applyFill="1" applyBorder="1" applyAlignment="1">
      <alignment horizontal="justify" vertical="center"/>
    </xf>
    <xf numFmtId="0" fontId="26" fillId="2" borderId="35" xfId="0" applyFont="1" applyFill="1" applyBorder="1" applyAlignment="1">
      <alignment horizontal="center" vertical="center"/>
    </xf>
    <xf numFmtId="0" fontId="26" fillId="2" borderId="44" xfId="0" applyFont="1" applyFill="1" applyBorder="1" applyAlignment="1">
      <alignment horizontal="center" vertical="center"/>
    </xf>
    <xf numFmtId="0" fontId="0" fillId="0" borderId="20" xfId="0" applyBorder="1"/>
    <xf numFmtId="0" fontId="25" fillId="0" borderId="0" xfId="0" applyFont="1" applyAlignment="1">
      <alignment horizontal="center"/>
    </xf>
    <xf numFmtId="0" fontId="0" fillId="0" borderId="3" xfId="0" applyBorder="1"/>
    <xf numFmtId="0" fontId="0" fillId="0" borderId="4" xfId="0" applyBorder="1"/>
    <xf numFmtId="0" fontId="0" fillId="0" borderId="6" xfId="0" applyBorder="1"/>
    <xf numFmtId="0" fontId="0" fillId="0" borderId="0" xfId="0" applyBorder="1"/>
    <xf numFmtId="0" fontId="0" fillId="0" borderId="7" xfId="0" applyBorder="1"/>
    <xf numFmtId="0" fontId="1" fillId="0" borderId="6" xfId="0" applyFont="1" applyBorder="1"/>
    <xf numFmtId="0" fontId="0" fillId="0" borderId="8" xfId="0" applyBorder="1"/>
    <xf numFmtId="0" fontId="0" fillId="0" borderId="9" xfId="0" applyBorder="1"/>
    <xf numFmtId="0" fontId="0" fillId="0" borderId="10" xfId="0" applyBorder="1"/>
    <xf numFmtId="0" fontId="35" fillId="0" borderId="0" xfId="0" applyFont="1" applyBorder="1" applyAlignment="1">
      <alignment vertical="justify"/>
    </xf>
    <xf numFmtId="0" fontId="35" fillId="0" borderId="9" xfId="0" applyFont="1" applyBorder="1" applyAlignment="1">
      <alignment vertical="justify"/>
    </xf>
    <xf numFmtId="0" fontId="0" fillId="0" borderId="2" xfId="0" applyBorder="1"/>
    <xf numFmtId="0" fontId="1" fillId="5" borderId="0" xfId="0" applyFont="1" applyFill="1"/>
    <xf numFmtId="0" fontId="0" fillId="5" borderId="0" xfId="0" applyFill="1"/>
    <xf numFmtId="0" fontId="0" fillId="0" borderId="31" xfId="0" applyBorder="1"/>
    <xf numFmtId="0" fontId="0" fillId="0" borderId="46" xfId="0" applyBorder="1"/>
    <xf numFmtId="0" fontId="0" fillId="0" borderId="45" xfId="0" applyBorder="1"/>
    <xf numFmtId="0" fontId="0" fillId="0" borderId="32" xfId="0" applyBorder="1"/>
    <xf numFmtId="0" fontId="0" fillId="0" borderId="25" xfId="0" applyBorder="1"/>
    <xf numFmtId="0" fontId="0" fillId="0" borderId="24" xfId="0" applyBorder="1"/>
    <xf numFmtId="0" fontId="0" fillId="0" borderId="15" xfId="0" applyBorder="1"/>
    <xf numFmtId="0" fontId="29" fillId="2" borderId="46" xfId="0" applyFont="1" applyFill="1" applyBorder="1" applyAlignment="1">
      <alignment horizontal="center"/>
    </xf>
    <xf numFmtId="0" fontId="29" fillId="2" borderId="45" xfId="0" applyFont="1" applyFill="1" applyBorder="1" applyAlignment="1">
      <alignment horizontal="center"/>
    </xf>
    <xf numFmtId="0" fontId="1" fillId="0" borderId="0" xfId="0" applyFont="1" applyAlignment="1">
      <alignment vertical="center"/>
    </xf>
    <xf numFmtId="0" fontId="40" fillId="0" borderId="6" xfId="0" applyFont="1" applyBorder="1" applyAlignment="1">
      <alignment horizontal="center" vertical="center" wrapText="1"/>
    </xf>
    <xf numFmtId="0" fontId="40" fillId="0" borderId="7" xfId="0" applyFont="1" applyBorder="1" applyAlignment="1">
      <alignment horizontal="justify" vertical="center" wrapText="1"/>
    </xf>
    <xf numFmtId="0" fontId="40" fillId="3" borderId="7" xfId="0" applyFont="1" applyFill="1" applyBorder="1" applyAlignment="1">
      <alignment horizontal="justify" vertical="top" wrapText="1"/>
    </xf>
    <xf numFmtId="0" fontId="39" fillId="0" borderId="11" xfId="0" applyFont="1" applyBorder="1" applyAlignment="1">
      <alignment horizontal="justify" vertical="center" wrapText="1"/>
    </xf>
    <xf numFmtId="0" fontId="41" fillId="0" borderId="13" xfId="0" applyFont="1" applyBorder="1" applyAlignment="1">
      <alignment horizontal="justify" vertical="center" wrapText="1"/>
    </xf>
    <xf numFmtId="0" fontId="42" fillId="0" borderId="6" xfId="0" applyFont="1" applyBorder="1" applyAlignment="1">
      <alignment vertical="top"/>
    </xf>
    <xf numFmtId="0" fontId="42" fillId="0" borderId="7" xfId="0" applyFont="1" applyBorder="1" applyAlignment="1">
      <alignment horizontal="justify" vertical="center" wrapText="1"/>
    </xf>
    <xf numFmtId="0" fontId="42" fillId="0" borderId="6" xfId="0" applyFont="1" applyBorder="1" applyAlignment="1">
      <alignment horizontal="center" vertical="center" wrapText="1"/>
    </xf>
    <xf numFmtId="0" fontId="0" fillId="0" borderId="27" xfId="0" applyBorder="1" applyAlignment="1">
      <alignment wrapText="1"/>
    </xf>
    <xf numFmtId="0" fontId="6" fillId="0" borderId="7" xfId="0" applyFont="1" applyBorder="1" applyAlignment="1">
      <alignment horizontal="center" vertical="center" wrapText="1"/>
    </xf>
    <xf numFmtId="0" fontId="9" fillId="0" borderId="0" xfId="0" applyFont="1" applyBorder="1"/>
    <xf numFmtId="43" fontId="6" fillId="0" borderId="5" xfId="0" applyNumberFormat="1" applyFont="1" applyFill="1" applyBorder="1" applyAlignment="1">
      <alignment horizontal="center" vertical="center" wrapText="1"/>
    </xf>
    <xf numFmtId="43" fontId="6" fillId="0" borderId="14" xfId="0" applyNumberFormat="1" applyFont="1" applyFill="1" applyBorder="1" applyAlignment="1">
      <alignment horizontal="center" vertical="center" wrapText="1"/>
    </xf>
    <xf numFmtId="0" fontId="25" fillId="0" borderId="0" xfId="0" applyFont="1" applyAlignment="1">
      <alignment horizontal="center"/>
    </xf>
    <xf numFmtId="0" fontId="9" fillId="0" borderId="0" xfId="0" applyFont="1" applyBorder="1" applyAlignment="1">
      <alignment horizontal="center" vertical="center"/>
    </xf>
    <xf numFmtId="0" fontId="24" fillId="7" borderId="0" xfId="0" applyFont="1" applyFill="1" applyAlignment="1">
      <alignment vertical="center"/>
    </xf>
    <xf numFmtId="0" fontId="24" fillId="7" borderId="0" xfId="0" applyFont="1" applyFill="1" applyBorder="1" applyAlignment="1">
      <alignment vertical="center"/>
    </xf>
    <xf numFmtId="0" fontId="26" fillId="7" borderId="0" xfId="0" applyFont="1" applyFill="1" applyBorder="1" applyAlignment="1">
      <alignment vertical="center"/>
    </xf>
    <xf numFmtId="0" fontId="24" fillId="0" borderId="0" xfId="0" applyFont="1" applyFill="1" applyAlignment="1">
      <alignment vertical="center"/>
    </xf>
    <xf numFmtId="0" fontId="0" fillId="0" borderId="26" xfId="0" applyBorder="1" applyAlignment="1">
      <alignment wrapText="1"/>
    </xf>
    <xf numFmtId="0" fontId="0" fillId="0" borderId="26" xfId="0" applyBorder="1" applyAlignment="1">
      <alignment horizontal="left" vertical="center"/>
    </xf>
    <xf numFmtId="0" fontId="0" fillId="0" borderId="31" xfId="0" applyBorder="1" applyAlignment="1">
      <alignment vertical="center"/>
    </xf>
    <xf numFmtId="0" fontId="0" fillId="0" borderId="24" xfId="0" applyBorder="1" applyAlignment="1">
      <alignment vertical="center"/>
    </xf>
    <xf numFmtId="43" fontId="0" fillId="0" borderId="0" xfId="12" applyFont="1"/>
    <xf numFmtId="0" fontId="53" fillId="0" borderId="20" xfId="0" applyFont="1" applyBorder="1" applyAlignment="1">
      <alignment vertical="center"/>
    </xf>
    <xf numFmtId="0" fontId="54" fillId="0" borderId="20" xfId="0" applyFont="1" applyBorder="1" applyAlignment="1">
      <alignment vertical="center"/>
    </xf>
    <xf numFmtId="0" fontId="50" fillId="0" borderId="20" xfId="0" applyFont="1" applyBorder="1" applyAlignment="1">
      <alignment vertical="center" wrapText="1"/>
    </xf>
    <xf numFmtId="0" fontId="50" fillId="0" borderId="20" xfId="0" applyFont="1" applyBorder="1" applyAlignment="1">
      <alignment wrapText="1"/>
    </xf>
    <xf numFmtId="0" fontId="54" fillId="0" borderId="20" xfId="0" applyFont="1" applyBorder="1" applyAlignment="1">
      <alignment vertical="center" wrapText="1"/>
    </xf>
    <xf numFmtId="0" fontId="39" fillId="0" borderId="20" xfId="0" applyFont="1" applyBorder="1" applyAlignment="1">
      <alignment vertical="center"/>
    </xf>
    <xf numFmtId="0" fontId="39" fillId="0" borderId="20" xfId="0" applyFont="1" applyBorder="1" applyAlignment="1">
      <alignment vertical="center" wrapText="1"/>
    </xf>
    <xf numFmtId="0" fontId="53" fillId="0" borderId="20" xfId="0" applyFont="1" applyBorder="1" applyAlignment="1">
      <alignment vertical="center" wrapText="1"/>
    </xf>
    <xf numFmtId="43" fontId="6" fillId="0" borderId="7" xfId="0" applyNumberFormat="1" applyFont="1" applyBorder="1" applyAlignment="1">
      <alignment wrapText="1"/>
    </xf>
    <xf numFmtId="43" fontId="12" fillId="3" borderId="7" xfId="12" applyFont="1" applyFill="1" applyBorder="1" applyAlignment="1">
      <alignment vertical="top"/>
    </xf>
    <xf numFmtId="43" fontId="12" fillId="3" borderId="10" xfId="12" applyFont="1" applyFill="1" applyBorder="1" applyAlignment="1">
      <alignment vertical="top" wrapText="1"/>
    </xf>
    <xf numFmtId="0" fontId="12" fillId="3" borderId="0" xfId="0" applyFont="1" applyFill="1" applyBorder="1" applyAlignment="1">
      <alignment vertical="top" wrapText="1"/>
    </xf>
    <xf numFmtId="0" fontId="12" fillId="3" borderId="9" xfId="0" applyFont="1" applyFill="1" applyBorder="1" applyAlignment="1">
      <alignment vertical="top" wrapText="1"/>
    </xf>
    <xf numFmtId="0" fontId="9" fillId="0" borderId="6" xfId="0" applyFont="1" applyBorder="1"/>
    <xf numFmtId="0" fontId="9" fillId="0" borderId="0" xfId="0" applyFont="1" applyBorder="1" applyAlignment="1">
      <alignment horizontal="center"/>
    </xf>
    <xf numFmtId="0" fontId="8" fillId="0" borderId="0" xfId="0" applyFont="1" applyBorder="1" applyAlignment="1">
      <alignment horizontal="center" vertical="top"/>
    </xf>
    <xf numFmtId="0" fontId="8" fillId="0" borderId="7" xfId="0" applyFont="1" applyBorder="1" applyAlignment="1">
      <alignment horizontal="center" vertical="top"/>
    </xf>
    <xf numFmtId="0" fontId="9" fillId="0" borderId="6" xfId="0" applyFont="1" applyBorder="1" applyAlignment="1">
      <alignment wrapText="1"/>
    </xf>
    <xf numFmtId="0" fontId="9" fillId="0" borderId="8" xfId="0" applyFont="1" applyBorder="1" applyAlignment="1">
      <alignment wrapText="1"/>
    </xf>
    <xf numFmtId="43" fontId="12" fillId="3" borderId="0" xfId="0" applyNumberFormat="1" applyFont="1" applyFill="1" applyBorder="1" applyAlignment="1">
      <alignment vertical="top" wrapText="1"/>
    </xf>
    <xf numFmtId="43" fontId="12" fillId="3" borderId="0" xfId="12" applyFont="1" applyFill="1" applyBorder="1" applyAlignment="1">
      <alignment vertical="top" wrapText="1"/>
    </xf>
    <xf numFmtId="43" fontId="9" fillId="0" borderId="0" xfId="0" applyNumberFormat="1" applyFont="1" applyAlignment="1">
      <alignment wrapText="1"/>
    </xf>
    <xf numFmtId="43" fontId="12" fillId="3" borderId="9" xfId="12" applyFont="1" applyFill="1" applyBorder="1" applyAlignment="1">
      <alignment vertical="top" wrapText="1"/>
    </xf>
    <xf numFmtId="43" fontId="2" fillId="0" borderId="10" xfId="12" applyFont="1" applyFill="1" applyBorder="1" applyAlignment="1">
      <alignment horizontal="center" vertical="center" wrapText="1"/>
    </xf>
    <xf numFmtId="43" fontId="3" fillId="3" borderId="7" xfId="12" applyFont="1" applyFill="1" applyBorder="1" applyAlignment="1">
      <alignment horizontal="justify" vertical="center" wrapText="1"/>
    </xf>
    <xf numFmtId="43" fontId="20" fillId="3" borderId="7" xfId="12" applyFont="1" applyFill="1" applyBorder="1" applyAlignment="1">
      <alignment horizontal="justify" vertical="center" wrapText="1"/>
    </xf>
    <xf numFmtId="43" fontId="16" fillId="3" borderId="7" xfId="12" applyFont="1" applyFill="1" applyBorder="1" applyAlignment="1">
      <alignment horizontal="justify" vertical="center" wrapText="1"/>
    </xf>
    <xf numFmtId="43" fontId="3" fillId="3" borderId="10" xfId="12" applyFont="1" applyFill="1" applyBorder="1" applyAlignment="1">
      <alignment horizontal="justify" vertical="center" wrapText="1"/>
    </xf>
    <xf numFmtId="44" fontId="10" fillId="3" borderId="7" xfId="8" applyFont="1" applyFill="1" applyBorder="1" applyAlignment="1">
      <alignment horizontal="justify" vertical="center"/>
    </xf>
    <xf numFmtId="44" fontId="7" fillId="3" borderId="7" xfId="8" applyFont="1" applyFill="1" applyBorder="1" applyAlignment="1">
      <alignment horizontal="justify" vertical="center"/>
    </xf>
    <xf numFmtId="44" fontId="10" fillId="3" borderId="5" xfId="8" applyFont="1" applyFill="1" applyBorder="1" applyAlignment="1">
      <alignment horizontal="justify" vertical="center"/>
    </xf>
    <xf numFmtId="44" fontId="7" fillId="0" borderId="5" xfId="8" applyFont="1" applyFill="1" applyBorder="1" applyAlignment="1">
      <alignment horizontal="justify" vertical="center"/>
    </xf>
    <xf numFmtId="44" fontId="7" fillId="3" borderId="5" xfId="8" applyFont="1" applyFill="1" applyBorder="1" applyAlignment="1">
      <alignment horizontal="justify" vertical="center"/>
    </xf>
    <xf numFmtId="167" fontId="55" fillId="0" borderId="5" xfId="13" applyFont="1" applyFill="1" applyBorder="1" applyAlignment="1">
      <alignment horizontal="right" vertical="top"/>
    </xf>
    <xf numFmtId="167" fontId="55" fillId="0" borderId="5" xfId="14" applyFont="1" applyFill="1" applyBorder="1" applyAlignment="1">
      <alignment horizontal="right" vertical="top"/>
    </xf>
    <xf numFmtId="44" fontId="7" fillId="3" borderId="14" xfId="8" applyFont="1" applyFill="1" applyBorder="1" applyAlignment="1">
      <alignment horizontal="justify" vertical="center"/>
    </xf>
    <xf numFmtId="44" fontId="7" fillId="3" borderId="3" xfId="8" applyFont="1" applyFill="1" applyBorder="1" applyAlignment="1">
      <alignment horizontal="justify" vertical="center"/>
    </xf>
    <xf numFmtId="43" fontId="9" fillId="3" borderId="0" xfId="12" applyFont="1" applyFill="1" applyBorder="1" applyAlignment="1">
      <alignment horizontal="center" vertical="top"/>
    </xf>
    <xf numFmtId="43" fontId="9" fillId="3" borderId="7" xfId="12" applyFont="1" applyFill="1" applyBorder="1" applyAlignment="1">
      <alignment horizontal="center" vertical="top"/>
    </xf>
    <xf numFmtId="43" fontId="6" fillId="3" borderId="0" xfId="12" applyFont="1" applyFill="1" applyBorder="1" applyAlignment="1">
      <alignment horizontal="center" vertical="top"/>
    </xf>
    <xf numFmtId="43" fontId="6" fillId="3" borderId="7" xfId="12" applyFont="1" applyFill="1" applyBorder="1" applyAlignment="1">
      <alignment horizontal="center" vertical="top"/>
    </xf>
    <xf numFmtId="43" fontId="12" fillId="3" borderId="0" xfId="12" applyFont="1" applyFill="1" applyBorder="1" applyAlignment="1">
      <alignment horizontal="center" vertical="top"/>
    </xf>
    <xf numFmtId="43" fontId="12" fillId="3" borderId="7" xfId="12" applyFont="1" applyFill="1" applyBorder="1" applyAlignment="1">
      <alignment horizontal="center" vertical="top"/>
    </xf>
    <xf numFmtId="43" fontId="27" fillId="3" borderId="0" xfId="12" applyFont="1" applyFill="1" applyBorder="1" applyAlignment="1">
      <alignment horizontal="center" vertical="top"/>
    </xf>
    <xf numFmtId="43" fontId="10" fillId="3" borderId="0" xfId="12" applyFont="1" applyFill="1" applyBorder="1" applyAlignment="1">
      <alignment horizontal="center" vertical="top"/>
    </xf>
    <xf numFmtId="43" fontId="10" fillId="3" borderId="7" xfId="12" applyFont="1" applyFill="1" applyBorder="1" applyAlignment="1">
      <alignment horizontal="center" vertical="top"/>
    </xf>
    <xf numFmtId="43" fontId="7" fillId="3" borderId="0" xfId="12" applyFont="1" applyFill="1" applyBorder="1" applyAlignment="1">
      <alignment horizontal="center" vertical="top"/>
    </xf>
    <xf numFmtId="43" fontId="7" fillId="3" borderId="7" xfId="12" applyFont="1" applyFill="1" applyBorder="1" applyAlignment="1">
      <alignment horizontal="center" vertical="top"/>
    </xf>
    <xf numFmtId="43" fontId="7" fillId="3" borderId="0" xfId="12" applyFont="1" applyFill="1" applyBorder="1" applyAlignment="1">
      <alignment horizontal="justify" vertical="top"/>
    </xf>
    <xf numFmtId="43" fontId="7" fillId="3" borderId="7" xfId="12" applyFont="1" applyFill="1" applyBorder="1" applyAlignment="1">
      <alignment horizontal="justify" vertical="top"/>
    </xf>
    <xf numFmtId="43" fontId="12" fillId="3" borderId="0" xfId="12" applyFont="1" applyFill="1" applyBorder="1" applyAlignment="1">
      <alignment horizontal="justify" vertical="top"/>
    </xf>
    <xf numFmtId="43" fontId="12" fillId="3" borderId="7" xfId="12" applyFont="1" applyFill="1" applyBorder="1" applyAlignment="1">
      <alignment horizontal="justify" vertical="top"/>
    </xf>
    <xf numFmtId="43" fontId="6" fillId="3" borderId="0" xfId="0" applyNumberFormat="1" applyFont="1" applyFill="1" applyBorder="1" applyAlignment="1">
      <alignment horizontal="center" vertical="top"/>
    </xf>
    <xf numFmtId="43" fontId="12" fillId="3" borderId="84" xfId="12" applyFont="1" applyFill="1" applyBorder="1" applyAlignment="1">
      <alignment horizontal="center" vertical="top"/>
    </xf>
    <xf numFmtId="43" fontId="12" fillId="3" borderId="83" xfId="12" applyFont="1" applyFill="1" applyBorder="1" applyAlignment="1">
      <alignment horizontal="center" vertical="top"/>
    </xf>
    <xf numFmtId="43" fontId="9" fillId="0" borderId="7" xfId="12" applyFont="1" applyBorder="1" applyAlignment="1">
      <alignment horizontal="justify" vertical="top" wrapText="1"/>
    </xf>
    <xf numFmtId="43" fontId="6" fillId="0" borderId="7" xfId="0" applyNumberFormat="1" applyFont="1" applyBorder="1" applyAlignment="1">
      <alignment horizontal="justify" vertical="top" wrapText="1"/>
    </xf>
    <xf numFmtId="0" fontId="9" fillId="0" borderId="10" xfId="0" applyFont="1" applyBorder="1" applyAlignment="1">
      <alignment horizontal="justify" vertical="center" wrapText="1"/>
    </xf>
    <xf numFmtId="43" fontId="9" fillId="0" borderId="7" xfId="12" applyFont="1" applyBorder="1" applyAlignment="1">
      <alignment horizontal="justify" vertical="center" wrapText="1"/>
    </xf>
    <xf numFmtId="43" fontId="9" fillId="0" borderId="10" xfId="0" applyNumberFormat="1" applyFont="1" applyBorder="1" applyAlignment="1">
      <alignment horizontal="justify" vertical="center" wrapText="1"/>
    </xf>
    <xf numFmtId="43" fontId="6" fillId="2" borderId="13" xfId="12" applyFont="1" applyFill="1" applyBorder="1" applyAlignment="1">
      <alignment horizontal="center" vertical="center" wrapText="1"/>
    </xf>
    <xf numFmtId="43" fontId="6" fillId="0" borderId="13" xfId="0" applyNumberFormat="1" applyFont="1" applyFill="1" applyBorder="1" applyAlignment="1">
      <alignment horizontal="center" vertical="center" wrapText="1"/>
    </xf>
    <xf numFmtId="43" fontId="6" fillId="2" borderId="13" xfId="0" applyNumberFormat="1" applyFont="1" applyFill="1" applyBorder="1" applyAlignment="1">
      <alignment horizontal="center" vertical="center" wrapText="1"/>
    </xf>
    <xf numFmtId="0" fontId="39" fillId="0" borderId="0" xfId="0" applyFont="1"/>
    <xf numFmtId="0" fontId="39" fillId="0" borderId="0" xfId="0" applyFont="1" applyAlignment="1">
      <alignment vertical="center"/>
    </xf>
    <xf numFmtId="0" fontId="52" fillId="0" borderId="26" xfId="0" applyFont="1" applyBorder="1" applyAlignment="1">
      <alignment horizontal="left" vertical="center" wrapText="1" indent="2"/>
    </xf>
    <xf numFmtId="0" fontId="53" fillId="0" borderId="26" xfId="0" applyFont="1" applyBorder="1" applyAlignment="1">
      <alignment vertical="center"/>
    </xf>
    <xf numFmtId="10" fontId="41" fillId="0" borderId="26" xfId="0" applyNumberFormat="1" applyFont="1" applyBorder="1" applyAlignment="1">
      <alignment horizontal="right" vertical="center" wrapText="1"/>
    </xf>
    <xf numFmtId="0" fontId="52" fillId="0" borderId="20" xfId="0" applyFont="1" applyBorder="1" applyAlignment="1">
      <alignment horizontal="left" vertical="center" wrapText="1" indent="2"/>
    </xf>
    <xf numFmtId="10" fontId="41" fillId="0" borderId="20" xfId="0" applyNumberFormat="1" applyFont="1" applyBorder="1" applyAlignment="1">
      <alignment horizontal="right" vertical="center" wrapText="1"/>
    </xf>
    <xf numFmtId="0" fontId="50" fillId="0" borderId="20" xfId="0" applyFont="1" applyBorder="1" applyAlignment="1">
      <alignment horizontal="left" vertical="center" wrapText="1" indent="2"/>
    </xf>
    <xf numFmtId="10" fontId="39" fillId="0" borderId="20" xfId="0" applyNumberFormat="1" applyFont="1" applyBorder="1" applyAlignment="1">
      <alignment horizontal="right" vertical="center" wrapText="1"/>
    </xf>
    <xf numFmtId="0" fontId="50" fillId="0" borderId="20" xfId="0" applyFont="1" applyFill="1" applyBorder="1" applyAlignment="1">
      <alignment horizontal="right" vertical="center" wrapText="1"/>
    </xf>
    <xf numFmtId="0" fontId="50" fillId="0" borderId="20" xfId="0" applyFont="1" applyFill="1" applyBorder="1" applyAlignment="1">
      <alignment horizontal="left" vertical="center" wrapText="1" indent="2"/>
    </xf>
    <xf numFmtId="0" fontId="50" fillId="0" borderId="20" xfId="0" applyFont="1" applyBorder="1" applyAlignment="1">
      <alignment horizontal="right" wrapText="1"/>
    </xf>
    <xf numFmtId="0" fontId="52" fillId="0" borderId="20" xfId="0" applyFont="1" applyBorder="1" applyAlignment="1">
      <alignment horizontal="center" vertical="center" wrapText="1"/>
    </xf>
    <xf numFmtId="0" fontId="39" fillId="0" borderId="20" xfId="0" applyFont="1" applyBorder="1" applyAlignment="1">
      <alignment horizontal="right" vertical="center" indent="1"/>
    </xf>
    <xf numFmtId="10" fontId="39" fillId="0" borderId="20" xfId="0" applyNumberFormat="1" applyFont="1" applyBorder="1" applyAlignment="1">
      <alignment vertical="center"/>
    </xf>
    <xf numFmtId="10" fontId="39" fillId="0" borderId="20" xfId="12" applyNumberFormat="1" applyFont="1" applyBorder="1" applyAlignment="1">
      <alignment vertical="center"/>
    </xf>
    <xf numFmtId="10" fontId="41" fillId="0" borderId="20" xfId="0" applyNumberFormat="1" applyFont="1" applyBorder="1" applyAlignment="1">
      <alignment vertical="center"/>
    </xf>
    <xf numFmtId="0" fontId="1" fillId="0" borderId="20" xfId="0" applyFont="1" applyBorder="1" applyAlignment="1">
      <alignment horizontal="right" vertical="center" indent="1"/>
    </xf>
    <xf numFmtId="0" fontId="1" fillId="0" borderId="20" xfId="0" applyFont="1" applyBorder="1" applyAlignment="1">
      <alignment vertical="center"/>
    </xf>
    <xf numFmtId="10" fontId="1" fillId="0" borderId="20" xfId="0" applyNumberFormat="1" applyFont="1" applyBorder="1" applyAlignment="1">
      <alignment vertical="center"/>
    </xf>
    <xf numFmtId="0" fontId="1" fillId="0" borderId="27" xfId="0" applyFont="1" applyBorder="1" applyAlignment="1">
      <alignment horizontal="right" vertical="center" indent="1"/>
    </xf>
    <xf numFmtId="0" fontId="1" fillId="0" borderId="27" xfId="0" applyFont="1" applyBorder="1" applyAlignment="1">
      <alignment vertical="center"/>
    </xf>
    <xf numFmtId="10" fontId="1" fillId="0" borderId="27" xfId="0" applyNumberFormat="1" applyFont="1" applyBorder="1" applyAlignment="1">
      <alignment vertical="center"/>
    </xf>
    <xf numFmtId="43" fontId="0" fillId="0" borderId="0" xfId="12" applyFont="1" applyAlignment="1">
      <alignment vertical="center"/>
    </xf>
    <xf numFmtId="43" fontId="1" fillId="0" borderId="0" xfId="12" applyFont="1" applyAlignment="1">
      <alignment vertical="center"/>
    </xf>
    <xf numFmtId="43" fontId="15" fillId="0" borderId="7" xfId="12" applyFont="1" applyBorder="1" applyAlignment="1">
      <alignment horizontal="justify" vertical="center" wrapText="1"/>
    </xf>
    <xf numFmtId="43" fontId="15" fillId="0" borderId="10" xfId="12" applyFont="1" applyBorder="1" applyAlignment="1">
      <alignment horizontal="justify" vertical="center" wrapText="1"/>
    </xf>
    <xf numFmtId="43" fontId="15" fillId="0" borderId="17" xfId="12" applyFont="1" applyBorder="1" applyAlignment="1">
      <alignment horizontal="justify" vertical="center" wrapText="1"/>
    </xf>
    <xf numFmtId="43" fontId="15" fillId="0" borderId="13" xfId="12" applyFont="1" applyBorder="1" applyAlignment="1">
      <alignment horizontal="justify" vertical="center" wrapText="1"/>
    </xf>
    <xf numFmtId="0" fontId="6" fillId="0" borderId="0" xfId="0" applyFont="1" applyFill="1" applyBorder="1" applyAlignment="1">
      <alignment horizontal="center" vertical="top"/>
    </xf>
    <xf numFmtId="43" fontId="6" fillId="0" borderId="13" xfId="12" applyFont="1" applyFill="1" applyBorder="1" applyAlignment="1">
      <alignment horizontal="center" vertical="center" wrapText="1"/>
    </xf>
    <xf numFmtId="0" fontId="58" fillId="0" borderId="0" xfId="0" applyFont="1" applyAlignment="1">
      <alignment horizontal="center"/>
    </xf>
    <xf numFmtId="43" fontId="26" fillId="0" borderId="20" xfId="12" applyFont="1" applyBorder="1" applyAlignment="1">
      <alignment horizontal="center" vertical="center"/>
    </xf>
    <xf numFmtId="43" fontId="26" fillId="2" borderId="18" xfId="12" applyFont="1" applyFill="1" applyBorder="1" applyAlignment="1">
      <alignment horizontal="center" vertical="center"/>
    </xf>
    <xf numFmtId="43" fontId="26" fillId="2" borderId="19" xfId="12" applyFont="1" applyFill="1" applyBorder="1" applyAlignment="1">
      <alignment horizontal="center" vertical="center"/>
    </xf>
    <xf numFmtId="43" fontId="26" fillId="0" borderId="19" xfId="12" applyFont="1" applyBorder="1" applyAlignment="1">
      <alignment horizontal="center" vertical="center"/>
    </xf>
    <xf numFmtId="43" fontId="26" fillId="0" borderId="10" xfId="12" applyFont="1" applyBorder="1" applyAlignment="1">
      <alignment horizontal="center" vertical="center"/>
    </xf>
    <xf numFmtId="44" fontId="15" fillId="0" borderId="7" xfId="8" applyFont="1" applyFill="1" applyBorder="1" applyAlignment="1">
      <alignment horizontal="justify" vertical="center" wrapText="1"/>
    </xf>
    <xf numFmtId="0" fontId="9" fillId="0" borderId="85" xfId="0" applyFont="1" applyBorder="1" applyAlignment="1"/>
    <xf numFmtId="0" fontId="19" fillId="0" borderId="0" xfId="0" applyFont="1" applyBorder="1"/>
    <xf numFmtId="43" fontId="4" fillId="0" borderId="7" xfId="0" applyNumberFormat="1" applyFont="1" applyBorder="1" applyAlignment="1">
      <alignment horizontal="justify" vertical="center" wrapText="1"/>
    </xf>
    <xf numFmtId="43" fontId="15" fillId="0" borderId="5" xfId="12" applyFont="1" applyBorder="1" applyAlignment="1">
      <alignment horizontal="justify" vertical="center" wrapText="1"/>
    </xf>
    <xf numFmtId="43" fontId="15" fillId="0" borderId="7" xfId="0" applyNumberFormat="1" applyFont="1" applyBorder="1" applyAlignment="1">
      <alignment horizontal="justify" vertical="center" wrapText="1"/>
    </xf>
    <xf numFmtId="43" fontId="4" fillId="0" borderId="13" xfId="12" applyFont="1" applyBorder="1" applyAlignment="1">
      <alignment horizontal="justify"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30" xfId="0" applyFont="1" applyBorder="1" applyAlignment="1">
      <alignment horizontal="center" vertical="center"/>
    </xf>
    <xf numFmtId="0" fontId="39" fillId="0" borderId="0" xfId="0" applyFont="1" applyBorder="1" applyAlignment="1">
      <alignment vertical="center" wrapText="1"/>
    </xf>
    <xf numFmtId="43" fontId="9" fillId="0" borderId="5" xfId="12" applyFont="1" applyFill="1" applyBorder="1" applyAlignment="1">
      <alignment horizontal="center" vertical="center" wrapText="1"/>
    </xf>
    <xf numFmtId="0" fontId="41" fillId="0" borderId="2" xfId="0" applyFont="1" applyBorder="1" applyAlignment="1">
      <alignment horizontal="justify" vertical="top" wrapText="1"/>
    </xf>
    <xf numFmtId="0" fontId="60" fillId="0" borderId="3" xfId="0" applyFont="1" applyBorder="1" applyAlignment="1">
      <alignment horizontal="center" vertical="top" wrapText="1"/>
    </xf>
    <xf numFmtId="0" fontId="61" fillId="0" borderId="3" xfId="0" applyFont="1" applyBorder="1" applyAlignment="1">
      <alignment horizontal="justify" vertical="top" wrapText="1"/>
    </xf>
    <xf numFmtId="0" fontId="41" fillId="0" borderId="3" xfId="0" applyFont="1" applyBorder="1" applyAlignment="1">
      <alignment horizontal="justify" vertical="top" wrapText="1"/>
    </xf>
    <xf numFmtId="0" fontId="60" fillId="0" borderId="4" xfId="0" applyFont="1" applyBorder="1" applyAlignment="1">
      <alignment horizontal="center" vertical="top" wrapText="1"/>
    </xf>
    <xf numFmtId="0" fontId="62" fillId="0" borderId="6" xfId="0" applyFont="1" applyBorder="1" applyAlignment="1">
      <alignment vertical="top" wrapText="1"/>
    </xf>
    <xf numFmtId="0" fontId="62" fillId="0" borderId="0" xfId="0" applyFont="1" applyBorder="1" applyAlignment="1">
      <alignment vertical="top" wrapText="1"/>
    </xf>
    <xf numFmtId="0" fontId="39" fillId="0" borderId="0" xfId="0" applyFont="1" applyBorder="1" applyAlignment="1">
      <alignment horizontal="justify" vertical="top" wrapText="1"/>
    </xf>
    <xf numFmtId="0" fontId="62" fillId="0" borderId="7" xfId="0" applyFont="1" applyBorder="1" applyAlignment="1">
      <alignment vertical="top" wrapText="1"/>
    </xf>
    <xf numFmtId="0" fontId="63" fillId="0" borderId="6" xfId="0" applyFont="1" applyBorder="1" applyAlignment="1">
      <alignment vertical="top" wrapText="1"/>
    </xf>
    <xf numFmtId="0" fontId="63" fillId="0" borderId="0" xfId="0" applyFont="1" applyBorder="1" applyAlignment="1">
      <alignment vertical="top" wrapText="1"/>
    </xf>
    <xf numFmtId="0" fontId="62" fillId="0" borderId="6" xfId="0" applyFont="1" applyBorder="1" applyAlignment="1">
      <alignment horizontal="justify" vertical="top" wrapText="1"/>
    </xf>
    <xf numFmtId="43" fontId="39" fillId="0" borderId="0" xfId="12" applyFont="1" applyBorder="1" applyAlignment="1">
      <alignment vertical="top" wrapText="1"/>
    </xf>
    <xf numFmtId="43" fontId="39" fillId="0" borderId="7" xfId="12" applyFont="1" applyBorder="1" applyAlignment="1">
      <alignment vertical="top" wrapText="1"/>
    </xf>
    <xf numFmtId="0" fontId="64" fillId="0" borderId="6" xfId="0" applyFont="1" applyBorder="1" applyAlignment="1">
      <alignment vertical="top" wrapText="1"/>
    </xf>
    <xf numFmtId="43" fontId="64" fillId="0" borderId="0" xfId="12" applyFont="1" applyBorder="1" applyAlignment="1">
      <alignment vertical="top" wrapText="1"/>
    </xf>
    <xf numFmtId="0" fontId="64" fillId="0" borderId="0" xfId="0" applyFont="1" applyBorder="1" applyAlignment="1">
      <alignment vertical="top" wrapText="1"/>
    </xf>
    <xf numFmtId="43" fontId="64" fillId="0" borderId="7" xfId="12" applyFont="1" applyBorder="1" applyAlignment="1">
      <alignment vertical="top" wrapText="1"/>
    </xf>
    <xf numFmtId="43" fontId="63" fillId="0" borderId="0" xfId="12" applyFont="1" applyBorder="1" applyAlignment="1">
      <alignment vertical="top" wrapText="1"/>
    </xf>
    <xf numFmtId="43" fontId="63" fillId="0" borderId="7" xfId="12" applyFont="1" applyBorder="1" applyAlignment="1">
      <alignment vertical="top" wrapText="1"/>
    </xf>
    <xf numFmtId="0" fontId="39" fillId="0" borderId="0" xfId="0" applyFont="1" applyBorder="1" applyAlignment="1">
      <alignment vertical="top" wrapText="1"/>
    </xf>
    <xf numFmtId="43" fontId="41" fillId="0" borderId="0" xfId="12" applyFont="1" applyBorder="1" applyAlignment="1">
      <alignment vertical="top" wrapText="1"/>
    </xf>
    <xf numFmtId="43" fontId="41" fillId="0" borderId="7" xfId="12" applyFont="1" applyBorder="1" applyAlignment="1">
      <alignment vertical="top" wrapText="1"/>
    </xf>
    <xf numFmtId="0" fontId="41" fillId="0" borderId="0" xfId="0" applyFont="1" applyBorder="1" applyAlignment="1">
      <alignment vertical="top" wrapText="1"/>
    </xf>
    <xf numFmtId="0" fontId="39" fillId="0" borderId="6" xfId="0" applyFont="1" applyBorder="1" applyAlignment="1">
      <alignment vertical="top" wrapText="1"/>
    </xf>
    <xf numFmtId="0" fontId="62" fillId="0" borderId="0" xfId="0" applyFont="1" applyBorder="1" applyAlignment="1">
      <alignment horizontal="justify" vertical="top" wrapText="1"/>
    </xf>
    <xf numFmtId="43" fontId="62" fillId="0" borderId="0" xfId="12" applyFont="1" applyBorder="1" applyAlignment="1">
      <alignment vertical="top" wrapText="1"/>
    </xf>
    <xf numFmtId="43" fontId="62" fillId="0" borderId="7" xfId="12" applyFont="1" applyBorder="1" applyAlignment="1">
      <alignment vertical="top" wrapText="1"/>
    </xf>
    <xf numFmtId="0" fontId="41" fillId="0" borderId="0" xfId="0" applyFont="1" applyFill="1" applyBorder="1" applyAlignment="1">
      <alignment vertical="top" wrapText="1"/>
    </xf>
    <xf numFmtId="0" fontId="41" fillId="0" borderId="0" xfId="0" applyFont="1" applyFill="1" applyBorder="1" applyAlignment="1">
      <alignment horizontal="center"/>
    </xf>
    <xf numFmtId="0" fontId="41" fillId="0" borderId="0" xfId="0" applyFont="1" applyFill="1" applyBorder="1" applyAlignment="1"/>
    <xf numFmtId="0" fontId="41" fillId="0" borderId="0" xfId="0" applyFont="1" applyFill="1" applyBorder="1" applyAlignment="1">
      <alignment wrapText="1"/>
    </xf>
    <xf numFmtId="0" fontId="41" fillId="0" borderId="0" xfId="0" applyFont="1" applyFill="1" applyBorder="1" applyAlignment="1">
      <alignment horizontal="right" vertical="top"/>
    </xf>
    <xf numFmtId="0" fontId="41" fillId="0" borderId="0" xfId="0" applyFont="1" applyFill="1" applyBorder="1" applyAlignment="1">
      <alignment horizontal="center" vertical="top"/>
    </xf>
    <xf numFmtId="0" fontId="41" fillId="0" borderId="0" xfId="0" applyFont="1" applyFill="1" applyBorder="1" applyAlignment="1">
      <alignment vertical="top"/>
    </xf>
    <xf numFmtId="0" fontId="39" fillId="0" borderId="0" xfId="0" applyFont="1" applyAlignment="1">
      <alignment wrapText="1"/>
    </xf>
    <xf numFmtId="0" fontId="39" fillId="0" borderId="0" xfId="0" applyFont="1" applyBorder="1"/>
    <xf numFmtId="44" fontId="39" fillId="0" borderId="7" xfId="8" applyFont="1" applyBorder="1" applyAlignment="1">
      <alignment vertical="top" wrapText="1"/>
    </xf>
    <xf numFmtId="44" fontId="39" fillId="0" borderId="0" xfId="8" applyFont="1" applyBorder="1" applyAlignment="1">
      <alignment vertical="top" wrapText="1"/>
    </xf>
    <xf numFmtId="43" fontId="39" fillId="0" borderId="0" xfId="12" applyFont="1"/>
    <xf numFmtId="0" fontId="39" fillId="0" borderId="0" xfId="0" applyFont="1" applyBorder="1" applyAlignment="1">
      <alignment horizontal="left" vertical="top" wrapText="1"/>
    </xf>
    <xf numFmtId="44" fontId="39" fillId="0" borderId="7" xfId="8" applyFont="1" applyBorder="1" applyAlignment="1">
      <alignment vertical="justify"/>
    </xf>
    <xf numFmtId="0" fontId="39" fillId="0" borderId="6" xfId="0" applyFont="1" applyBorder="1" applyAlignment="1">
      <alignment horizontal="left" vertical="justify" wrapText="1"/>
    </xf>
    <xf numFmtId="43" fontId="39" fillId="0" borderId="0" xfId="12" applyFont="1" applyBorder="1" applyAlignment="1">
      <alignment vertical="justify" wrapText="1"/>
    </xf>
    <xf numFmtId="0" fontId="39" fillId="0" borderId="0" xfId="0" applyFont="1" applyBorder="1" applyAlignment="1">
      <alignment vertical="justify" wrapText="1"/>
    </xf>
    <xf numFmtId="0" fontId="39" fillId="0" borderId="0" xfId="0" applyFont="1" applyBorder="1" applyAlignment="1">
      <alignment horizontal="left" vertical="justify" wrapText="1"/>
    </xf>
    <xf numFmtId="43" fontId="39" fillId="0" borderId="0" xfId="12" applyFont="1" applyBorder="1" applyAlignment="1">
      <alignment vertical="justify"/>
    </xf>
    <xf numFmtId="44" fontId="39" fillId="0" borderId="0" xfId="0" applyNumberFormat="1" applyFont="1" applyBorder="1" applyAlignment="1">
      <alignment vertical="top" wrapText="1"/>
    </xf>
    <xf numFmtId="43" fontId="39" fillId="0" borderId="7" xfId="12" applyFont="1" applyBorder="1" applyAlignment="1">
      <alignment vertical="justify" wrapText="1"/>
    </xf>
    <xf numFmtId="0" fontId="39" fillId="0" borderId="0" xfId="0" applyFont="1" applyBorder="1" applyAlignment="1">
      <alignment wrapText="1"/>
    </xf>
    <xf numFmtId="43" fontId="63" fillId="0" borderId="0" xfId="12" applyFont="1" applyBorder="1" applyAlignment="1">
      <alignment vertical="justify" wrapText="1"/>
    </xf>
    <xf numFmtId="43" fontId="63" fillId="0" borderId="7" xfId="12" applyFont="1" applyBorder="1" applyAlignment="1">
      <alignment vertical="justify" wrapText="1"/>
    </xf>
    <xf numFmtId="0" fontId="63" fillId="0" borderId="0" xfId="0" applyFont="1" applyBorder="1" applyAlignment="1">
      <alignment horizontal="left" vertical="justify" wrapText="1"/>
    </xf>
    <xf numFmtId="0" fontId="39" fillId="0" borderId="6" xfId="0" applyFont="1" applyBorder="1" applyAlignment="1">
      <alignment wrapText="1"/>
    </xf>
    <xf numFmtId="43" fontId="39" fillId="0" borderId="0" xfId="12" applyFont="1" applyBorder="1"/>
    <xf numFmtId="43" fontId="39" fillId="0" borderId="7" xfId="12" applyFont="1" applyBorder="1"/>
    <xf numFmtId="43" fontId="41" fillId="0" borderId="0" xfId="12" applyFont="1" applyBorder="1"/>
    <xf numFmtId="43" fontId="41" fillId="0" borderId="7" xfId="12" applyFont="1" applyBorder="1"/>
    <xf numFmtId="0" fontId="39" fillId="0" borderId="8" xfId="0" applyFont="1" applyBorder="1" applyAlignment="1">
      <alignment wrapText="1"/>
    </xf>
    <xf numFmtId="0" fontId="39" fillId="0" borderId="9" xfId="0" applyFont="1" applyBorder="1"/>
    <xf numFmtId="0" fontId="39" fillId="0" borderId="9" xfId="0" applyFont="1" applyBorder="1" applyAlignment="1">
      <alignment wrapText="1"/>
    </xf>
    <xf numFmtId="0" fontId="39" fillId="0" borderId="10" xfId="0" applyFont="1" applyBorder="1"/>
    <xf numFmtId="0" fontId="62" fillId="0" borderId="2" xfId="0" applyFont="1" applyBorder="1" applyAlignment="1">
      <alignment horizontal="left" vertical="top"/>
    </xf>
    <xf numFmtId="0" fontId="65" fillId="0" borderId="3" xfId="0" applyFont="1" applyBorder="1" applyAlignment="1">
      <alignment horizontal="center" vertical="top"/>
    </xf>
    <xf numFmtId="0" fontId="65" fillId="0" borderId="4" xfId="0" applyFont="1" applyBorder="1" applyAlignment="1">
      <alignment horizontal="center" vertical="top"/>
    </xf>
    <xf numFmtId="0" fontId="41" fillId="0" borderId="6" xfId="0" applyFont="1" applyBorder="1" applyAlignment="1">
      <alignment horizontal="left" vertical="top"/>
    </xf>
    <xf numFmtId="43" fontId="41" fillId="0" borderId="0" xfId="0" applyNumberFormat="1" applyFont="1" applyBorder="1" applyAlignment="1">
      <alignment horizontal="left"/>
    </xf>
    <xf numFmtId="0" fontId="39" fillId="0" borderId="7" xfId="0" applyFont="1" applyBorder="1" applyAlignment="1">
      <alignment horizontal="left" vertical="top"/>
    </xf>
    <xf numFmtId="0" fontId="61" fillId="0" borderId="6" xfId="0" applyFont="1" applyBorder="1" applyAlignment="1">
      <alignment horizontal="left" vertical="top"/>
    </xf>
    <xf numFmtId="0" fontId="39" fillId="0" borderId="0" xfId="0" applyFont="1" applyBorder="1" applyAlignment="1">
      <alignment horizontal="left"/>
    </xf>
    <xf numFmtId="0" fontId="64" fillId="0" borderId="7" xfId="0" applyFont="1" applyBorder="1" applyAlignment="1">
      <alignment horizontal="left" vertical="top"/>
    </xf>
    <xf numFmtId="0" fontId="62" fillId="0" borderId="6" xfId="0" applyFont="1" applyBorder="1" applyAlignment="1">
      <alignment horizontal="left" vertical="top"/>
    </xf>
    <xf numFmtId="43" fontId="39" fillId="0" borderId="0" xfId="12" applyFont="1" applyBorder="1" applyAlignment="1">
      <alignment horizontal="left"/>
    </xf>
    <xf numFmtId="43" fontId="41" fillId="0" borderId="0" xfId="12" applyFont="1" applyBorder="1" applyAlignment="1">
      <alignment horizontal="left"/>
    </xf>
    <xf numFmtId="44" fontId="41" fillId="0" borderId="7" xfId="8" applyFont="1" applyBorder="1" applyAlignment="1">
      <alignment horizontal="left" vertical="top"/>
    </xf>
    <xf numFmtId="44" fontId="39" fillId="0" borderId="7" xfId="8" applyFont="1" applyBorder="1" applyAlignment="1">
      <alignment horizontal="left" vertical="top"/>
    </xf>
    <xf numFmtId="44" fontId="41" fillId="0" borderId="7" xfId="0" applyNumberFormat="1" applyFont="1" applyBorder="1" applyAlignment="1">
      <alignment horizontal="left" vertical="top"/>
    </xf>
    <xf numFmtId="0" fontId="63" fillId="0" borderId="6" xfId="0" applyFont="1" applyBorder="1" applyAlignment="1">
      <alignment horizontal="left" vertical="top"/>
    </xf>
    <xf numFmtId="44" fontId="63" fillId="0" borderId="7" xfId="0" applyNumberFormat="1" applyFont="1" applyBorder="1" applyAlignment="1">
      <alignment horizontal="left" vertical="top"/>
    </xf>
    <xf numFmtId="44" fontId="39" fillId="0" borderId="7" xfId="0" applyNumberFormat="1" applyFont="1" applyBorder="1" applyAlignment="1">
      <alignment horizontal="left" vertical="top"/>
    </xf>
    <xf numFmtId="44" fontId="64" fillId="0" borderId="7" xfId="8" applyFont="1" applyBorder="1" applyAlignment="1">
      <alignment horizontal="left" vertical="top"/>
    </xf>
    <xf numFmtId="0" fontId="39" fillId="0" borderId="7" xfId="0" applyFont="1" applyBorder="1" applyAlignment="1">
      <alignment horizontal="left"/>
    </xf>
    <xf numFmtId="0" fontId="62" fillId="0" borderId="8" xfId="0" applyFont="1" applyBorder="1" applyAlignment="1">
      <alignment horizontal="left" vertical="top"/>
    </xf>
    <xf numFmtId="0" fontId="39" fillId="0" borderId="9" xfId="0" applyFont="1" applyBorder="1" applyAlignment="1">
      <alignment horizontal="left"/>
    </xf>
    <xf numFmtId="0" fontId="39" fillId="0" borderId="10" xfId="0" applyFont="1" applyBorder="1" applyAlignment="1">
      <alignment horizontal="left"/>
    </xf>
    <xf numFmtId="0" fontId="39" fillId="0" borderId="3" xfId="0" applyFont="1" applyBorder="1" applyAlignment="1">
      <alignment horizontal="left" vertical="top" wrapText="1"/>
    </xf>
    <xf numFmtId="0" fontId="41" fillId="0" borderId="0" xfId="0" applyFont="1" applyBorder="1" applyAlignment="1">
      <alignment horizontal="left" vertical="top" wrapText="1"/>
    </xf>
    <xf numFmtId="0" fontId="61" fillId="0" borderId="0" xfId="0" applyFont="1" applyBorder="1" applyAlignment="1">
      <alignment horizontal="left" vertical="top" wrapText="1"/>
    </xf>
    <xf numFmtId="0" fontId="63" fillId="0" borderId="0" xfId="0" applyFont="1" applyBorder="1" applyAlignment="1">
      <alignment horizontal="left" vertical="top" wrapText="1"/>
    </xf>
    <xf numFmtId="0" fontId="62" fillId="0" borderId="0" xfId="0" applyFont="1" applyBorder="1" applyAlignment="1">
      <alignment horizontal="left" vertical="top" wrapText="1"/>
    </xf>
    <xf numFmtId="0" fontId="62" fillId="0" borderId="9" xfId="0" applyFont="1" applyBorder="1" applyAlignment="1">
      <alignment horizontal="left" vertical="top" wrapText="1"/>
    </xf>
    <xf numFmtId="0" fontId="39" fillId="0" borderId="0" xfId="0" applyFont="1" applyBorder="1" applyAlignment="1">
      <alignment horizontal="left" wrapText="1"/>
    </xf>
    <xf numFmtId="0" fontId="66" fillId="0" borderId="0" xfId="0" applyFont="1" applyBorder="1" applyAlignment="1">
      <alignment horizontal="left" wrapText="1"/>
    </xf>
    <xf numFmtId="43" fontId="39" fillId="0" borderId="0" xfId="0" applyNumberFormat="1" applyFont="1" applyBorder="1" applyAlignment="1">
      <alignment horizontal="left"/>
    </xf>
    <xf numFmtId="43" fontId="41" fillId="0" borderId="7" xfId="12" applyFont="1" applyBorder="1" applyAlignment="1">
      <alignment horizontal="left"/>
    </xf>
    <xf numFmtId="44" fontId="39" fillId="0" borderId="0" xfId="0" applyNumberFormat="1" applyFont="1" applyBorder="1" applyAlignment="1">
      <alignment horizontal="left"/>
    </xf>
    <xf numFmtId="0" fontId="18" fillId="0" borderId="4" xfId="0" applyFont="1" applyFill="1" applyBorder="1" applyAlignment="1">
      <alignment horizontal="center" vertical="center" wrapText="1"/>
    </xf>
    <xf numFmtId="0" fontId="6" fillId="0" borderId="0" xfId="0" applyFont="1" applyFill="1" applyBorder="1" applyAlignment="1">
      <alignment horizontal="center" vertical="top"/>
    </xf>
    <xf numFmtId="0" fontId="18" fillId="4" borderId="4" xfId="0" applyFont="1" applyFill="1" applyBorder="1" applyAlignment="1">
      <alignment horizontal="center" vertical="center" wrapText="1"/>
    </xf>
    <xf numFmtId="49" fontId="18" fillId="4" borderId="10" xfId="0" applyNumberFormat="1" applyFont="1" applyFill="1" applyBorder="1" applyAlignment="1">
      <alignment horizontal="center" vertical="center" wrapText="1"/>
    </xf>
    <xf numFmtId="0" fontId="0" fillId="0" borderId="0" xfId="0" applyBorder="1" applyAlignment="1">
      <alignment vertical="center"/>
    </xf>
    <xf numFmtId="43" fontId="41" fillId="0" borderId="0" xfId="12" applyFont="1" applyFill="1" applyBorder="1" applyAlignment="1">
      <alignment vertical="center"/>
    </xf>
    <xf numFmtId="43" fontId="41" fillId="0" borderId="4" xfId="12" applyFont="1" applyFill="1" applyBorder="1" applyAlignment="1">
      <alignment horizontal="center" vertical="center" wrapText="1"/>
    </xf>
    <xf numFmtId="43" fontId="41" fillId="4" borderId="4" xfId="12" applyFont="1" applyFill="1" applyBorder="1" applyAlignment="1">
      <alignment horizontal="center" vertical="center" wrapText="1"/>
    </xf>
    <xf numFmtId="43" fontId="41" fillId="2" borderId="4" xfId="12" applyFont="1" applyFill="1" applyBorder="1" applyAlignment="1">
      <alignment horizontal="center" vertical="center" wrapText="1"/>
    </xf>
    <xf numFmtId="43" fontId="41" fillId="0" borderId="1" xfId="12" applyFont="1" applyFill="1" applyBorder="1" applyAlignment="1">
      <alignment horizontal="center" vertical="center" wrapText="1"/>
    </xf>
    <xf numFmtId="43" fontId="41" fillId="0" borderId="10" xfId="12" applyFont="1" applyFill="1" applyBorder="1" applyAlignment="1">
      <alignment horizontal="center" vertical="center" wrapText="1"/>
    </xf>
    <xf numFmtId="43" fontId="41" fillId="4" borderId="10" xfId="12" applyFont="1" applyFill="1" applyBorder="1" applyAlignment="1">
      <alignment horizontal="center" vertical="center" wrapText="1"/>
    </xf>
    <xf numFmtId="43" fontId="41" fillId="2" borderId="10" xfId="12" applyFont="1" applyFill="1" applyBorder="1" applyAlignment="1">
      <alignment horizontal="center" vertical="center" wrapText="1"/>
    </xf>
    <xf numFmtId="43" fontId="41" fillId="0" borderId="14" xfId="12" applyFont="1" applyFill="1" applyBorder="1" applyAlignment="1">
      <alignment horizontal="center" vertical="center" wrapText="1"/>
    </xf>
    <xf numFmtId="43" fontId="41" fillId="0" borderId="7" xfId="12" applyFont="1" applyFill="1" applyBorder="1" applyAlignment="1">
      <alignment horizontal="center" vertical="center" wrapText="1"/>
    </xf>
    <xf numFmtId="43" fontId="41" fillId="0" borderId="5" xfId="12" applyFont="1" applyFill="1" applyBorder="1" applyAlignment="1">
      <alignment horizontal="center" vertical="center" wrapText="1"/>
    </xf>
    <xf numFmtId="43" fontId="39" fillId="0" borderId="7" xfId="12" applyFont="1" applyBorder="1" applyAlignment="1">
      <alignment horizontal="justify" vertical="center" wrapText="1"/>
    </xf>
    <xf numFmtId="43" fontId="39" fillId="0" borderId="5" xfId="12" applyFont="1" applyBorder="1" applyAlignment="1">
      <alignment vertical="center" wrapText="1"/>
    </xf>
    <xf numFmtId="43" fontId="39" fillId="0" borderId="5" xfId="12" applyFont="1" applyBorder="1" applyAlignment="1">
      <alignment horizontal="justify" vertical="center" wrapText="1"/>
    </xf>
    <xf numFmtId="43" fontId="39" fillId="0" borderId="10" xfId="12" applyFont="1" applyBorder="1" applyAlignment="1">
      <alignment horizontal="justify" vertical="center" wrapText="1"/>
    </xf>
    <xf numFmtId="43" fontId="39" fillId="0" borderId="14" xfId="12" applyFont="1" applyBorder="1" applyAlignment="1">
      <alignment vertical="center" wrapText="1"/>
    </xf>
    <xf numFmtId="43" fontId="39" fillId="0" borderId="3" xfId="12" applyFont="1" applyBorder="1" applyAlignment="1">
      <alignment horizontal="justify" vertical="center" wrapText="1"/>
    </xf>
    <xf numFmtId="43" fontId="68" fillId="0" borderId="3" xfId="12" applyFont="1" applyBorder="1" applyAlignment="1">
      <alignment vertical="center" wrapText="1"/>
    </xf>
    <xf numFmtId="43" fontId="68" fillId="0" borderId="11" xfId="12" applyFont="1" applyBorder="1" applyAlignment="1">
      <alignment horizontal="right" vertical="center" wrapText="1"/>
    </xf>
    <xf numFmtId="43" fontId="68" fillId="0" borderId="9" xfId="12" applyFont="1" applyBorder="1" applyAlignment="1">
      <alignment horizontal="right" vertical="center" wrapText="1"/>
    </xf>
    <xf numFmtId="43" fontId="68" fillId="0" borderId="10" xfId="12" applyFont="1" applyBorder="1" applyAlignment="1">
      <alignment vertical="center" wrapText="1"/>
    </xf>
    <xf numFmtId="43" fontId="68" fillId="0" borderId="13" xfId="12" applyFont="1" applyBorder="1" applyAlignment="1">
      <alignment horizontal="right" vertical="center" wrapText="1"/>
    </xf>
    <xf numFmtId="43" fontId="39" fillId="0" borderId="0" xfId="12" applyFont="1" applyBorder="1" applyAlignment="1">
      <alignment horizontal="justify" vertical="center" wrapText="1"/>
    </xf>
    <xf numFmtId="43" fontId="68" fillId="0" borderId="0" xfId="12" applyFont="1" applyBorder="1" applyAlignment="1">
      <alignment vertical="center" wrapText="1"/>
    </xf>
    <xf numFmtId="43" fontId="68" fillId="0" borderId="0" xfId="12" applyFont="1" applyBorder="1" applyAlignment="1">
      <alignment horizontal="right" vertical="center" wrapText="1"/>
    </xf>
    <xf numFmtId="43" fontId="41" fillId="0" borderId="7" xfId="12" applyFont="1" applyBorder="1" applyAlignment="1">
      <alignment horizontal="left" vertical="center"/>
    </xf>
    <xf numFmtId="43" fontId="41" fillId="0" borderId="1" xfId="12" applyFont="1" applyBorder="1" applyAlignment="1">
      <alignment horizontal="left" vertical="center"/>
    </xf>
    <xf numFmtId="43" fontId="39" fillId="0" borderId="7" xfId="12" applyFont="1" applyBorder="1" applyAlignment="1">
      <alignment horizontal="left" vertical="center"/>
    </xf>
    <xf numFmtId="43" fontId="39" fillId="0" borderId="5" xfId="12" applyFont="1" applyBorder="1" applyAlignment="1">
      <alignment horizontal="left" vertical="center"/>
    </xf>
    <xf numFmtId="43" fontId="39" fillId="0" borderId="10" xfId="12" applyFont="1" applyBorder="1" applyAlignment="1">
      <alignment horizontal="left" vertical="center"/>
    </xf>
    <xf numFmtId="43" fontId="39" fillId="0" borderId="14" xfId="12" applyFont="1" applyBorder="1" applyAlignment="1">
      <alignment horizontal="left" vertical="center"/>
    </xf>
    <xf numFmtId="43" fontId="68" fillId="0" borderId="4" xfId="12" applyFont="1" applyBorder="1" applyAlignment="1">
      <alignment vertical="center" wrapText="1"/>
    </xf>
    <xf numFmtId="43" fontId="70" fillId="0" borderId="0" xfId="12" applyFont="1" applyAlignment="1">
      <alignment vertical="center"/>
    </xf>
    <xf numFmtId="10" fontId="39" fillId="0" borderId="5" xfId="12" applyNumberFormat="1" applyFont="1" applyBorder="1" applyAlignment="1">
      <alignment horizontal="right" vertical="center" wrapText="1"/>
    </xf>
    <xf numFmtId="10" fontId="39" fillId="0" borderId="14" xfId="12" applyNumberFormat="1" applyFont="1" applyBorder="1" applyAlignment="1">
      <alignment horizontal="right" vertical="center" wrapText="1"/>
    </xf>
    <xf numFmtId="43" fontId="70" fillId="0" borderId="5" xfId="12" applyFont="1" applyBorder="1" applyAlignment="1">
      <alignment vertical="center"/>
    </xf>
    <xf numFmtId="10" fontId="0" fillId="0" borderId="0" xfId="0" applyNumberFormat="1" applyAlignment="1">
      <alignment vertical="center"/>
    </xf>
    <xf numFmtId="43" fontId="15" fillId="0" borderId="10" xfId="0" applyNumberFormat="1" applyFont="1" applyBorder="1" applyAlignment="1">
      <alignment horizontal="justify" vertical="center" wrapText="1"/>
    </xf>
    <xf numFmtId="43" fontId="9" fillId="0" borderId="7" xfId="0" applyNumberFormat="1" applyFont="1" applyBorder="1" applyAlignment="1">
      <alignment horizontal="justify" vertical="center" wrapText="1"/>
    </xf>
    <xf numFmtId="0" fontId="9" fillId="0" borderId="7" xfId="0" applyFont="1" applyBorder="1" applyAlignment="1">
      <alignment horizontal="justify" vertical="center" wrapText="1"/>
    </xf>
    <xf numFmtId="43" fontId="9" fillId="0" borderId="17" xfId="0" applyNumberFormat="1" applyFont="1" applyBorder="1" applyAlignment="1">
      <alignment horizontal="justify" vertical="center" wrapText="1"/>
    </xf>
    <xf numFmtId="10" fontId="9" fillId="0" borderId="7" xfId="0" applyNumberFormat="1" applyFont="1" applyBorder="1" applyAlignment="1">
      <alignment horizontal="justify" vertical="center" wrapText="1"/>
    </xf>
    <xf numFmtId="10" fontId="9" fillId="0" borderId="10" xfId="0" applyNumberFormat="1" applyFont="1" applyBorder="1" applyAlignment="1">
      <alignment horizontal="justify" vertical="center" wrapText="1"/>
    </xf>
    <xf numFmtId="10" fontId="9" fillId="0" borderId="7" xfId="0" applyNumberFormat="1" applyFont="1" applyBorder="1" applyAlignment="1">
      <alignment horizontal="right" vertical="center" wrapText="1"/>
    </xf>
    <xf numFmtId="10" fontId="9" fillId="0" borderId="13" xfId="0" applyNumberFormat="1" applyFont="1" applyBorder="1" applyAlignment="1">
      <alignment horizontal="right" vertical="center" wrapText="1"/>
    </xf>
    <xf numFmtId="43" fontId="0" fillId="0" borderId="0" xfId="0" applyNumberFormat="1" applyAlignment="1">
      <alignment vertical="center"/>
    </xf>
    <xf numFmtId="0" fontId="71" fillId="0" borderId="0" xfId="0" applyFont="1" applyAlignment="1">
      <alignment vertical="center"/>
    </xf>
    <xf numFmtId="0" fontId="15" fillId="0" borderId="11" xfId="0" applyFont="1" applyBorder="1" applyAlignment="1">
      <alignment horizontal="justify" vertical="center" wrapText="1"/>
    </xf>
    <xf numFmtId="0" fontId="18" fillId="0" borderId="13" xfId="0" applyFont="1" applyBorder="1" applyAlignment="1">
      <alignment horizontal="justify" vertical="center" wrapText="1"/>
    </xf>
    <xf numFmtId="43" fontId="15" fillId="0" borderId="13" xfId="0" applyNumberFormat="1" applyFont="1" applyBorder="1" applyAlignment="1">
      <alignment horizontal="justify" vertical="center" wrapText="1"/>
    </xf>
    <xf numFmtId="43" fontId="15" fillId="0" borderId="5" xfId="0" applyNumberFormat="1" applyFont="1" applyBorder="1" applyAlignment="1">
      <alignment horizontal="justify" vertical="center" wrapText="1"/>
    </xf>
    <xf numFmtId="0" fontId="9" fillId="0" borderId="7" xfId="0" applyFont="1" applyFill="1" applyBorder="1" applyAlignment="1">
      <alignment wrapText="1"/>
    </xf>
    <xf numFmtId="44" fontId="6" fillId="0" borderId="7" xfId="0" applyNumberFormat="1" applyFont="1" applyFill="1" applyBorder="1" applyAlignment="1">
      <alignment wrapText="1"/>
    </xf>
    <xf numFmtId="44" fontId="9" fillId="0" borderId="7" xfId="8" applyFont="1" applyFill="1" applyBorder="1"/>
    <xf numFmtId="43" fontId="6" fillId="0" borderId="7" xfId="12" applyFont="1" applyFill="1" applyBorder="1" applyAlignment="1">
      <alignment wrapText="1"/>
    </xf>
    <xf numFmtId="43" fontId="9" fillId="0" borderId="7" xfId="12" applyFont="1" applyFill="1" applyBorder="1" applyAlignment="1">
      <alignment wrapText="1"/>
    </xf>
    <xf numFmtId="43" fontId="9" fillId="0" borderId="7" xfId="12" applyFont="1" applyFill="1" applyBorder="1"/>
    <xf numFmtId="43" fontId="12" fillId="3" borderId="7" xfId="0" applyNumberFormat="1" applyFont="1" applyFill="1" applyBorder="1" applyAlignment="1">
      <alignment vertical="top" wrapText="1"/>
    </xf>
    <xf numFmtId="43" fontId="6" fillId="3" borderId="84" xfId="0" applyNumberFormat="1" applyFont="1" applyFill="1" applyBorder="1" applyAlignment="1">
      <alignment horizontal="center" vertical="top"/>
    </xf>
    <xf numFmtId="43" fontId="6" fillId="3" borderId="7" xfId="0" applyNumberFormat="1" applyFont="1" applyFill="1" applyBorder="1" applyAlignment="1">
      <alignment horizontal="center" vertical="top"/>
    </xf>
    <xf numFmtId="0" fontId="39" fillId="0" borderId="7" xfId="0" applyFont="1" applyBorder="1"/>
    <xf numFmtId="44" fontId="39" fillId="0" borderId="0" xfId="8" applyFont="1" applyFill="1" applyBorder="1" applyAlignment="1">
      <alignment vertical="justify" wrapText="1"/>
    </xf>
    <xf numFmtId="43" fontId="39" fillId="0" borderId="0" xfId="12" applyFont="1" applyFill="1" applyBorder="1" applyAlignment="1">
      <alignment vertical="top" wrapText="1"/>
    </xf>
    <xf numFmtId="44" fontId="39" fillId="0" borderId="0" xfId="8" applyFont="1" applyFill="1" applyBorder="1" applyAlignment="1">
      <alignment vertical="top" wrapText="1"/>
    </xf>
    <xf numFmtId="0" fontId="6" fillId="0" borderId="6" xfId="0" applyFont="1" applyFill="1" applyBorder="1" applyAlignment="1">
      <alignment vertical="top"/>
    </xf>
    <xf numFmtId="0" fontId="6" fillId="0" borderId="0" xfId="0" applyFont="1" applyFill="1" applyBorder="1" applyAlignment="1">
      <alignment vertical="top"/>
    </xf>
    <xf numFmtId="43" fontId="6" fillId="0" borderId="0" xfId="0" applyNumberFormat="1" applyFont="1" applyFill="1" applyBorder="1" applyAlignment="1">
      <alignment vertical="top"/>
    </xf>
    <xf numFmtId="0" fontId="9" fillId="0" borderId="7" xfId="0" applyFont="1" applyFill="1" applyBorder="1"/>
    <xf numFmtId="0" fontId="9" fillId="0" borderId="6" xfId="0" applyFont="1" applyFill="1" applyBorder="1" applyAlignment="1">
      <alignment horizontal="justify" vertical="top"/>
    </xf>
    <xf numFmtId="43" fontId="6" fillId="0" borderId="0" xfId="12" applyFont="1" applyFill="1" applyBorder="1"/>
    <xf numFmtId="43" fontId="6" fillId="0" borderId="7" xfId="12" applyFont="1" applyFill="1" applyBorder="1"/>
    <xf numFmtId="0" fontId="9" fillId="0" borderId="6"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0" xfId="0" applyFont="1" applyFill="1" applyBorder="1" applyAlignment="1">
      <alignment wrapText="1"/>
    </xf>
    <xf numFmtId="43" fontId="9" fillId="0" borderId="0" xfId="12" applyFont="1" applyFill="1" applyBorder="1" applyAlignment="1">
      <alignment wrapText="1"/>
    </xf>
    <xf numFmtId="0" fontId="6" fillId="0" borderId="0" xfId="0" applyFont="1" applyFill="1" applyBorder="1" applyAlignment="1">
      <alignment vertical="top" wrapText="1"/>
    </xf>
    <xf numFmtId="43" fontId="6" fillId="0" borderId="0" xfId="12" applyFont="1" applyFill="1" applyBorder="1" applyAlignment="1">
      <alignment vertical="top" wrapText="1"/>
    </xf>
    <xf numFmtId="166" fontId="6" fillId="0" borderId="7" xfId="0" applyNumberFormat="1" applyFont="1" applyFill="1" applyBorder="1" applyAlignment="1">
      <alignment wrapText="1"/>
    </xf>
    <xf numFmtId="166" fontId="9" fillId="0" borderId="7" xfId="8" applyNumberFormat="1" applyFont="1" applyFill="1" applyBorder="1" applyAlignment="1">
      <alignment wrapText="1"/>
    </xf>
    <xf numFmtId="166" fontId="9" fillId="0" borderId="7" xfId="8" applyNumberFormat="1" applyFont="1" applyFill="1" applyBorder="1"/>
    <xf numFmtId="0" fontId="9" fillId="0" borderId="6" xfId="0" applyFont="1" applyFill="1" applyBorder="1" applyAlignment="1">
      <alignment wrapText="1"/>
    </xf>
    <xf numFmtId="0" fontId="12" fillId="0" borderId="0" xfId="0" applyFont="1" applyFill="1" applyBorder="1" applyAlignment="1">
      <alignment vertical="top" wrapText="1"/>
    </xf>
    <xf numFmtId="43" fontId="12" fillId="0" borderId="0" xfId="0" applyNumberFormat="1" applyFont="1" applyFill="1" applyBorder="1" applyAlignment="1">
      <alignment vertical="top" wrapText="1"/>
    </xf>
    <xf numFmtId="43" fontId="6" fillId="0" borderId="0" xfId="0" applyNumberFormat="1" applyFont="1" applyFill="1" applyBorder="1" applyAlignment="1">
      <alignment vertical="top" wrapText="1"/>
    </xf>
    <xf numFmtId="43" fontId="6" fillId="0" borderId="7" xfId="0" applyNumberFormat="1" applyFont="1" applyFill="1" applyBorder="1" applyAlignment="1">
      <alignment vertical="top" wrapText="1"/>
    </xf>
    <xf numFmtId="43" fontId="6" fillId="0" borderId="7" xfId="12" applyFont="1" applyFill="1" applyBorder="1" applyAlignment="1">
      <alignment vertical="top" wrapText="1"/>
    </xf>
    <xf numFmtId="43" fontId="6" fillId="3" borderId="83" xfId="0" applyNumberFormat="1" applyFont="1" applyFill="1" applyBorder="1" applyAlignment="1">
      <alignment horizontal="center" vertical="top"/>
    </xf>
    <xf numFmtId="0" fontId="15" fillId="0" borderId="0" xfId="0" applyFont="1" applyBorder="1"/>
    <xf numFmtId="0" fontId="15" fillId="0" borderId="0" xfId="0" applyFont="1"/>
    <xf numFmtId="0" fontId="26" fillId="0" borderId="0" xfId="0" applyFont="1" applyFill="1" applyBorder="1"/>
    <xf numFmtId="0" fontId="15" fillId="0" borderId="0" xfId="0" applyFont="1" applyFill="1" applyBorder="1"/>
    <xf numFmtId="0" fontId="18" fillId="0" borderId="0" xfId="0" applyFont="1" applyBorder="1" applyAlignment="1">
      <alignment horizontal="justify"/>
    </xf>
    <xf numFmtId="0" fontId="15" fillId="0" borderId="0" xfId="0" applyFont="1" applyBorder="1" applyAlignment="1">
      <alignment horizontal="justify"/>
    </xf>
    <xf numFmtId="0" fontId="15" fillId="0" borderId="0" xfId="0" applyFont="1" applyBorder="1" applyAlignment="1">
      <alignment wrapText="1"/>
    </xf>
    <xf numFmtId="0" fontId="18" fillId="0" borderId="0" xfId="0" applyFont="1" applyBorder="1" applyAlignment="1"/>
    <xf numFmtId="0" fontId="18" fillId="0" borderId="0" xfId="0" applyFont="1" applyBorder="1" applyAlignment="1">
      <alignment horizontal="center"/>
    </xf>
    <xf numFmtId="43" fontId="15" fillId="0" borderId="0" xfId="0" applyNumberFormat="1" applyFont="1" applyBorder="1"/>
    <xf numFmtId="0" fontId="15" fillId="0" borderId="0" xfId="0" applyFont="1" applyBorder="1" applyAlignment="1">
      <alignment horizontal="center"/>
    </xf>
    <xf numFmtId="43" fontId="15" fillId="0" borderId="0" xfId="0" applyNumberFormat="1" applyFont="1" applyBorder="1" applyAlignment="1">
      <alignment horizontal="center"/>
    </xf>
    <xf numFmtId="43" fontId="15" fillId="0" borderId="0" xfId="12" applyFont="1" applyBorder="1"/>
    <xf numFmtId="0" fontId="15" fillId="0" borderId="0" xfId="0" applyFont="1" applyBorder="1" applyAlignment="1">
      <alignment horizontal="justify" wrapText="1"/>
    </xf>
    <xf numFmtId="0" fontId="18" fillId="0" borderId="0" xfId="0" applyFont="1" applyBorder="1" applyAlignment="1">
      <alignment horizontal="justify" wrapText="1"/>
    </xf>
    <xf numFmtId="0" fontId="15" fillId="0" borderId="0" xfId="0" applyFont="1" applyBorder="1" applyAlignment="1">
      <alignment horizontal="center" wrapText="1"/>
    </xf>
    <xf numFmtId="43" fontId="15" fillId="0" borderId="0" xfId="12" applyFont="1" applyBorder="1" applyAlignment="1">
      <alignment horizontal="right" wrapText="1"/>
    </xf>
    <xf numFmtId="0" fontId="18" fillId="0" borderId="0" xfId="0" applyFont="1" applyBorder="1" applyAlignment="1">
      <alignment horizontal="center" wrapText="1"/>
    </xf>
    <xf numFmtId="0" fontId="18" fillId="0" borderId="0" xfId="0" applyFont="1" applyBorder="1" applyAlignment="1">
      <alignment horizontal="right" wrapText="1"/>
    </xf>
    <xf numFmtId="43" fontId="73" fillId="0" borderId="0" xfId="12" applyFont="1" applyBorder="1" applyAlignment="1">
      <alignment wrapText="1"/>
    </xf>
    <xf numFmtId="4" fontId="2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4" fontId="24" fillId="0" borderId="0" xfId="0" applyNumberFormat="1" applyFont="1" applyFill="1" applyBorder="1" applyAlignment="1">
      <alignment wrapText="1"/>
    </xf>
    <xf numFmtId="4" fontId="24" fillId="0" borderId="0" xfId="0" applyNumberFormat="1" applyFont="1" applyFill="1" applyBorder="1"/>
    <xf numFmtId="0" fontId="18" fillId="0" borderId="0" xfId="0" applyFont="1" applyFill="1" applyBorder="1" applyAlignment="1">
      <alignment horizontal="justify" wrapText="1"/>
    </xf>
    <xf numFmtId="0" fontId="15" fillId="0" borderId="0" xfId="0" applyFont="1" applyFill="1" applyBorder="1" applyAlignment="1">
      <alignment horizontal="center" wrapText="1"/>
    </xf>
    <xf numFmtId="0" fontId="18" fillId="0" borderId="0" xfId="0" applyFont="1" applyFill="1" applyBorder="1" applyAlignment="1">
      <alignment horizontal="center" wrapText="1"/>
    </xf>
    <xf numFmtId="0" fontId="15" fillId="0" borderId="0" xfId="0" applyFont="1" applyFill="1" applyBorder="1" applyAlignment="1">
      <alignment horizontal="justify" wrapText="1"/>
    </xf>
    <xf numFmtId="43" fontId="15" fillId="0" borderId="0" xfId="12" applyFont="1" applyFill="1" applyBorder="1" applyAlignment="1">
      <alignment wrapText="1"/>
    </xf>
    <xf numFmtId="43" fontId="15" fillId="0" borderId="0" xfId="12" applyFont="1" applyFill="1" applyBorder="1" applyAlignment="1">
      <alignment horizontal="right" wrapText="1"/>
    </xf>
    <xf numFmtId="0" fontId="18" fillId="0" borderId="0" xfId="0" applyFont="1" applyFill="1" applyBorder="1" applyAlignment="1">
      <alignment horizontal="right" wrapText="1"/>
    </xf>
    <xf numFmtId="43" fontId="15" fillId="0" borderId="0" xfId="0" applyNumberFormat="1" applyFont="1" applyFill="1" applyBorder="1" applyAlignment="1">
      <alignment wrapText="1"/>
    </xf>
    <xf numFmtId="0" fontId="15" fillId="0" borderId="0" xfId="0" applyFont="1" applyBorder="1" applyAlignment="1">
      <alignment vertical="center" wrapText="1"/>
    </xf>
    <xf numFmtId="0" fontId="15" fillId="4" borderId="0" xfId="0" applyFont="1" applyFill="1" applyBorder="1" applyAlignment="1">
      <alignment vertical="center" wrapText="1"/>
    </xf>
    <xf numFmtId="0" fontId="15" fillId="0" borderId="0" xfId="0" applyFont="1" applyBorder="1" applyAlignment="1">
      <alignment vertical="center"/>
    </xf>
    <xf numFmtId="0" fontId="72" fillId="3" borderId="0" xfId="0" applyFont="1" applyFill="1" applyBorder="1" applyAlignment="1">
      <alignment horizontal="justify" vertical="center"/>
    </xf>
    <xf numFmtId="0" fontId="73" fillId="3" borderId="0" xfId="0" applyFont="1" applyFill="1" applyBorder="1" applyAlignment="1">
      <alignment horizontal="left" vertical="center"/>
    </xf>
    <xf numFmtId="0" fontId="73" fillId="3" borderId="0" xfId="0" applyFont="1" applyFill="1" applyBorder="1" applyAlignment="1">
      <alignment vertical="center"/>
    </xf>
    <xf numFmtId="0" fontId="73" fillId="0" borderId="0" xfId="0" applyFont="1" applyFill="1" applyBorder="1" applyAlignment="1">
      <alignment vertical="center"/>
    </xf>
    <xf numFmtId="0" fontId="72" fillId="0" borderId="0" xfId="0" applyFont="1" applyFill="1" applyBorder="1" applyAlignment="1">
      <alignment horizontal="justify" vertical="center"/>
    </xf>
    <xf numFmtId="43" fontId="18" fillId="0" borderId="0" xfId="12" applyFont="1" applyFill="1" applyBorder="1" applyAlignment="1">
      <alignment horizontal="center" vertical="center" wrapText="1"/>
    </xf>
    <xf numFmtId="0" fontId="15" fillId="0" borderId="0" xfId="0" applyFont="1" applyFill="1" applyBorder="1" applyAlignment="1">
      <alignment vertical="center"/>
    </xf>
    <xf numFmtId="44" fontId="15" fillId="0" borderId="0" xfId="0" applyNumberFormat="1" applyFont="1" applyBorder="1" applyAlignment="1">
      <alignment vertical="center"/>
    </xf>
    <xf numFmtId="43" fontId="15" fillId="0" borderId="0" xfId="0" applyNumberFormat="1" applyFont="1" applyBorder="1" applyAlignment="1">
      <alignment vertical="center"/>
    </xf>
    <xf numFmtId="0" fontId="24" fillId="0" borderId="0" xfId="0" applyFont="1" applyFill="1" applyBorder="1"/>
    <xf numFmtId="49" fontId="24" fillId="9" borderId="0" xfId="1" applyNumberFormat="1" applyFont="1" applyFill="1" applyBorder="1" applyAlignment="1">
      <alignment horizontal="left" vertical="top" wrapText="1"/>
    </xf>
    <xf numFmtId="0" fontId="24" fillId="0" borderId="0" xfId="0" applyFont="1" applyFill="1" applyBorder="1" applyAlignment="1">
      <alignment wrapText="1"/>
    </xf>
    <xf numFmtId="0" fontId="72" fillId="0" borderId="0" xfId="0" applyFont="1" applyFill="1" applyBorder="1" applyAlignment="1">
      <alignment wrapText="1"/>
    </xf>
    <xf numFmtId="0" fontId="72" fillId="0" borderId="0" xfId="0" applyFont="1" applyFill="1" applyBorder="1" applyAlignment="1">
      <alignment horizontal="justify" wrapText="1"/>
    </xf>
    <xf numFmtId="0" fontId="6" fillId="0" borderId="0" xfId="0" applyFont="1" applyFill="1" applyBorder="1" applyAlignment="1">
      <alignment horizontal="center" vertical="center"/>
    </xf>
    <xf numFmtId="0" fontId="25" fillId="0" borderId="0" xfId="0" applyFont="1" applyAlignment="1">
      <alignment horizontal="center"/>
    </xf>
    <xf numFmtId="43" fontId="14" fillId="0" borderId="0" xfId="12" applyFont="1" applyBorder="1" applyAlignment="1">
      <alignment horizontal="left" vertical="center"/>
    </xf>
    <xf numFmtId="43" fontId="0" fillId="0" borderId="0" xfId="12" applyFont="1" applyBorder="1" applyAlignment="1">
      <alignment horizontal="left" vertical="center"/>
    </xf>
    <xf numFmtId="43" fontId="9" fillId="0" borderId="0" xfId="12" applyFont="1" applyAlignment="1">
      <alignment vertical="center" wrapText="1"/>
    </xf>
    <xf numFmtId="43" fontId="9" fillId="0" borderId="0" xfId="12" applyFont="1" applyAlignment="1">
      <alignment vertical="center"/>
    </xf>
    <xf numFmtId="4" fontId="18" fillId="0" borderId="1"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4" fontId="18" fillId="0" borderId="4" xfId="0" applyNumberFormat="1" applyFont="1" applyFill="1" applyBorder="1" applyAlignment="1">
      <alignment horizontal="center" vertical="center" wrapText="1"/>
    </xf>
    <xf numFmtId="4" fontId="18" fillId="4" borderId="4" xfId="12" applyNumberFormat="1" applyFont="1" applyFill="1" applyBorder="1" applyAlignment="1">
      <alignment horizontal="center" vertical="center" wrapText="1"/>
    </xf>
    <xf numFmtId="4" fontId="18" fillId="2" borderId="4" xfId="12" applyNumberFormat="1" applyFont="1" applyFill="1" applyBorder="1" applyAlignment="1">
      <alignment horizontal="center" vertical="center" wrapText="1"/>
    </xf>
    <xf numFmtId="4" fontId="18" fillId="0" borderId="1" xfId="12" applyNumberFormat="1" applyFont="1" applyFill="1" applyBorder="1" applyAlignment="1">
      <alignment horizontal="center" vertical="center" wrapText="1"/>
    </xf>
    <xf numFmtId="4" fontId="18" fillId="0" borderId="14" xfId="0" applyNumberFormat="1" applyFont="1" applyFill="1" applyBorder="1" applyAlignment="1">
      <alignment horizontal="center" vertical="center" wrapText="1"/>
    </xf>
    <xf numFmtId="4" fontId="18" fillId="0" borderId="10" xfId="0" applyNumberFormat="1" applyFont="1" applyFill="1" applyBorder="1" applyAlignment="1">
      <alignment horizontal="center" vertical="center" wrapText="1"/>
    </xf>
    <xf numFmtId="4" fontId="18" fillId="4" borderId="10" xfId="12" applyNumberFormat="1" applyFont="1" applyFill="1" applyBorder="1" applyAlignment="1">
      <alignment horizontal="center" vertical="center" wrapText="1"/>
    </xf>
    <xf numFmtId="4" fontId="18" fillId="2" borderId="10" xfId="12" applyNumberFormat="1" applyFont="1" applyFill="1" applyBorder="1" applyAlignment="1">
      <alignment horizontal="center" vertical="center" wrapText="1"/>
    </xf>
    <xf numFmtId="4" fontId="18" fillId="0" borderId="10" xfId="12" applyNumberFormat="1" applyFont="1" applyFill="1" applyBorder="1" applyAlignment="1">
      <alignment horizontal="center" vertical="center" wrapText="1"/>
    </xf>
    <xf numFmtId="4" fontId="18" fillId="0" borderId="7" xfId="0" applyNumberFormat="1" applyFont="1" applyFill="1" applyBorder="1" applyAlignment="1">
      <alignment horizontal="center" vertical="center" wrapText="1"/>
    </xf>
    <xf numFmtId="4" fontId="18" fillId="0" borderId="7" xfId="12" applyNumberFormat="1" applyFont="1" applyFill="1" applyBorder="1" applyAlignment="1">
      <alignment horizontal="center" vertical="center" wrapText="1"/>
    </xf>
    <xf numFmtId="4" fontId="53" fillId="0" borderId="26" xfId="8" applyNumberFormat="1" applyFont="1" applyBorder="1" applyAlignment="1">
      <alignment horizontal="right" vertical="center"/>
    </xf>
    <xf numFmtId="4" fontId="53" fillId="0" borderId="26" xfId="12" applyNumberFormat="1" applyFont="1" applyBorder="1" applyAlignment="1">
      <alignment horizontal="right" vertical="center"/>
    </xf>
    <xf numFmtId="4" fontId="41" fillId="0" borderId="26" xfId="12" applyNumberFormat="1" applyFont="1" applyBorder="1" applyAlignment="1">
      <alignment horizontal="right" vertical="center" wrapText="1"/>
    </xf>
    <xf numFmtId="4" fontId="53" fillId="0" borderId="20" xfId="8" applyNumberFormat="1" applyFont="1" applyBorder="1" applyAlignment="1">
      <alignment horizontal="right" vertical="center"/>
    </xf>
    <xf numFmtId="4" fontId="53" fillId="0" borderId="20" xfId="12" applyNumberFormat="1" applyFont="1" applyBorder="1" applyAlignment="1">
      <alignment horizontal="right" vertical="center"/>
    </xf>
    <xf numFmtId="4" fontId="41" fillId="0" borderId="20" xfId="12" applyNumberFormat="1" applyFont="1" applyBorder="1" applyAlignment="1">
      <alignment horizontal="right" vertical="center" wrapText="1"/>
    </xf>
    <xf numFmtId="4" fontId="54" fillId="0" borderId="20" xfId="0" applyNumberFormat="1" applyFont="1" applyBorder="1" applyAlignment="1">
      <alignment horizontal="right" vertical="center"/>
    </xf>
    <xf numFmtId="4" fontId="39" fillId="0" borderId="20" xfId="8" applyNumberFormat="1" applyFont="1" applyBorder="1" applyAlignment="1">
      <alignment horizontal="right" vertical="center" wrapText="1"/>
    </xf>
    <xf numFmtId="4" fontId="54" fillId="0" borderId="20" xfId="8" applyNumberFormat="1" applyFont="1" applyBorder="1" applyAlignment="1">
      <alignment horizontal="right" vertical="center"/>
    </xf>
    <xf numFmtId="4" fontId="56" fillId="0" borderId="20" xfId="12" applyNumberFormat="1" applyFont="1" applyBorder="1" applyAlignment="1">
      <alignment horizontal="right" vertical="center"/>
    </xf>
    <xf numFmtId="4" fontId="39" fillId="0" borderId="20" xfId="12" applyNumberFormat="1" applyFont="1" applyBorder="1" applyAlignment="1">
      <alignment horizontal="right" vertical="center" wrapText="1"/>
    </xf>
    <xf numFmtId="4" fontId="41" fillId="0" borderId="20" xfId="8" applyNumberFormat="1" applyFont="1" applyBorder="1" applyAlignment="1">
      <alignment horizontal="right" vertical="center" wrapText="1"/>
    </xf>
    <xf numFmtId="4" fontId="54" fillId="0" borderId="20" xfId="12" applyNumberFormat="1" applyFont="1" applyBorder="1" applyAlignment="1">
      <alignment horizontal="right" vertical="center"/>
    </xf>
    <xf numFmtId="4" fontId="50" fillId="0" borderId="20" xfId="0" applyNumberFormat="1" applyFont="1" applyBorder="1" applyAlignment="1">
      <alignment wrapText="1"/>
    </xf>
    <xf numFmtId="4" fontId="39" fillId="0" borderId="20" xfId="12" applyNumberFormat="1" applyFont="1" applyBorder="1"/>
    <xf numFmtId="4" fontId="54" fillId="0" borderId="20" xfId="8" applyNumberFormat="1" applyFont="1" applyFill="1" applyBorder="1" applyAlignment="1">
      <alignment horizontal="right" vertical="center"/>
    </xf>
    <xf numFmtId="4" fontId="39" fillId="0" borderId="20" xfId="8" applyNumberFormat="1" applyFont="1" applyFill="1" applyBorder="1" applyAlignment="1">
      <alignment horizontal="right" vertical="center" wrapText="1"/>
    </xf>
    <xf numFmtId="4" fontId="53" fillId="0" borderId="20" xfId="8" applyNumberFormat="1" applyFont="1" applyFill="1" applyBorder="1" applyAlignment="1">
      <alignment horizontal="right" vertical="center"/>
    </xf>
    <xf numFmtId="4" fontId="41" fillId="0" borderId="20" xfId="0" applyNumberFormat="1" applyFont="1" applyBorder="1" applyAlignment="1">
      <alignment vertical="center"/>
    </xf>
    <xf numFmtId="4" fontId="39" fillId="0" borderId="20" xfId="12" applyNumberFormat="1" applyFont="1" applyBorder="1" applyAlignment="1">
      <alignment vertical="center"/>
    </xf>
    <xf numFmtId="4" fontId="39" fillId="0" borderId="20" xfId="0" applyNumberFormat="1" applyFont="1" applyBorder="1" applyAlignment="1">
      <alignment vertical="center"/>
    </xf>
    <xf numFmtId="4" fontId="1" fillId="0" borderId="20" xfId="0" applyNumberFormat="1" applyFont="1" applyBorder="1" applyAlignment="1">
      <alignment vertical="center"/>
    </xf>
    <xf numFmtId="4" fontId="1" fillId="0" borderId="20" xfId="12" applyNumberFormat="1" applyFont="1" applyBorder="1" applyAlignment="1">
      <alignment vertical="center"/>
    </xf>
    <xf numFmtId="4" fontId="1" fillId="0" borderId="27" xfId="0" applyNumberFormat="1" applyFont="1" applyBorder="1" applyAlignment="1">
      <alignment vertical="center"/>
    </xf>
    <xf numFmtId="4" fontId="1" fillId="0" borderId="27" xfId="12" applyNumberFormat="1" applyFont="1" applyBorder="1" applyAlignment="1">
      <alignment vertical="center"/>
    </xf>
    <xf numFmtId="4" fontId="0" fillId="0" borderId="0" xfId="0" applyNumberFormat="1" applyAlignment="1">
      <alignment vertical="center"/>
    </xf>
    <xf numFmtId="4" fontId="0" fillId="0" borderId="0" xfId="12" applyNumberFormat="1" applyFont="1" applyAlignment="1">
      <alignment vertical="center"/>
    </xf>
    <xf numFmtId="0" fontId="18" fillId="0" borderId="2" xfId="0" applyFont="1" applyFill="1" applyBorder="1" applyAlignment="1">
      <alignment vertical="center"/>
    </xf>
    <xf numFmtId="0" fontId="18" fillId="0" borderId="4" xfId="0" applyFont="1" applyFill="1" applyBorder="1" applyAlignment="1">
      <alignment vertical="center"/>
    </xf>
    <xf numFmtId="49" fontId="18" fillId="0" borderId="8" xfId="0" applyNumberFormat="1" applyFont="1" applyFill="1" applyBorder="1" applyAlignment="1">
      <alignment vertical="center" wrapText="1"/>
    </xf>
    <xf numFmtId="49" fontId="18" fillId="0" borderId="10" xfId="0" applyNumberFormat="1" applyFont="1" applyFill="1" applyBorder="1" applyAlignment="1">
      <alignment vertical="center" wrapText="1"/>
    </xf>
    <xf numFmtId="49" fontId="18" fillId="0" borderId="17" xfId="0" applyNumberFormat="1" applyFont="1" applyFill="1" applyBorder="1" applyAlignment="1">
      <alignment horizontal="center" vertical="center" wrapText="1"/>
    </xf>
    <xf numFmtId="49" fontId="18" fillId="0" borderId="6" xfId="0" applyNumberFormat="1" applyFont="1" applyFill="1" applyBorder="1" applyAlignment="1">
      <alignment vertical="center" wrapText="1"/>
    </xf>
    <xf numFmtId="49" fontId="18" fillId="0" borderId="7" xfId="0" applyNumberFormat="1" applyFont="1" applyFill="1" applyBorder="1" applyAlignment="1">
      <alignment vertical="center" wrapText="1"/>
    </xf>
    <xf numFmtId="49" fontId="18" fillId="0" borderId="1"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justify" vertical="center" wrapText="1"/>
    </xf>
    <xf numFmtId="0" fontId="15"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49" fontId="18" fillId="4" borderId="11" xfId="0" applyNumberFormat="1" applyFont="1" applyFill="1" applyBorder="1" applyAlignment="1">
      <alignment vertical="center" wrapText="1"/>
    </xf>
    <xf numFmtId="49" fontId="18" fillId="4" borderId="17" xfId="0" applyNumberFormat="1" applyFont="1" applyFill="1" applyBorder="1" applyAlignment="1">
      <alignment vertical="center" wrapText="1"/>
    </xf>
    <xf numFmtId="49" fontId="18" fillId="4" borderId="6"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0" fontId="15" fillId="0" borderId="5" xfId="0" applyFont="1" applyBorder="1" applyAlignment="1">
      <alignment vertical="center" wrapText="1"/>
    </xf>
    <xf numFmtId="0" fontId="75" fillId="0" borderId="6" xfId="0" applyFont="1" applyBorder="1" applyAlignment="1">
      <alignment horizontal="center" vertical="center" wrapText="1"/>
    </xf>
    <xf numFmtId="0" fontId="75" fillId="0" borderId="5" xfId="0" applyFont="1" applyBorder="1" applyAlignment="1">
      <alignment vertical="center" wrapText="1"/>
    </xf>
    <xf numFmtId="0" fontId="15" fillId="0" borderId="14" xfId="0" applyFont="1" applyBorder="1" applyAlignment="1">
      <alignment vertical="center" wrapText="1"/>
    </xf>
    <xf numFmtId="0" fontId="15" fillId="0" borderId="12" xfId="0" applyFont="1" applyBorder="1" applyAlignment="1">
      <alignment horizontal="center" vertical="center" wrapText="1"/>
    </xf>
    <xf numFmtId="0" fontId="15" fillId="0" borderId="12" xfId="0" applyFont="1" applyBorder="1" applyAlignment="1">
      <alignment horizontal="justify" vertical="center" wrapText="1"/>
    </xf>
    <xf numFmtId="0" fontId="15" fillId="0" borderId="12" xfId="0" applyFont="1" applyBorder="1" applyAlignment="1">
      <alignment vertical="center" wrapText="1"/>
    </xf>
    <xf numFmtId="0" fontId="15" fillId="0" borderId="12" xfId="0" applyFont="1" applyBorder="1" applyAlignment="1">
      <alignment horizontal="left"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4" fontId="57" fillId="0" borderId="7" xfId="0" applyNumberFormat="1" applyFont="1" applyBorder="1" applyAlignment="1">
      <alignment horizontal="right" vertical="center" wrapText="1"/>
    </xf>
    <xf numFmtId="4" fontId="57" fillId="0" borderId="10" xfId="0" applyNumberFormat="1" applyFont="1" applyBorder="1" applyAlignment="1">
      <alignment horizontal="right" vertical="center" wrapText="1"/>
    </xf>
    <xf numFmtId="4" fontId="57" fillId="0" borderId="17" xfId="0" applyNumberFormat="1" applyFont="1" applyBorder="1" applyAlignment="1">
      <alignment horizontal="right" vertical="center" wrapText="1"/>
    </xf>
    <xf numFmtId="43" fontId="26" fillId="0" borderId="30" xfId="12" applyFont="1" applyBorder="1" applyAlignment="1">
      <alignment horizontal="center" vertical="center"/>
    </xf>
    <xf numFmtId="43" fontId="26" fillId="0" borderId="96" xfId="12" applyFont="1" applyBorder="1" applyAlignment="1">
      <alignment horizontal="center" vertical="center"/>
    </xf>
    <xf numFmtId="0" fontId="26" fillId="2" borderId="95" xfId="0" applyFont="1" applyFill="1" applyBorder="1" applyAlignment="1">
      <alignment horizontal="center" vertical="center"/>
    </xf>
    <xf numFmtId="0" fontId="26" fillId="0" borderId="95" xfId="0" applyFont="1" applyBorder="1" applyAlignment="1">
      <alignment horizontal="left" vertical="center"/>
    </xf>
    <xf numFmtId="0" fontId="26" fillId="0" borderId="95" xfId="0" applyFont="1" applyBorder="1" applyAlignment="1">
      <alignment horizontal="center" vertical="center"/>
    </xf>
    <xf numFmtId="0" fontId="24" fillId="0" borderId="95" xfId="0" applyFont="1" applyBorder="1" applyAlignment="1">
      <alignment horizontal="left" vertical="center"/>
    </xf>
    <xf numFmtId="0" fontId="24" fillId="0" borderId="95" xfId="0" applyFont="1" applyBorder="1" applyAlignment="1">
      <alignment vertical="center"/>
    </xf>
    <xf numFmtId="0" fontId="15" fillId="0" borderId="95" xfId="0" applyFont="1" applyBorder="1" applyAlignment="1">
      <alignment vertical="center" wrapText="1"/>
    </xf>
    <xf numFmtId="0" fontId="15" fillId="0" borderId="95" xfId="0" applyFont="1" applyBorder="1" applyAlignment="1">
      <alignment vertical="center"/>
    </xf>
    <xf numFmtId="43" fontId="15" fillId="0" borderId="95" xfId="12" applyFont="1" applyBorder="1" applyAlignment="1">
      <alignment vertical="center"/>
    </xf>
    <xf numFmtId="4" fontId="19" fillId="0" borderId="95" xfId="0" applyNumberFormat="1" applyFont="1" applyBorder="1" applyAlignment="1">
      <alignment horizontal="center" vertical="center"/>
    </xf>
    <xf numFmtId="0" fontId="39" fillId="0" borderId="98" xfId="0" applyFont="1" applyBorder="1" applyAlignment="1">
      <alignment horizontal="center" vertical="center"/>
    </xf>
    <xf numFmtId="0" fontId="39" fillId="0" borderId="98" xfId="0" applyFont="1" applyBorder="1" applyAlignment="1">
      <alignment wrapText="1"/>
    </xf>
    <xf numFmtId="4" fontId="39" fillId="0" borderId="98" xfId="0" applyNumberFormat="1" applyFont="1" applyBorder="1" applyAlignment="1">
      <alignment horizontal="center" wrapText="1"/>
    </xf>
    <xf numFmtId="0" fontId="39" fillId="0" borderId="89" xfId="0" applyFont="1" applyBorder="1" applyAlignment="1">
      <alignment horizontal="center"/>
    </xf>
    <xf numFmtId="0" fontId="50" fillId="0" borderId="88" xfId="0" applyFont="1" applyFill="1" applyBorder="1" applyAlignment="1">
      <alignment horizontal="left" vertical="center" wrapText="1"/>
    </xf>
    <xf numFmtId="4" fontId="50" fillId="0" borderId="88" xfId="0" applyNumberFormat="1" applyFont="1" applyFill="1" applyBorder="1" applyAlignment="1">
      <alignment horizontal="center" vertical="center" wrapText="1"/>
    </xf>
    <xf numFmtId="0" fontId="50" fillId="0" borderId="90" xfId="0" applyFont="1" applyFill="1" applyBorder="1" applyAlignment="1">
      <alignment horizontal="left" vertical="center" wrapText="1"/>
    </xf>
    <xf numFmtId="0" fontId="39" fillId="0" borderId="88" xfId="0" applyFont="1" applyBorder="1" applyAlignment="1">
      <alignment horizontal="center"/>
    </xf>
    <xf numFmtId="0" fontId="50" fillId="0" borderId="89" xfId="0" applyFont="1" applyFill="1" applyBorder="1" applyAlignment="1">
      <alignment horizontal="left"/>
    </xf>
    <xf numFmtId="4" fontId="50" fillId="0" borderId="88" xfId="0" applyNumberFormat="1" applyFont="1" applyFill="1" applyBorder="1" applyAlignment="1">
      <alignment horizontal="center"/>
    </xf>
    <xf numFmtId="0" fontId="50" fillId="0" borderId="88" xfId="0" applyFont="1" applyFill="1" applyBorder="1" applyAlignment="1">
      <alignment horizontal="left"/>
    </xf>
    <xf numFmtId="4" fontId="50" fillId="0" borderId="88" xfId="0" applyNumberFormat="1" applyFont="1" applyBorder="1" applyAlignment="1">
      <alignment horizontal="center"/>
    </xf>
    <xf numFmtId="0" fontId="50" fillId="0" borderId="88" xfId="0" applyFont="1" applyBorder="1" applyAlignment="1">
      <alignment horizontal="left"/>
    </xf>
    <xf numFmtId="4" fontId="50" fillId="0" borderId="88" xfId="0" applyNumberFormat="1" applyFont="1" applyBorder="1" applyAlignment="1">
      <alignment horizontal="center" vertical="center" wrapText="1"/>
    </xf>
    <xf numFmtId="0" fontId="50" fillId="0" borderId="88" xfId="0" applyFont="1" applyFill="1" applyBorder="1"/>
    <xf numFmtId="4" fontId="50" fillId="0" borderId="88" xfId="0" applyNumberFormat="1" applyFont="1" applyFill="1" applyBorder="1" applyAlignment="1">
      <alignment horizontal="center" vertical="center"/>
    </xf>
    <xf numFmtId="0" fontId="50" fillId="0" borderId="88" xfId="0" applyFont="1" applyBorder="1"/>
    <xf numFmtId="0" fontId="50" fillId="0" borderId="88" xfId="0" applyFont="1" applyFill="1" applyBorder="1" applyAlignment="1">
      <alignment horizontal="left" vertical="center"/>
    </xf>
    <xf numFmtId="0" fontId="50" fillId="0" borderId="89" xfId="0" applyFont="1" applyBorder="1" applyAlignment="1">
      <alignment horizontal="left" vertical="center" wrapText="1"/>
    </xf>
    <xf numFmtId="4" fontId="50" fillId="0" borderId="88" xfId="0" applyNumberFormat="1" applyFont="1" applyBorder="1" applyAlignment="1">
      <alignment horizontal="center" vertical="center"/>
    </xf>
    <xf numFmtId="0" fontId="50" fillId="0" borderId="88" xfId="0" applyFont="1" applyBorder="1" applyAlignment="1">
      <alignment horizontal="left" vertical="center"/>
    </xf>
    <xf numFmtId="4" fontId="39" fillId="0" borderId="90" xfId="0" applyNumberFormat="1" applyFont="1" applyBorder="1" applyAlignment="1">
      <alignment horizontal="center" wrapText="1"/>
    </xf>
    <xf numFmtId="0" fontId="50" fillId="0" borderId="88" xfId="0" applyFont="1" applyFill="1" applyBorder="1" applyAlignment="1">
      <alignment wrapText="1"/>
    </xf>
    <xf numFmtId="0" fontId="39" fillId="0" borderId="88" xfId="0" applyFont="1" applyBorder="1" applyAlignment="1">
      <alignment horizontal="center" vertical="center"/>
    </xf>
    <xf numFmtId="0" fontId="50" fillId="0" borderId="88" xfId="0" applyFont="1" applyFill="1" applyBorder="1" applyAlignment="1">
      <alignment vertical="center" wrapText="1"/>
    </xf>
    <xf numFmtId="0" fontId="50" fillId="0" borderId="5" xfId="0" applyFont="1" applyFill="1" applyBorder="1" applyAlignment="1">
      <alignment vertical="center" wrapText="1"/>
    </xf>
    <xf numFmtId="4" fontId="39" fillId="0" borderId="88" xfId="0" applyNumberFormat="1" applyFont="1" applyFill="1" applyBorder="1" applyAlignment="1">
      <alignment horizontal="center" wrapText="1"/>
    </xf>
    <xf numFmtId="4" fontId="50" fillId="0" borderId="5" xfId="0" applyNumberFormat="1" applyFont="1" applyFill="1" applyBorder="1" applyAlignment="1">
      <alignment horizontal="center" vertical="center" wrapText="1"/>
    </xf>
    <xf numFmtId="0" fontId="50" fillId="0" borderId="88" xfId="1" applyFont="1" applyBorder="1"/>
    <xf numFmtId="4" fontId="50" fillId="0" borderId="88" xfId="1" applyNumberFormat="1" applyFont="1" applyFill="1" applyBorder="1" applyAlignment="1">
      <alignment horizontal="center"/>
    </xf>
    <xf numFmtId="0" fontId="39" fillId="0" borderId="88" xfId="0" applyFont="1" applyFill="1" applyBorder="1" applyAlignment="1">
      <alignment horizontal="center" vertical="center"/>
    </xf>
    <xf numFmtId="0" fontId="39" fillId="0" borderId="88" xfId="0" applyFont="1" applyFill="1" applyBorder="1" applyAlignment="1">
      <alignment horizontal="left" wrapText="1"/>
    </xf>
    <xf numFmtId="0" fontId="39" fillId="4" borderId="88" xfId="0" applyFont="1" applyFill="1" applyBorder="1" applyAlignment="1">
      <alignment wrapText="1"/>
    </xf>
    <xf numFmtId="4" fontId="39" fillId="4" borderId="88" xfId="0" applyNumberFormat="1" applyFont="1" applyFill="1" applyBorder="1" applyAlignment="1">
      <alignment horizontal="center" wrapText="1"/>
    </xf>
    <xf numFmtId="4" fontId="39" fillId="0" borderId="88" xfId="0" applyNumberFormat="1" applyFont="1" applyBorder="1" applyAlignment="1">
      <alignment horizontal="center" wrapText="1"/>
    </xf>
    <xf numFmtId="0" fontId="39" fillId="0" borderId="88" xfId="0" applyFont="1" applyFill="1" applyBorder="1" applyAlignment="1">
      <alignment wrapText="1"/>
    </xf>
    <xf numFmtId="0" fontId="39" fillId="4" borderId="88" xfId="0" applyFont="1" applyFill="1" applyBorder="1" applyAlignment="1">
      <alignment horizontal="left" wrapText="1"/>
    </xf>
    <xf numFmtId="4" fontId="50" fillId="4" borderId="88" xfId="0" applyNumberFormat="1" applyFont="1" applyFill="1" applyBorder="1" applyAlignment="1">
      <alignment horizontal="center" wrapText="1"/>
    </xf>
    <xf numFmtId="0" fontId="39" fillId="0" borderId="88" xfId="0" applyFont="1" applyBorder="1" applyAlignment="1">
      <alignment wrapText="1"/>
    </xf>
    <xf numFmtId="0" fontId="39" fillId="0" borderId="90" xfId="0" applyFont="1" applyBorder="1" applyAlignment="1">
      <alignment wrapText="1"/>
    </xf>
    <xf numFmtId="0" fontId="39" fillId="0" borderId="90" xfId="0" applyFont="1" applyBorder="1" applyAlignment="1">
      <alignment horizontal="center" vertical="center"/>
    </xf>
    <xf numFmtId="0" fontId="39" fillId="0" borderId="87" xfId="0" applyFont="1" applyBorder="1" applyAlignment="1">
      <alignment horizontal="center"/>
    </xf>
    <xf numFmtId="0" fontId="39" fillId="0" borderId="87" xfId="0" applyFont="1" applyBorder="1"/>
    <xf numFmtId="4" fontId="39" fillId="0" borderId="87" xfId="0" applyNumberFormat="1" applyFont="1" applyBorder="1" applyAlignment="1">
      <alignment horizontal="center"/>
    </xf>
    <xf numFmtId="0" fontId="39" fillId="0" borderId="88" xfId="0" applyFont="1" applyBorder="1"/>
    <xf numFmtId="4" fontId="39" fillId="0" borderId="88" xfId="0" applyNumberFormat="1" applyFont="1" applyBorder="1" applyAlignment="1">
      <alignment horizontal="center"/>
    </xf>
    <xf numFmtId="0" fontId="39" fillId="0" borderId="98" xfId="0" applyFont="1" applyBorder="1" applyAlignment="1">
      <alignment horizontal="center"/>
    </xf>
    <xf numFmtId="0" fontId="39" fillId="0" borderId="98" xfId="0" applyFont="1" applyBorder="1"/>
    <xf numFmtId="4" fontId="39" fillId="0" borderId="98" xfId="0" applyNumberFormat="1" applyFont="1" applyBorder="1" applyAlignment="1">
      <alignment horizontal="center"/>
    </xf>
    <xf numFmtId="0" fontId="24" fillId="8" borderId="0" xfId="0" applyFont="1" applyFill="1" applyAlignment="1">
      <alignment horizontal="center" vertical="center"/>
    </xf>
    <xf numFmtId="0" fontId="19" fillId="0" borderId="95" xfId="0" applyFont="1" applyBorder="1" applyAlignment="1">
      <alignment horizontal="center"/>
    </xf>
    <xf numFmtId="4" fontId="19" fillId="0" borderId="94" xfId="0" applyNumberFormat="1" applyFont="1" applyBorder="1" applyAlignment="1">
      <alignment horizontal="center" vertical="center"/>
    </xf>
    <xf numFmtId="0" fontId="19" fillId="0" borderId="95" xfId="0" applyFont="1" applyBorder="1" applyAlignment="1">
      <alignment wrapText="1"/>
    </xf>
    <xf numFmtId="0" fontId="6" fillId="0" borderId="0" xfId="0" applyFont="1" applyFill="1" applyBorder="1" applyAlignment="1">
      <alignment vertical="center"/>
    </xf>
    <xf numFmtId="0" fontId="20" fillId="0" borderId="0" xfId="0" applyFont="1"/>
    <xf numFmtId="0" fontId="20" fillId="0" borderId="0" xfId="0" applyFont="1" applyAlignment="1">
      <alignment horizontal="left" readingOrder="1"/>
    </xf>
    <xf numFmtId="0" fontId="2" fillId="0" borderId="0" xfId="0" applyFont="1" applyAlignment="1">
      <alignment wrapText="1"/>
    </xf>
    <xf numFmtId="0" fontId="2" fillId="0" borderId="0" xfId="0" applyFont="1"/>
    <xf numFmtId="0" fontId="57" fillId="0" borderId="0" xfId="0" applyFont="1"/>
    <xf numFmtId="0" fontId="57" fillId="0" borderId="0" xfId="0" applyFont="1" applyAlignment="1">
      <alignment wrapText="1"/>
    </xf>
    <xf numFmtId="0" fontId="6" fillId="0" borderId="0" xfId="0" applyFont="1" applyFill="1" applyBorder="1" applyAlignment="1"/>
    <xf numFmtId="0" fontId="2" fillId="0" borderId="0" xfId="0" applyFont="1" applyFill="1" applyBorder="1" applyAlignment="1">
      <alignment vertical="top"/>
    </xf>
    <xf numFmtId="0" fontId="24" fillId="8" borderId="47" xfId="0" applyFont="1" applyFill="1" applyBorder="1" applyAlignment="1">
      <alignment vertical="center"/>
    </xf>
    <xf numFmtId="0" fontId="24" fillId="8" borderId="48" xfId="0" applyFont="1" applyFill="1" applyBorder="1" applyAlignment="1">
      <alignment vertical="center"/>
    </xf>
    <xf numFmtId="0" fontId="24" fillId="8" borderId="49" xfId="0" applyFont="1" applyFill="1" applyBorder="1" applyAlignment="1">
      <alignment vertical="center"/>
    </xf>
    <xf numFmtId="0" fontId="24" fillId="8" borderId="50" xfId="0" applyFont="1" applyFill="1" applyBorder="1" applyAlignment="1">
      <alignment vertical="center"/>
    </xf>
    <xf numFmtId="0" fontId="24" fillId="8" borderId="0" xfId="0" applyFont="1" applyFill="1" applyBorder="1" applyAlignment="1">
      <alignment vertical="center"/>
    </xf>
    <xf numFmtId="0" fontId="24" fillId="8" borderId="51" xfId="0" applyFont="1" applyFill="1" applyBorder="1" applyAlignment="1">
      <alignment vertical="center"/>
    </xf>
    <xf numFmtId="0" fontId="24" fillId="8" borderId="0" xfId="0" applyFont="1" applyFill="1" applyAlignment="1">
      <alignment vertical="center"/>
    </xf>
    <xf numFmtId="0" fontId="26" fillId="8" borderId="56" xfId="0" applyFont="1" applyFill="1" applyBorder="1" applyAlignment="1">
      <alignment vertical="center"/>
    </xf>
    <xf numFmtId="0" fontId="26" fillId="8" borderId="57" xfId="0" applyFont="1" applyFill="1" applyBorder="1" applyAlignment="1">
      <alignment vertical="center"/>
    </xf>
    <xf numFmtId="0" fontId="26" fillId="8" borderId="81" xfId="0" applyFont="1" applyFill="1" applyBorder="1" applyAlignment="1">
      <alignment vertical="center"/>
    </xf>
    <xf numFmtId="0" fontId="24" fillId="8" borderId="58" xfId="0" applyFont="1" applyFill="1" applyBorder="1" applyAlignment="1">
      <alignment vertical="center"/>
    </xf>
    <xf numFmtId="0" fontId="26" fillId="8" borderId="60" xfId="0" applyFont="1" applyFill="1" applyBorder="1" applyAlignment="1">
      <alignment horizontal="center" vertical="center"/>
    </xf>
    <xf numFmtId="0" fontId="24" fillId="8" borderId="60" xfId="0" applyFont="1" applyFill="1" applyBorder="1" applyAlignment="1">
      <alignment vertical="center"/>
    </xf>
    <xf numFmtId="0" fontId="26" fillId="8" borderId="0" xfId="0" applyFont="1" applyFill="1" applyBorder="1" applyAlignment="1">
      <alignment horizontal="center" vertical="center" wrapText="1"/>
    </xf>
    <xf numFmtId="0" fontId="26" fillId="8" borderId="0" xfId="0" applyFont="1" applyFill="1" applyBorder="1" applyAlignment="1">
      <alignment horizontal="center" vertical="center"/>
    </xf>
    <xf numFmtId="0" fontId="26" fillId="8" borderId="0" xfId="0" applyFont="1" applyFill="1" applyBorder="1" applyAlignment="1">
      <alignment horizontal="left" vertical="center"/>
    </xf>
    <xf numFmtId="0" fontId="24" fillId="8" borderId="0" xfId="0" applyFont="1" applyFill="1" applyBorder="1" applyAlignment="1">
      <alignment horizontal="left" vertical="center"/>
    </xf>
    <xf numFmtId="0" fontId="24" fillId="8" borderId="0" xfId="0" applyFont="1" applyFill="1" applyBorder="1" applyAlignment="1">
      <alignment horizontal="center" vertical="center"/>
    </xf>
    <xf numFmtId="0" fontId="44" fillId="10" borderId="70" xfId="0" applyFont="1" applyFill="1" applyBorder="1" applyAlignment="1">
      <alignment horizontal="center" vertical="center" wrapText="1"/>
    </xf>
    <xf numFmtId="0" fontId="44" fillId="10" borderId="63" xfId="0" applyFont="1" applyFill="1" applyBorder="1" applyAlignment="1">
      <alignment horizontal="center" vertical="center" wrapText="1"/>
    </xf>
    <xf numFmtId="0" fontId="44" fillId="8" borderId="70" xfId="0" applyFont="1" applyFill="1" applyBorder="1" applyAlignment="1">
      <alignment horizontal="center" vertical="center" wrapText="1"/>
    </xf>
    <xf numFmtId="0" fontId="26" fillId="8" borderId="70" xfId="0" applyFont="1" applyFill="1" applyBorder="1" applyAlignment="1">
      <alignment vertical="center"/>
    </xf>
    <xf numFmtId="0" fontId="45" fillId="8" borderId="0" xfId="0" applyFont="1" applyFill="1" applyBorder="1" applyAlignment="1">
      <alignment horizontal="left" vertical="center"/>
    </xf>
    <xf numFmtId="0" fontId="46" fillId="8" borderId="0" xfId="0" applyFont="1" applyFill="1" applyBorder="1" applyAlignment="1">
      <alignment vertical="center"/>
    </xf>
    <xf numFmtId="0" fontId="26" fillId="8" borderId="61" xfId="0" applyFont="1" applyFill="1" applyBorder="1" applyAlignment="1">
      <alignment vertical="center" wrapText="1"/>
    </xf>
    <xf numFmtId="0" fontId="26" fillId="8" borderId="62" xfId="0" applyFont="1" applyFill="1" applyBorder="1" applyAlignment="1">
      <alignment vertical="center" wrapText="1"/>
    </xf>
    <xf numFmtId="0" fontId="26" fillId="8" borderId="73" xfId="0" applyFont="1" applyFill="1" applyBorder="1" applyAlignment="1">
      <alignment horizontal="center" vertical="center" wrapText="1"/>
    </xf>
    <xf numFmtId="0" fontId="47" fillId="8" borderId="0" xfId="0" applyFont="1" applyFill="1" applyBorder="1" applyAlignment="1">
      <alignment vertical="center"/>
    </xf>
    <xf numFmtId="0" fontId="47" fillId="8" borderId="53" xfId="0" applyFont="1" applyFill="1" applyBorder="1" applyAlignment="1">
      <alignment vertical="center"/>
    </xf>
    <xf numFmtId="0" fontId="26" fillId="8" borderId="0" xfId="0" applyFont="1" applyFill="1" applyBorder="1" applyAlignment="1">
      <alignment vertical="center"/>
    </xf>
    <xf numFmtId="0" fontId="26" fillId="8" borderId="57" xfId="0" applyFont="1" applyFill="1" applyBorder="1" applyAlignment="1">
      <alignment horizontal="left" vertical="center"/>
    </xf>
    <xf numFmtId="0" fontId="26" fillId="8" borderId="0" xfId="0" applyFont="1" applyFill="1" applyBorder="1" applyAlignment="1">
      <alignment horizontal="left" vertical="center" wrapText="1"/>
    </xf>
    <xf numFmtId="0" fontId="26" fillId="8" borderId="60" xfId="0" applyFont="1" applyFill="1" applyBorder="1" applyAlignment="1">
      <alignment horizontal="left" vertical="center" wrapText="1"/>
    </xf>
    <xf numFmtId="0" fontId="48" fillId="8" borderId="0" xfId="0" applyFont="1" applyFill="1" applyBorder="1" applyAlignment="1">
      <alignment vertical="center"/>
    </xf>
    <xf numFmtId="0" fontId="24" fillId="8" borderId="74" xfId="0" applyFont="1" applyFill="1" applyBorder="1" applyAlignment="1">
      <alignment vertical="center"/>
    </xf>
    <xf numFmtId="0" fontId="24" fillId="8" borderId="53" xfId="0" applyFont="1" applyFill="1" applyBorder="1" applyAlignment="1">
      <alignment horizontal="left" vertical="center"/>
    </xf>
    <xf numFmtId="0" fontId="44" fillId="8" borderId="62" xfId="0" applyFont="1" applyFill="1" applyBorder="1" applyAlignment="1">
      <alignment horizontal="center" vertical="center"/>
    </xf>
    <xf numFmtId="0" fontId="44" fillId="8" borderId="47" xfId="0" applyFont="1" applyFill="1" applyBorder="1" applyAlignment="1">
      <alignment horizontal="center" vertical="center"/>
    </xf>
    <xf numFmtId="0" fontId="44" fillId="8" borderId="52" xfId="0" applyFont="1" applyFill="1" applyBorder="1" applyAlignment="1">
      <alignment horizontal="center" vertical="center"/>
    </xf>
    <xf numFmtId="0" fontId="46" fillId="8" borderId="70" xfId="0" applyFont="1" applyFill="1" applyBorder="1" applyAlignment="1">
      <alignment vertical="center" wrapText="1"/>
    </xf>
    <xf numFmtId="0" fontId="44" fillId="8" borderId="70" xfId="0" applyFont="1" applyFill="1" applyBorder="1" applyAlignment="1">
      <alignment vertical="center" wrapText="1"/>
    </xf>
    <xf numFmtId="0" fontId="46" fillId="8" borderId="53" xfId="0" applyFont="1" applyFill="1" applyBorder="1" applyAlignment="1">
      <alignment horizontal="center" vertical="center" wrapText="1"/>
    </xf>
    <xf numFmtId="0" fontId="46" fillId="8" borderId="68" xfId="0" applyFont="1" applyFill="1" applyBorder="1" applyAlignment="1">
      <alignment horizontal="center" vertical="center" wrapText="1"/>
    </xf>
    <xf numFmtId="165" fontId="24" fillId="8" borderId="70" xfId="0" applyNumberFormat="1" applyFont="1" applyFill="1" applyBorder="1" applyAlignment="1">
      <alignment wrapText="1"/>
    </xf>
    <xf numFmtId="0" fontId="26" fillId="8" borderId="0" xfId="0" applyFont="1" applyFill="1" applyAlignment="1">
      <alignment horizontal="left" vertical="center" wrapText="1"/>
    </xf>
    <xf numFmtId="0" fontId="24" fillId="8" borderId="0" xfId="0" applyFont="1" applyFill="1" applyAlignment="1">
      <alignment vertical="center" wrapText="1"/>
    </xf>
    <xf numFmtId="0" fontId="26" fillId="8" borderId="79" xfId="0" applyFont="1" applyFill="1" applyBorder="1" applyAlignment="1">
      <alignment horizontal="center" vertical="center" wrapText="1"/>
    </xf>
    <xf numFmtId="0" fontId="26" fillId="8" borderId="79" xfId="0" applyFont="1" applyFill="1" applyBorder="1" applyAlignment="1">
      <alignment horizontal="center" vertical="center"/>
    </xf>
    <xf numFmtId="0" fontId="26" fillId="8" borderId="79" xfId="0" applyFont="1" applyFill="1" applyBorder="1" applyAlignment="1">
      <alignment horizontal="left" vertical="center" wrapText="1"/>
    </xf>
    <xf numFmtId="0" fontId="24" fillId="8" borderId="79" xfId="0" applyFont="1" applyFill="1" applyBorder="1" applyAlignment="1">
      <alignment vertical="center" wrapText="1"/>
    </xf>
    <xf numFmtId="0" fontId="24" fillId="8" borderId="79" xfId="0" applyFont="1" applyFill="1" applyBorder="1" applyAlignment="1">
      <alignment vertical="center"/>
    </xf>
    <xf numFmtId="165" fontId="24" fillId="8" borderId="79" xfId="0" applyNumberFormat="1" applyFont="1" applyFill="1" applyBorder="1" applyAlignment="1">
      <alignment vertical="center" wrapText="1"/>
    </xf>
    <xf numFmtId="0" fontId="24" fillId="8" borderId="0" xfId="0" applyFont="1" applyFill="1" applyBorder="1" applyAlignment="1">
      <alignment vertical="center" wrapText="1"/>
    </xf>
    <xf numFmtId="165" fontId="24" fillId="8" borderId="0" xfId="0" applyNumberFormat="1" applyFont="1" applyFill="1" applyAlignment="1">
      <alignment vertical="center"/>
    </xf>
    <xf numFmtId="9" fontId="50" fillId="8" borderId="0" xfId="0" applyNumberFormat="1" applyFont="1" applyFill="1" applyAlignment="1">
      <alignment vertical="center"/>
    </xf>
    <xf numFmtId="0" fontId="50" fillId="8" borderId="0" xfId="0" applyFont="1" applyFill="1" applyAlignment="1">
      <alignment vertical="center"/>
    </xf>
    <xf numFmtId="9" fontId="50" fillId="8" borderId="0" xfId="0" applyNumberFormat="1" applyFont="1" applyFill="1" applyAlignment="1">
      <alignment horizontal="left" vertical="center"/>
    </xf>
    <xf numFmtId="0" fontId="24" fillId="8" borderId="58" xfId="0" applyFont="1" applyFill="1" applyBorder="1" applyAlignment="1">
      <alignment horizontal="center" vertical="center"/>
    </xf>
    <xf numFmtId="0" fontId="24" fillId="8" borderId="64" xfId="0" applyFont="1" applyFill="1" applyBorder="1" applyAlignment="1">
      <alignment vertical="center"/>
    </xf>
    <xf numFmtId="0" fontId="24" fillId="8" borderId="59" xfId="0" applyFont="1" applyFill="1" applyBorder="1" applyAlignment="1">
      <alignment vertical="center"/>
    </xf>
    <xf numFmtId="0" fontId="24" fillId="7" borderId="31" xfId="0" applyFont="1" applyFill="1" applyBorder="1" applyAlignment="1">
      <alignment vertical="center"/>
    </xf>
    <xf numFmtId="0" fontId="24" fillId="7" borderId="92" xfId="0" applyFont="1" applyFill="1" applyBorder="1" applyAlignment="1">
      <alignment vertical="center"/>
    </xf>
    <xf numFmtId="0" fontId="24" fillId="7" borderId="91" xfId="0" applyFont="1" applyFill="1" applyBorder="1" applyAlignment="1">
      <alignment vertical="center"/>
    </xf>
    <xf numFmtId="0" fontId="24" fillId="7" borderId="15" xfId="0" applyFont="1" applyFill="1" applyBorder="1" applyAlignment="1">
      <alignment vertical="center"/>
    </xf>
    <xf numFmtId="0" fontId="24" fillId="7" borderId="32" xfId="0" applyFont="1" applyFill="1" applyBorder="1" applyAlignment="1">
      <alignment vertical="center"/>
    </xf>
    <xf numFmtId="0" fontId="24" fillId="7" borderId="16" xfId="0" applyFont="1" applyFill="1" applyBorder="1" applyAlignment="1">
      <alignment vertical="center"/>
    </xf>
    <xf numFmtId="0" fontId="24" fillId="7" borderId="25" xfId="0" applyFont="1" applyFill="1" applyBorder="1" applyAlignment="1">
      <alignment vertical="center"/>
    </xf>
    <xf numFmtId="43" fontId="39" fillId="0" borderId="0" xfId="0" applyNumberFormat="1" applyFont="1"/>
    <xf numFmtId="0" fontId="41" fillId="0" borderId="0" xfId="0" applyFont="1" applyFill="1" applyBorder="1" applyAlignment="1">
      <alignment horizontal="center" vertical="top"/>
    </xf>
    <xf numFmtId="0" fontId="76" fillId="0" borderId="0" xfId="0" applyFont="1"/>
    <xf numFmtId="43" fontId="76" fillId="0" borderId="0" xfId="12" applyFont="1"/>
    <xf numFmtId="43" fontId="76" fillId="0" borderId="0" xfId="12" applyFont="1" applyFill="1"/>
    <xf numFmtId="43" fontId="77" fillId="0" borderId="0" xfId="12" applyFont="1" applyFill="1" applyBorder="1" applyAlignment="1">
      <alignment vertical="top" wrapText="1"/>
    </xf>
    <xf numFmtId="0" fontId="76" fillId="0" borderId="0" xfId="0" applyFont="1" applyAlignment="1">
      <alignment wrapText="1"/>
    </xf>
    <xf numFmtId="43" fontId="76" fillId="0" borderId="0" xfId="12" applyFont="1" applyFill="1" applyAlignment="1">
      <alignment wrapText="1"/>
    </xf>
    <xf numFmtId="43" fontId="34" fillId="0" borderId="0" xfId="12" applyFont="1" applyFill="1" applyAlignment="1">
      <alignment wrapText="1"/>
    </xf>
    <xf numFmtId="43" fontId="76" fillId="0" borderId="0" xfId="0" applyNumberFormat="1" applyFont="1" applyAlignment="1">
      <alignment wrapText="1"/>
    </xf>
    <xf numFmtId="43" fontId="76" fillId="0" borderId="0" xfId="12" applyFont="1" applyAlignment="1">
      <alignment wrapText="1"/>
    </xf>
    <xf numFmtId="0" fontId="46" fillId="0" borderId="0" xfId="0" applyFont="1"/>
    <xf numFmtId="0" fontId="46" fillId="0" borderId="0" xfId="0" applyFont="1" applyAlignment="1">
      <alignment wrapText="1"/>
    </xf>
    <xf numFmtId="0" fontId="44" fillId="0" borderId="0" xfId="0" applyFont="1"/>
    <xf numFmtId="0" fontId="44" fillId="0" borderId="0" xfId="0" applyFont="1" applyAlignment="1">
      <alignment wrapText="1"/>
    </xf>
    <xf numFmtId="43" fontId="76" fillId="3" borderId="7" xfId="12" applyFont="1" applyFill="1" applyBorder="1" applyAlignment="1">
      <alignment horizontal="center" vertical="top"/>
    </xf>
    <xf numFmtId="43" fontId="6" fillId="3" borderId="100" xfId="12" applyFont="1" applyFill="1" applyBorder="1" applyAlignment="1">
      <alignment horizontal="left" vertical="top"/>
    </xf>
    <xf numFmtId="43" fontId="9" fillId="0" borderId="5" xfId="0" applyNumberFormat="1" applyFont="1" applyFill="1" applyBorder="1" applyAlignment="1">
      <alignment horizontal="center" vertical="center" wrapText="1"/>
    </xf>
    <xf numFmtId="4" fontId="18" fillId="0" borderId="4" xfId="12" applyNumberFormat="1" applyFont="1" applyFill="1" applyBorder="1" applyAlignment="1">
      <alignment horizontal="center" vertical="center" wrapText="1"/>
    </xf>
    <xf numFmtId="4" fontId="53" fillId="0" borderId="26" xfId="12" applyNumberFormat="1" applyFont="1" applyFill="1" applyBorder="1" applyAlignment="1">
      <alignment horizontal="right" vertical="center"/>
    </xf>
    <xf numFmtId="4" fontId="53" fillId="0" borderId="20" xfId="12" applyNumberFormat="1" applyFont="1" applyFill="1" applyBorder="1" applyAlignment="1">
      <alignment horizontal="right" vertical="center"/>
    </xf>
    <xf numFmtId="4" fontId="56" fillId="0" borderId="20" xfId="12" applyNumberFormat="1" applyFont="1" applyFill="1" applyBorder="1" applyAlignment="1">
      <alignment horizontal="right" vertical="center"/>
    </xf>
    <xf numFmtId="4" fontId="54" fillId="0" borderId="20" xfId="12" applyNumberFormat="1" applyFont="1" applyFill="1" applyBorder="1" applyAlignment="1">
      <alignment horizontal="right" vertical="center"/>
    </xf>
    <xf numFmtId="4" fontId="39" fillId="0" borderId="20" xfId="12" applyNumberFormat="1" applyFont="1" applyFill="1" applyBorder="1"/>
    <xf numFmtId="4" fontId="39" fillId="0" borderId="20" xfId="12" applyNumberFormat="1" applyFont="1" applyFill="1" applyBorder="1" applyAlignment="1">
      <alignment vertical="center"/>
    </xf>
    <xf numFmtId="4" fontId="1" fillId="0" borderId="20" xfId="12" applyNumberFormat="1" applyFont="1" applyFill="1" applyBorder="1" applyAlignment="1">
      <alignment vertical="center"/>
    </xf>
    <xf numFmtId="4" fontId="0" fillId="0" borderId="0" xfId="12" applyNumberFormat="1" applyFont="1" applyFill="1" applyAlignment="1">
      <alignment vertical="center"/>
    </xf>
    <xf numFmtId="0" fontId="0" fillId="0" borderId="0" xfId="0" applyAlignment="1">
      <alignment horizontal="justify"/>
    </xf>
    <xf numFmtId="0" fontId="46" fillId="7" borderId="0" xfId="0" applyFont="1" applyFill="1" applyAlignment="1">
      <alignment vertical="center"/>
    </xf>
    <xf numFmtId="0" fontId="39" fillId="0" borderId="0" xfId="0" applyFont="1" applyFill="1"/>
    <xf numFmtId="0" fontId="25" fillId="0" borderId="0" xfId="0" applyFont="1" applyFill="1" applyAlignment="1">
      <alignment horizontal="center"/>
    </xf>
    <xf numFmtId="44" fontId="6" fillId="0" borderId="13" xfId="8" applyFont="1" applyFill="1" applyBorder="1" applyAlignment="1">
      <alignment horizontal="center" vertical="center" wrapText="1"/>
    </xf>
    <xf numFmtId="0" fontId="78" fillId="0" borderId="0" xfId="0" applyFont="1" applyFill="1" applyAlignment="1"/>
    <xf numFmtId="0" fontId="81" fillId="0" borderId="0" xfId="0" applyFont="1" applyFill="1" applyBorder="1" applyAlignment="1">
      <alignment horizontal="left"/>
    </xf>
    <xf numFmtId="0" fontId="78" fillId="0" borderId="0" xfId="0" applyFont="1" applyFill="1" applyBorder="1" applyAlignment="1">
      <alignment horizontal="left"/>
    </xf>
    <xf numFmtId="0" fontId="82" fillId="0" borderId="0" xfId="0" applyFont="1" applyFill="1" applyAlignment="1"/>
    <xf numFmtId="0" fontId="0" fillId="0" borderId="0" xfId="0" applyFill="1" applyAlignment="1">
      <alignment vertical="center"/>
    </xf>
    <xf numFmtId="0" fontId="25" fillId="0" borderId="0" xfId="0" applyFont="1" applyAlignment="1">
      <alignment horizontal="center"/>
    </xf>
    <xf numFmtId="0" fontId="0" fillId="0" borderId="0" xfId="0" applyFont="1" applyFill="1" applyAlignment="1"/>
    <xf numFmtId="0" fontId="9" fillId="0" borderId="0" xfId="0" applyFont="1" applyFill="1" applyAlignment="1"/>
    <xf numFmtId="43" fontId="9" fillId="0" borderId="0" xfId="0" applyNumberFormat="1" applyFont="1" applyFill="1" applyAlignment="1"/>
    <xf numFmtId="43" fontId="6" fillId="0" borderId="6" xfId="0" applyNumberFormat="1" applyFont="1" applyFill="1" applyBorder="1" applyAlignment="1"/>
    <xf numFmtId="0" fontId="57" fillId="0" borderId="0" xfId="0" applyFont="1" applyFill="1"/>
    <xf numFmtId="0" fontId="2" fillId="0" borderId="0" xfId="0" applyFont="1" applyFill="1"/>
    <xf numFmtId="44" fontId="9" fillId="0" borderId="0" xfId="0" applyNumberFormat="1" applyFont="1" applyAlignment="1">
      <alignment vertical="center"/>
    </xf>
    <xf numFmtId="44" fontId="39" fillId="0" borderId="0" xfId="0" applyNumberFormat="1" applyFont="1"/>
    <xf numFmtId="4" fontId="39" fillId="0" borderId="5" xfId="0" applyNumberFormat="1" applyFont="1" applyBorder="1" applyAlignment="1">
      <alignment horizontal="center"/>
    </xf>
    <xf numFmtId="0" fontId="39" fillId="0" borderId="5" xfId="0" applyFont="1" applyBorder="1" applyAlignment="1">
      <alignment wrapText="1"/>
    </xf>
    <xf numFmtId="43" fontId="15" fillId="0" borderId="0" xfId="12" applyFont="1" applyFill="1" applyBorder="1"/>
    <xf numFmtId="43" fontId="15" fillId="0" borderId="0" xfId="0" applyNumberFormat="1" applyFont="1" applyFill="1" applyBorder="1"/>
    <xf numFmtId="0" fontId="24" fillId="7" borderId="0" xfId="0" applyFont="1" applyFill="1" applyAlignment="1">
      <alignment vertical="center" wrapText="1"/>
    </xf>
    <xf numFmtId="0" fontId="80" fillId="0" borderId="0" xfId="0" applyFont="1" applyBorder="1" applyAlignment="1">
      <alignment horizontal="justify"/>
    </xf>
    <xf numFmtId="0" fontId="80" fillId="0" borderId="86" xfId="0" applyFont="1" applyBorder="1" applyAlignment="1">
      <alignment horizontal="justify"/>
    </xf>
    <xf numFmtId="0" fontId="2" fillId="0" borderId="0" xfId="0" applyFont="1" applyBorder="1"/>
    <xf numFmtId="0" fontId="57" fillId="0" borderId="0" xfId="0" applyFont="1" applyBorder="1"/>
    <xf numFmtId="0" fontId="0" fillId="0" borderId="86" xfId="0" applyBorder="1" applyAlignment="1">
      <alignment horizontal="justify"/>
    </xf>
    <xf numFmtId="0" fontId="24" fillId="7" borderId="101" xfId="0" applyFont="1" applyFill="1" applyBorder="1" applyAlignment="1">
      <alignment vertical="center"/>
    </xf>
    <xf numFmtId="0" fontId="24" fillId="7" borderId="0" xfId="0" applyFont="1" applyFill="1" applyBorder="1" applyAlignment="1">
      <alignment vertical="center" wrapText="1"/>
    </xf>
    <xf numFmtId="0" fontId="79" fillId="0" borderId="95" xfId="0" applyFont="1" applyBorder="1" applyAlignment="1">
      <alignment horizontal="center"/>
    </xf>
    <xf numFmtId="0" fontId="80" fillId="0" borderId="95" xfId="0" applyFont="1" applyBorder="1"/>
    <xf numFmtId="4" fontId="80" fillId="0" borderId="95" xfId="0" applyNumberFormat="1" applyFont="1" applyBorder="1"/>
    <xf numFmtId="0" fontId="24" fillId="0" borderId="0" xfId="0" applyFont="1" applyFill="1" applyBorder="1" applyAlignment="1">
      <alignment horizontal="left" wrapText="1"/>
    </xf>
    <xf numFmtId="0" fontId="15" fillId="0" borderId="0" xfId="0" applyFont="1" applyBorder="1" applyAlignment="1">
      <alignment horizontal="left" wrapText="1"/>
    </xf>
    <xf numFmtId="0" fontId="18" fillId="0" borderId="0" xfId="0" applyFont="1" applyBorder="1" applyAlignment="1">
      <alignment horizontal="left"/>
    </xf>
    <xf numFmtId="0" fontId="15" fillId="0" borderId="0" xfId="0" applyFont="1" applyBorder="1" applyAlignment="1">
      <alignment horizontal="left"/>
    </xf>
    <xf numFmtId="0" fontId="15" fillId="0" borderId="0" xfId="0" applyFont="1" applyFill="1" applyBorder="1" applyAlignment="1">
      <alignment horizontal="left" wrapText="1"/>
    </xf>
    <xf numFmtId="0" fontId="18" fillId="0" borderId="0" xfId="0" applyFont="1" applyFill="1" applyBorder="1" applyAlignment="1">
      <alignment horizontal="left" wrapText="1"/>
    </xf>
    <xf numFmtId="0" fontId="15" fillId="0" borderId="0" xfId="0" applyFont="1" applyFill="1" applyBorder="1" applyAlignment="1">
      <alignment horizontal="left"/>
    </xf>
    <xf numFmtId="0" fontId="0" fillId="0" borderId="99" xfId="0" applyBorder="1" applyAlignment="1">
      <alignment horizontal="justify"/>
    </xf>
    <xf numFmtId="0" fontId="83" fillId="0" borderId="0" xfId="0" applyFont="1" applyAlignment="1">
      <alignment wrapText="1"/>
    </xf>
    <xf numFmtId="0" fontId="0" fillId="0" borderId="0" xfId="0" applyAlignment="1">
      <alignment wrapText="1"/>
    </xf>
    <xf numFmtId="0" fontId="50" fillId="0" borderId="0" xfId="0" applyFont="1" applyFill="1" applyAlignment="1">
      <alignment wrapText="1"/>
    </xf>
    <xf numFmtId="0" fontId="84" fillId="0" borderId="0" xfId="0" applyFont="1" applyFill="1" applyAlignment="1">
      <alignment wrapText="1"/>
    </xf>
    <xf numFmtId="4" fontId="84" fillId="0" borderId="0" xfId="0" applyNumberFormat="1" applyFont="1" applyFill="1" applyAlignment="1">
      <alignment wrapText="1"/>
    </xf>
    <xf numFmtId="43" fontId="20" fillId="0" borderId="7" xfId="12" applyFont="1" applyFill="1" applyBorder="1" applyAlignment="1">
      <alignment horizontal="justify" vertical="center" wrapText="1"/>
    </xf>
    <xf numFmtId="43" fontId="16" fillId="0" borderId="7" xfId="12" applyFont="1" applyFill="1" applyBorder="1" applyAlignment="1">
      <alignment horizontal="justify" vertical="center" wrapText="1"/>
    </xf>
    <xf numFmtId="43" fontId="19" fillId="0" borderId="0" xfId="0" applyNumberFormat="1" applyFont="1" applyAlignment="1">
      <alignment vertical="center"/>
    </xf>
    <xf numFmtId="14" fontId="18" fillId="0" borderId="0" xfId="0" applyNumberFormat="1" applyFont="1" applyBorder="1" applyAlignment="1">
      <alignment horizontal="right"/>
    </xf>
    <xf numFmtId="43" fontId="15" fillId="0" borderId="0" xfId="12" applyFont="1" applyBorder="1" applyAlignment="1">
      <alignment horizontal="right"/>
    </xf>
    <xf numFmtId="4" fontId="18" fillId="0" borderId="0" xfId="0" applyNumberFormat="1" applyFont="1" applyBorder="1" applyAlignment="1">
      <alignment horizontal="right"/>
    </xf>
    <xf numFmtId="0" fontId="18" fillId="0" borderId="0" xfId="0" applyFont="1" applyBorder="1" applyAlignment="1">
      <alignment horizontal="right"/>
    </xf>
    <xf numFmtId="43" fontId="18" fillId="0" borderId="0" xfId="12" applyFont="1" applyBorder="1" applyAlignment="1">
      <alignment horizontal="right"/>
    </xf>
    <xf numFmtId="0" fontId="18" fillId="0" borderId="0" xfId="0" applyFont="1" applyBorder="1" applyAlignment="1">
      <alignment wrapText="1"/>
    </xf>
    <xf numFmtId="43" fontId="72" fillId="0" borderId="0" xfId="12" applyFont="1" applyFill="1" applyBorder="1" applyAlignment="1">
      <alignment wrapText="1"/>
    </xf>
    <xf numFmtId="4" fontId="26" fillId="0" borderId="0" xfId="0" applyNumberFormat="1" applyFont="1" applyBorder="1" applyAlignment="1">
      <alignment horizontal="right" vertical="center" wrapText="1"/>
    </xf>
    <xf numFmtId="4" fontId="24" fillId="5" borderId="0" xfId="0" applyNumberFormat="1" applyFont="1" applyFill="1" applyBorder="1" applyAlignment="1">
      <alignment horizontal="right" vertical="center"/>
    </xf>
    <xf numFmtId="4" fontId="24" fillId="0" borderId="0" xfId="0" applyNumberFormat="1" applyFont="1" applyFill="1" applyBorder="1" applyAlignment="1">
      <alignment horizontal="right" vertical="center"/>
    </xf>
    <xf numFmtId="10" fontId="24" fillId="0" borderId="0" xfId="0" applyNumberFormat="1" applyFont="1" applyFill="1" applyBorder="1" applyAlignment="1">
      <alignment wrapText="1"/>
    </xf>
    <xf numFmtId="4" fontId="26" fillId="0" borderId="0" xfId="0" applyNumberFormat="1" applyFont="1" applyFill="1" applyBorder="1"/>
    <xf numFmtId="43" fontId="18" fillId="0" borderId="0" xfId="12" applyFont="1" applyFill="1" applyBorder="1" applyAlignment="1">
      <alignment wrapText="1"/>
    </xf>
    <xf numFmtId="43" fontId="18" fillId="0" borderId="0" xfId="12" applyFont="1" applyFill="1" applyBorder="1" applyAlignment="1">
      <alignment horizontal="right" wrapText="1"/>
    </xf>
    <xf numFmtId="43" fontId="15" fillId="0" borderId="0" xfId="12" applyFont="1" applyFill="1" applyBorder="1" applyAlignment="1">
      <alignment horizontal="left" wrapText="1"/>
    </xf>
    <xf numFmtId="17" fontId="15" fillId="0" borderId="0" xfId="0" applyNumberFormat="1" applyFont="1" applyFill="1" applyBorder="1" applyAlignment="1">
      <alignment horizontal="center" wrapText="1"/>
    </xf>
    <xf numFmtId="44" fontId="15" fillId="0" borderId="0" xfId="8" applyFont="1" applyFill="1" applyBorder="1" applyAlignment="1">
      <alignment vertical="top" wrapText="1"/>
    </xf>
    <xf numFmtId="44" fontId="18" fillId="0" borderId="0" xfId="0" applyNumberFormat="1" applyFont="1" applyFill="1" applyBorder="1" applyAlignment="1">
      <alignment horizontal="left" wrapText="1"/>
    </xf>
    <xf numFmtId="0" fontId="18" fillId="2" borderId="0" xfId="0" applyFont="1" applyFill="1" applyBorder="1" applyAlignment="1">
      <alignment horizontal="center" vertical="center" wrapText="1"/>
    </xf>
    <xf numFmtId="43" fontId="18" fillId="2" borderId="0" xfId="12" applyFont="1" applyFill="1" applyBorder="1" applyAlignment="1">
      <alignment horizontal="center" vertical="center" wrapText="1"/>
    </xf>
    <xf numFmtId="0" fontId="18" fillId="4" borderId="0" xfId="0" applyFont="1" applyFill="1" applyBorder="1" applyAlignment="1">
      <alignment horizontal="left" vertical="center"/>
    </xf>
    <xf numFmtId="0" fontId="18" fillId="4" borderId="0" xfId="0" applyFont="1" applyFill="1" applyBorder="1" applyAlignment="1">
      <alignment horizontal="center" vertical="center" wrapText="1"/>
    </xf>
    <xf numFmtId="43"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74" fillId="3" borderId="0" xfId="0" applyFont="1" applyFill="1" applyBorder="1" applyAlignment="1">
      <alignment horizontal="justify" vertical="center"/>
    </xf>
    <xf numFmtId="0" fontId="73" fillId="2" borderId="0" xfId="0" applyFont="1" applyFill="1" applyBorder="1" applyAlignment="1">
      <alignment vertical="center"/>
    </xf>
    <xf numFmtId="0" fontId="72" fillId="2" borderId="0" xfId="0" applyFont="1" applyFill="1" applyBorder="1" applyAlignment="1">
      <alignment horizontal="justify" vertical="center"/>
    </xf>
    <xf numFmtId="43" fontId="18" fillId="2" borderId="0" xfId="0" applyNumberFormat="1" applyFont="1" applyFill="1" applyBorder="1" applyAlignment="1">
      <alignment horizontal="center" vertical="center" wrapText="1"/>
    </xf>
    <xf numFmtId="44" fontId="18" fillId="0" borderId="0" xfId="8" applyFont="1" applyFill="1" applyBorder="1" applyAlignment="1">
      <alignment horizontal="center" vertical="center" wrapText="1"/>
    </xf>
    <xf numFmtId="0" fontId="18" fillId="0" borderId="0" xfId="0" applyFont="1" applyFill="1" applyBorder="1" applyAlignment="1">
      <alignment horizontal="left" vertical="center"/>
    </xf>
    <xf numFmtId="44" fontId="15" fillId="0" borderId="0" xfId="8" applyFont="1" applyFill="1" applyBorder="1" applyAlignment="1">
      <alignment horizontal="justify" vertical="center" wrapText="1"/>
    </xf>
    <xf numFmtId="0" fontId="73" fillId="0" borderId="0" xfId="0" applyFont="1" applyFill="1" applyBorder="1" applyAlignment="1">
      <alignment horizontal="left" vertical="center"/>
    </xf>
    <xf numFmtId="0" fontId="74" fillId="0" borderId="0" xfId="0" applyFont="1" applyFill="1" applyBorder="1" applyAlignment="1">
      <alignment horizontal="justify" vertical="center"/>
    </xf>
    <xf numFmtId="43" fontId="24" fillId="9" borderId="0" xfId="12" applyFont="1" applyFill="1" applyBorder="1" applyAlignment="1">
      <alignment horizontal="right" vertical="top"/>
    </xf>
    <xf numFmtId="43" fontId="24" fillId="9" borderId="0" xfId="12" applyFont="1" applyFill="1" applyBorder="1" applyAlignment="1">
      <alignment horizontal="left" vertical="top"/>
    </xf>
    <xf numFmtId="0" fontId="2" fillId="0" borderId="0" xfId="0" applyFont="1" applyBorder="1" applyAlignment="1">
      <alignment wrapText="1"/>
    </xf>
    <xf numFmtId="0" fontId="57" fillId="0" borderId="0" xfId="0" applyFont="1" applyBorder="1" applyAlignment="1">
      <alignment wrapText="1"/>
    </xf>
    <xf numFmtId="0" fontId="20" fillId="0" borderId="0" xfId="0" applyFont="1" applyBorder="1"/>
    <xf numFmtId="0" fontId="20" fillId="0" borderId="0" xfId="0" applyFont="1" applyBorder="1" applyAlignment="1">
      <alignment horizontal="left" readingOrder="1"/>
    </xf>
    <xf numFmtId="0" fontId="0" fillId="0" borderId="0" xfId="0" applyBorder="1" applyAlignment="1">
      <alignment horizontal="justify"/>
    </xf>
    <xf numFmtId="0" fontId="41" fillId="0" borderId="0" xfId="0" applyFont="1"/>
    <xf numFmtId="0" fontId="0" fillId="0" borderId="0" xfId="0" applyBorder="1" applyAlignment="1">
      <alignment horizontal="justify"/>
    </xf>
    <xf numFmtId="0" fontId="0" fillId="0" borderId="101" xfId="0" applyBorder="1"/>
    <xf numFmtId="0" fontId="0" fillId="0" borderId="0" xfId="0" applyFill="1" applyBorder="1" applyAlignment="1">
      <alignment horizontal="left"/>
    </xf>
    <xf numFmtId="43" fontId="9" fillId="0" borderId="0" xfId="12" applyFont="1" applyFill="1" applyAlignment="1"/>
    <xf numFmtId="0" fontId="57" fillId="0" borderId="0" xfId="0" applyFont="1" applyFill="1" applyAlignment="1">
      <alignment wrapText="1"/>
    </xf>
    <xf numFmtId="0" fontId="2" fillId="0" borderId="0" xfId="0" applyFont="1" applyFill="1" applyAlignment="1">
      <alignment wrapText="1"/>
    </xf>
    <xf numFmtId="0" fontId="0" fillId="0" borderId="0" xfId="0" applyFill="1" applyAlignment="1"/>
    <xf numFmtId="0" fontId="9" fillId="0" borderId="0" xfId="0" applyFont="1" applyFill="1"/>
    <xf numFmtId="0" fontId="70" fillId="0" borderId="95" xfId="0" applyFont="1" applyFill="1" applyBorder="1" applyAlignment="1">
      <alignment horizontal="center" vertical="center"/>
    </xf>
    <xf numFmtId="4" fontId="85" fillId="0" borderId="95" xfId="0" applyNumberFormat="1" applyFont="1" applyFill="1" applyBorder="1" applyAlignment="1">
      <alignment horizontal="center" vertical="center"/>
    </xf>
    <xf numFmtId="0" fontId="70" fillId="0" borderId="95" xfId="0" applyFont="1" applyFill="1" applyBorder="1" applyAlignment="1">
      <alignment horizontal="center" vertical="center" wrapText="1"/>
    </xf>
    <xf numFmtId="0" fontId="41" fillId="0" borderId="0" xfId="0" applyFont="1" applyFill="1" applyBorder="1" applyAlignment="1">
      <alignment horizontal="center" vertical="top"/>
    </xf>
    <xf numFmtId="0" fontId="41" fillId="0" borderId="9" xfId="0" applyFont="1" applyFill="1" applyBorder="1" applyAlignment="1">
      <alignment horizontal="center" vertical="top"/>
    </xf>
    <xf numFmtId="0" fontId="41" fillId="0" borderId="0" xfId="0" applyFont="1" applyFill="1" applyBorder="1" applyAlignment="1">
      <alignment horizontal="center"/>
    </xf>
    <xf numFmtId="0" fontId="9" fillId="3" borderId="6"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7" xfId="0" applyFont="1" applyFill="1" applyBorder="1" applyAlignment="1">
      <alignment horizontal="justify" vertical="top" wrapText="1"/>
    </xf>
    <xf numFmtId="0" fontId="9" fillId="0" borderId="6"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7" xfId="0" applyFont="1" applyFill="1" applyBorder="1" applyAlignment="1">
      <alignment horizontal="justify" vertical="top"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6" xfId="0" applyFont="1" applyFill="1" applyBorder="1" applyAlignment="1">
      <alignment horizontal="center" vertical="top"/>
    </xf>
    <xf numFmtId="0" fontId="6" fillId="0" borderId="0" xfId="0" applyFont="1" applyFill="1" applyBorder="1" applyAlignment="1">
      <alignment horizontal="center" vertical="top"/>
    </xf>
    <xf numFmtId="0" fontId="6" fillId="0" borderId="7" xfId="0" applyFont="1" applyFill="1" applyBorder="1" applyAlignment="1">
      <alignment horizontal="center" vertical="top"/>
    </xf>
    <xf numFmtId="0" fontId="41" fillId="0" borderId="7" xfId="0"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7" xfId="0" applyFont="1" applyFill="1" applyBorder="1" applyAlignment="1">
      <alignment horizontal="center" vertical="top"/>
    </xf>
    <xf numFmtId="0" fontId="6" fillId="0" borderId="0" xfId="0" applyFont="1" applyFill="1" applyBorder="1" applyAlignment="1">
      <alignment horizontal="center"/>
    </xf>
    <xf numFmtId="0" fontId="2" fillId="0" borderId="9" xfId="0" applyFont="1" applyFill="1" applyBorder="1" applyAlignment="1">
      <alignment horizontal="center" vertical="top"/>
    </xf>
    <xf numFmtId="0" fontId="37" fillId="0" borderId="2" xfId="0" applyFont="1" applyBorder="1" applyAlignment="1">
      <alignment horizontal="center" vertical="justify"/>
    </xf>
    <xf numFmtId="0" fontId="37" fillId="0" borderId="3" xfId="0" applyFont="1" applyBorder="1" applyAlignment="1">
      <alignment horizontal="center" vertical="justify"/>
    </xf>
    <xf numFmtId="0" fontId="37" fillId="0" borderId="4" xfId="0" applyFont="1" applyBorder="1" applyAlignment="1">
      <alignment horizontal="center" vertical="justify"/>
    </xf>
    <xf numFmtId="0" fontId="37" fillId="0" borderId="6" xfId="0" applyFont="1" applyBorder="1" applyAlignment="1">
      <alignment horizontal="center" vertical="justify"/>
    </xf>
    <xf numFmtId="0" fontId="37" fillId="0" borderId="0" xfId="0" applyFont="1" applyBorder="1" applyAlignment="1">
      <alignment horizontal="center" vertical="justify"/>
    </xf>
    <xf numFmtId="0" fontId="37" fillId="0" borderId="7" xfId="0" applyFont="1" applyBorder="1" applyAlignment="1">
      <alignment horizontal="center" vertical="justify"/>
    </xf>
    <xf numFmtId="0" fontId="37" fillId="0" borderId="8" xfId="0" applyFont="1" applyBorder="1" applyAlignment="1">
      <alignment horizontal="center" vertical="justify"/>
    </xf>
    <xf numFmtId="0" fontId="37" fillId="0" borderId="9" xfId="0" applyFont="1" applyBorder="1" applyAlignment="1">
      <alignment horizontal="center" vertical="justify"/>
    </xf>
    <xf numFmtId="0" fontId="37" fillId="0" borderId="10" xfId="0" applyFont="1" applyBorder="1" applyAlignment="1">
      <alignment horizontal="center" vertical="justify"/>
    </xf>
    <xf numFmtId="0" fontId="24" fillId="0" borderId="0" xfId="0" applyFont="1" applyFill="1" applyBorder="1" applyAlignment="1">
      <alignment horizontal="left" wrapText="1"/>
    </xf>
    <xf numFmtId="0" fontId="72"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0" xfId="0" applyFont="1" applyBorder="1" applyAlignment="1">
      <alignment horizontal="left" wrapText="1"/>
    </xf>
    <xf numFmtId="0" fontId="18" fillId="0" borderId="0" xfId="0" applyFont="1" applyFill="1" applyBorder="1" applyAlignment="1">
      <alignment horizontal="left" vertical="center"/>
    </xf>
    <xf numFmtId="0" fontId="18" fillId="0" borderId="0" xfId="0" applyFont="1" applyFill="1" applyBorder="1" applyAlignment="1">
      <alignment horizontal="left" wrapText="1"/>
    </xf>
    <xf numFmtId="0" fontId="18" fillId="2" borderId="0" xfId="0" applyFont="1" applyFill="1" applyBorder="1" applyAlignment="1">
      <alignment horizontal="left" vertical="center"/>
    </xf>
    <xf numFmtId="0" fontId="18" fillId="0" borderId="0" xfId="0" applyFont="1" applyBorder="1" applyAlignment="1">
      <alignment horizontal="left" wrapText="1"/>
    </xf>
    <xf numFmtId="0" fontId="15" fillId="0" borderId="0" xfId="0" applyFont="1" applyFill="1" applyBorder="1" applyAlignment="1">
      <alignment horizontal="left"/>
    </xf>
    <xf numFmtId="0" fontId="15" fillId="0" borderId="0" xfId="0" applyFont="1" applyBorder="1" applyAlignment="1">
      <alignment horizontal="left"/>
    </xf>
    <xf numFmtId="2" fontId="15" fillId="0" borderId="0" xfId="0" applyNumberFormat="1" applyFont="1" applyFill="1" applyBorder="1" applyAlignment="1">
      <alignment wrapText="1"/>
    </xf>
    <xf numFmtId="0" fontId="59" fillId="0" borderId="0" xfId="0" applyFont="1" applyBorder="1" applyAlignment="1">
      <alignment horizontal="left"/>
    </xf>
    <xf numFmtId="0" fontId="18" fillId="0" borderId="0" xfId="0" applyFont="1" applyBorder="1" applyAlignment="1">
      <alignment horizontal="left"/>
    </xf>
    <xf numFmtId="0" fontId="18" fillId="11" borderId="0" xfId="0" applyFont="1" applyFill="1" applyBorder="1" applyAlignment="1">
      <alignment horizontal="left"/>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6" fillId="0" borderId="6" xfId="0" applyFont="1" applyBorder="1" applyAlignment="1">
      <alignment horizontal="left" vertical="top" wrapText="1" indent="5"/>
    </xf>
    <xf numFmtId="0" fontId="6" fillId="0" borderId="7" xfId="0" applyFont="1" applyBorder="1" applyAlignment="1">
      <alignment horizontal="left" vertical="top" wrapText="1" indent="5"/>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2" fillId="0" borderId="8" xfId="0" applyFont="1" applyBorder="1" applyAlignment="1">
      <alignment horizontal="justify" vertical="top" wrapText="1"/>
    </xf>
    <xf numFmtId="0" fontId="12" fillId="0" borderId="10" xfId="0" applyFont="1" applyBorder="1" applyAlignment="1">
      <alignment horizontal="justify" vertical="top" wrapText="1"/>
    </xf>
    <xf numFmtId="43" fontId="9" fillId="0" borderId="6" xfId="12" applyFont="1" applyBorder="1" applyAlignment="1">
      <alignment horizontal="justify" vertical="top" wrapText="1"/>
    </xf>
    <xf numFmtId="43" fontId="9" fillId="0" borderId="7" xfId="12" applyFont="1" applyBorder="1" applyAlignment="1">
      <alignment horizontal="justify"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49" fontId="18" fillId="0" borderId="8" xfId="0" applyNumberFormat="1" applyFont="1" applyFill="1" applyBorder="1" applyAlignment="1">
      <alignment horizontal="left" vertical="center" wrapText="1"/>
    </xf>
    <xf numFmtId="49" fontId="18" fillId="0" borderId="10" xfId="0" applyNumberFormat="1" applyFont="1" applyFill="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0" fontId="75" fillId="0" borderId="6" xfId="0" applyFont="1" applyBorder="1" applyAlignment="1">
      <alignment horizontal="left" vertical="center" wrapText="1"/>
    </xf>
    <xf numFmtId="0" fontId="75" fillId="0" borderId="7" xfId="0" applyFont="1" applyBorder="1" applyAlignment="1">
      <alignment horizontal="left" vertical="center" wrapText="1"/>
    </xf>
    <xf numFmtId="0" fontId="75" fillId="0" borderId="8" xfId="0" applyFont="1" applyBorder="1" applyAlignment="1">
      <alignment horizontal="left" vertical="center" wrapText="1"/>
    </xf>
    <xf numFmtId="0" fontId="75" fillId="0" borderId="10" xfId="0" applyFont="1" applyBorder="1" applyAlignment="1">
      <alignment horizontal="left" vertical="center" wrapText="1"/>
    </xf>
    <xf numFmtId="49" fontId="18" fillId="4" borderId="11" xfId="0" applyNumberFormat="1" applyFont="1" applyFill="1" applyBorder="1" applyAlignment="1">
      <alignment horizontal="center" vertical="center" wrapText="1"/>
    </xf>
    <xf numFmtId="49" fontId="18" fillId="4" borderId="12" xfId="0" applyNumberFormat="1" applyFont="1" applyFill="1" applyBorder="1" applyAlignment="1">
      <alignment horizontal="center" vertical="center" wrapText="1"/>
    </xf>
    <xf numFmtId="49" fontId="18" fillId="4" borderId="2"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6" fillId="4" borderId="0"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43" xfId="0" applyFont="1" applyFill="1" applyBorder="1" applyAlignment="1">
      <alignment horizontal="center" vertical="center"/>
    </xf>
    <xf numFmtId="0" fontId="25" fillId="0" borderId="0" xfId="0" applyFont="1" applyAlignment="1">
      <alignment horizontal="center"/>
    </xf>
    <xf numFmtId="0" fontId="26" fillId="0" borderId="2" xfId="0" applyFont="1" applyBorder="1" applyAlignment="1">
      <alignment horizontal="center" vertical="center"/>
    </xf>
    <xf numFmtId="0" fontId="26" fillId="0" borderId="36" xfId="0" applyFont="1" applyBorder="1" applyAlignment="1">
      <alignment horizontal="center" vertical="center"/>
    </xf>
    <xf numFmtId="0" fontId="26" fillId="0" borderId="8" xfId="0" applyFont="1" applyBorder="1" applyAlignment="1">
      <alignment horizontal="center" vertical="center"/>
    </xf>
    <xf numFmtId="0" fontId="26" fillId="0" borderId="37" xfId="0" applyFont="1" applyBorder="1" applyAlignment="1">
      <alignment horizontal="center" vertical="center"/>
    </xf>
    <xf numFmtId="0" fontId="26" fillId="2" borderId="38" xfId="0" applyFont="1" applyFill="1" applyBorder="1" applyAlignment="1">
      <alignment horizontal="center" vertical="center"/>
    </xf>
    <xf numFmtId="0" fontId="26" fillId="2" borderId="39" xfId="0" applyFont="1" applyFill="1" applyBorder="1" applyAlignment="1">
      <alignment horizontal="center" vertical="center"/>
    </xf>
    <xf numFmtId="0" fontId="26" fillId="2" borderId="40" xfId="0" applyFont="1" applyFill="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30" xfId="0" applyFont="1" applyBorder="1" applyAlignment="1">
      <alignment horizontal="center" vertical="center"/>
    </xf>
    <xf numFmtId="0" fontId="26" fillId="0" borderId="21" xfId="0" applyFont="1" applyBorder="1" applyAlignment="1">
      <alignment horizontal="center" vertical="center"/>
    </xf>
    <xf numFmtId="0" fontId="26" fillId="2" borderId="2"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7" xfId="0" applyFont="1" applyFill="1" applyBorder="1" applyAlignment="1">
      <alignment horizontal="center" vertical="center"/>
    </xf>
    <xf numFmtId="43" fontId="26" fillId="2" borderId="18" xfId="12" applyFont="1" applyFill="1" applyBorder="1" applyAlignment="1">
      <alignment horizontal="center" vertical="center"/>
    </xf>
    <xf numFmtId="43" fontId="26" fillId="2" borderId="19" xfId="12" applyFont="1" applyFill="1" applyBorder="1" applyAlignment="1">
      <alignment horizontal="center" vertical="center"/>
    </xf>
    <xf numFmtId="43" fontId="26" fillId="2" borderId="30" xfId="12" applyFont="1" applyFill="1" applyBorder="1" applyAlignment="1">
      <alignment horizontal="center" vertical="center"/>
    </xf>
    <xf numFmtId="43" fontId="26" fillId="2" borderId="21" xfId="12" applyFont="1" applyFill="1" applyBorder="1" applyAlignment="1">
      <alignment horizontal="center" vertical="center"/>
    </xf>
    <xf numFmtId="0" fontId="26" fillId="2" borderId="18"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21" xfId="0" applyFont="1" applyFill="1" applyBorder="1" applyAlignment="1">
      <alignment horizontal="center" vertical="center"/>
    </xf>
    <xf numFmtId="0" fontId="52" fillId="0" borderId="0" xfId="0" applyFont="1" applyFill="1" applyAlignment="1">
      <alignment horizontal="left" wrapText="1"/>
    </xf>
    <xf numFmtId="0" fontId="0" fillId="0" borderId="0" xfId="0" applyBorder="1" applyAlignment="1">
      <alignment horizontal="justify"/>
    </xf>
    <xf numFmtId="0" fontId="0" fillId="0" borderId="0" xfId="0" applyBorder="1" applyAlignment="1"/>
    <xf numFmtId="0" fontId="0" fillId="0" borderId="0" xfId="0" applyAlignment="1">
      <alignment horizontal="justify"/>
    </xf>
    <xf numFmtId="0" fontId="0" fillId="0" borderId="0" xfId="0" applyAlignment="1"/>
    <xf numFmtId="4" fontId="80" fillId="0" borderId="0" xfId="0" applyNumberFormat="1" applyFont="1" applyBorder="1" applyAlignment="1">
      <alignment horizontal="left" wrapText="1"/>
    </xf>
    <xf numFmtId="0" fontId="80" fillId="0" borderId="0" xfId="0" applyFont="1" applyBorder="1" applyAlignment="1">
      <alignment horizontal="left" wrapText="1"/>
    </xf>
    <xf numFmtId="0" fontId="0" fillId="0" borderId="0" xfId="0" applyBorder="1" applyAlignment="1">
      <alignment horizontal="justify" wrapText="1"/>
    </xf>
    <xf numFmtId="0" fontId="0" fillId="0" borderId="0" xfId="0" applyBorder="1" applyAlignment="1">
      <alignment wrapText="1"/>
    </xf>
    <xf numFmtId="0" fontId="26" fillId="8" borderId="61" xfId="0" applyFont="1" applyFill="1" applyBorder="1" applyAlignment="1">
      <alignment horizontal="center" vertical="center" wrapText="1"/>
    </xf>
    <xf numFmtId="0" fontId="26" fillId="8" borderId="62" xfId="0" applyFont="1" applyFill="1" applyBorder="1" applyAlignment="1">
      <alignment horizontal="center" vertical="center" wrapText="1"/>
    </xf>
    <xf numFmtId="0" fontId="26" fillId="8" borderId="63" xfId="0" applyFont="1" applyFill="1" applyBorder="1" applyAlignment="1">
      <alignment horizontal="center" vertical="center" wrapText="1"/>
    </xf>
    <xf numFmtId="0" fontId="26" fillId="8" borderId="64" xfId="0" applyFont="1" applyFill="1" applyBorder="1" applyAlignment="1">
      <alignment horizontal="center" vertical="center"/>
    </xf>
    <xf numFmtId="0" fontId="26" fillId="8" borderId="59" xfId="0" applyFont="1" applyFill="1" applyBorder="1" applyAlignment="1">
      <alignment horizontal="center" vertical="center"/>
    </xf>
    <xf numFmtId="0" fontId="26" fillId="8" borderId="0" xfId="0" applyFont="1" applyFill="1" applyBorder="1" applyAlignment="1">
      <alignment horizontal="left" vertical="center" wrapText="1"/>
    </xf>
    <xf numFmtId="0" fontId="26" fillId="8" borderId="64" xfId="0" applyFont="1" applyFill="1" applyBorder="1" applyAlignment="1">
      <alignment horizontal="center" vertical="center" wrapText="1"/>
    </xf>
    <xf numFmtId="0" fontId="26" fillId="8" borderId="58" xfId="0" applyFont="1" applyFill="1" applyBorder="1" applyAlignment="1">
      <alignment horizontal="center" vertical="center" wrapText="1"/>
    </xf>
    <xf numFmtId="0" fontId="26" fillId="8" borderId="59" xfId="0" applyFont="1" applyFill="1" applyBorder="1" applyAlignment="1">
      <alignment horizontal="center" vertical="center" wrapText="1"/>
    </xf>
    <xf numFmtId="0" fontId="44" fillId="8" borderId="61" xfId="0" applyFont="1" applyFill="1" applyBorder="1" applyAlignment="1">
      <alignment horizontal="center" vertical="center"/>
    </xf>
    <xf numFmtId="0" fontId="44" fillId="8" borderId="62" xfId="0" applyFont="1" applyFill="1" applyBorder="1" applyAlignment="1">
      <alignment horizontal="center" vertical="center"/>
    </xf>
    <xf numFmtId="0" fontId="44" fillId="8" borderId="63" xfId="0" applyFont="1" applyFill="1" applyBorder="1" applyAlignment="1">
      <alignment horizontal="center" vertical="center"/>
    </xf>
    <xf numFmtId="0" fontId="44" fillId="8" borderId="72" xfId="0" applyFont="1" applyFill="1" applyBorder="1" applyAlignment="1">
      <alignment horizontal="center" vertical="center"/>
    </xf>
    <xf numFmtId="0" fontId="44" fillId="8" borderId="75" xfId="0" applyFont="1" applyFill="1" applyBorder="1" applyAlignment="1">
      <alignment horizontal="center" vertical="center"/>
    </xf>
    <xf numFmtId="0" fontId="44" fillId="8" borderId="69" xfId="0" applyFont="1" applyFill="1" applyBorder="1" applyAlignment="1">
      <alignment horizontal="center" vertical="center"/>
    </xf>
    <xf numFmtId="0" fontId="44" fillId="8" borderId="47" xfId="0" applyFont="1" applyFill="1" applyBorder="1" applyAlignment="1">
      <alignment horizontal="center" vertical="center"/>
    </xf>
    <xf numFmtId="0" fontId="44" fillId="8" borderId="52" xfId="0" applyFont="1" applyFill="1" applyBorder="1" applyAlignment="1">
      <alignment horizontal="center" vertical="center"/>
    </xf>
    <xf numFmtId="0" fontId="26" fillId="8" borderId="76" xfId="0" applyFont="1" applyFill="1" applyBorder="1" applyAlignment="1">
      <alignment horizontal="center" vertical="center" wrapText="1"/>
    </xf>
    <xf numFmtId="0" fontId="26" fillId="8" borderId="77" xfId="0" applyFont="1" applyFill="1" applyBorder="1" applyAlignment="1">
      <alignment horizontal="center" vertical="center" wrapText="1"/>
    </xf>
    <xf numFmtId="0" fontId="26" fillId="8" borderId="78" xfId="0" applyFont="1" applyFill="1" applyBorder="1" applyAlignment="1">
      <alignment horizontal="center" vertical="center" wrapText="1"/>
    </xf>
    <xf numFmtId="0" fontId="26" fillId="8" borderId="55" xfId="0" applyFont="1" applyFill="1" applyBorder="1" applyAlignment="1">
      <alignment horizontal="left" vertical="center" wrapText="1"/>
    </xf>
    <xf numFmtId="0" fontId="26" fillId="8" borderId="58" xfId="0" applyFont="1" applyFill="1" applyBorder="1" applyAlignment="1">
      <alignment horizontal="left" vertical="center" wrapText="1"/>
    </xf>
    <xf numFmtId="0" fontId="26" fillId="8" borderId="59" xfId="0" applyFont="1" applyFill="1" applyBorder="1" applyAlignment="1">
      <alignment horizontal="left" vertical="center" wrapText="1"/>
    </xf>
    <xf numFmtId="0" fontId="26" fillId="8" borderId="0" xfId="0" applyFont="1" applyFill="1" applyBorder="1" applyAlignment="1">
      <alignment horizontal="left" vertical="center"/>
    </xf>
    <xf numFmtId="0" fontId="26" fillId="8" borderId="0" xfId="0" applyFont="1" applyFill="1" applyBorder="1" applyAlignment="1">
      <alignment horizontal="center" vertical="center"/>
    </xf>
    <xf numFmtId="0" fontId="26" fillId="8" borderId="55" xfId="0" applyFont="1" applyFill="1" applyBorder="1" applyAlignment="1">
      <alignment horizontal="left" vertical="center"/>
    </xf>
    <xf numFmtId="0" fontId="24" fillId="8" borderId="61" xfId="0" applyFont="1" applyFill="1" applyBorder="1" applyAlignment="1">
      <alignment horizontal="center" vertical="center"/>
    </xf>
    <xf numFmtId="0" fontId="24" fillId="8" borderId="62" xfId="0" applyFont="1" applyFill="1" applyBorder="1" applyAlignment="1">
      <alignment horizontal="center" vertical="center"/>
    </xf>
    <xf numFmtId="0" fontId="24" fillId="8" borderId="63" xfId="0" applyFont="1" applyFill="1" applyBorder="1" applyAlignment="1">
      <alignment horizontal="center" vertical="center"/>
    </xf>
    <xf numFmtId="0" fontId="46" fillId="8" borderId="61" xfId="0" applyFont="1" applyFill="1" applyBorder="1" applyAlignment="1">
      <alignment horizontal="center" vertical="center" wrapText="1"/>
    </xf>
    <xf numFmtId="0" fontId="46" fillId="8" borderId="62" xfId="0" applyFont="1" applyFill="1" applyBorder="1" applyAlignment="1">
      <alignment horizontal="center" vertical="center" wrapText="1"/>
    </xf>
    <xf numFmtId="0" fontId="46" fillId="8" borderId="63" xfId="0" applyFont="1" applyFill="1" applyBorder="1" applyAlignment="1">
      <alignment horizontal="center" vertical="center" wrapText="1"/>
    </xf>
    <xf numFmtId="0" fontId="44" fillId="8" borderId="72" xfId="0" applyFont="1" applyFill="1" applyBorder="1" applyAlignment="1">
      <alignment horizontal="center" vertical="center" wrapText="1"/>
    </xf>
    <xf numFmtId="0" fontId="44" fillId="8" borderId="75" xfId="0" applyFont="1" applyFill="1" applyBorder="1" applyAlignment="1">
      <alignment horizontal="center" vertical="center" wrapText="1"/>
    </xf>
    <xf numFmtId="0" fontId="44" fillId="8" borderId="69" xfId="0" applyFont="1" applyFill="1" applyBorder="1" applyAlignment="1">
      <alignment horizontal="center" vertical="center" wrapText="1"/>
    </xf>
    <xf numFmtId="0" fontId="44" fillId="10" borderId="72" xfId="0" applyFont="1" applyFill="1" applyBorder="1" applyAlignment="1">
      <alignment horizontal="center" vertical="center" wrapText="1"/>
    </xf>
    <xf numFmtId="0" fontId="44" fillId="10" borderId="69"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48" xfId="0" applyFont="1" applyFill="1" applyBorder="1" applyAlignment="1">
      <alignment horizontal="center" vertical="center" wrapText="1"/>
    </xf>
    <xf numFmtId="0" fontId="26" fillId="10" borderId="71" xfId="0" applyFont="1" applyFill="1" applyBorder="1" applyAlignment="1">
      <alignment horizontal="center" vertical="center" wrapText="1"/>
    </xf>
    <xf numFmtId="0" fontId="26" fillId="10" borderId="50"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6" fillId="10" borderId="55" xfId="0" applyFont="1" applyFill="1" applyBorder="1" applyAlignment="1">
      <alignment horizontal="center" vertical="center" wrapText="1"/>
    </xf>
    <xf numFmtId="0" fontId="26" fillId="10" borderId="52" xfId="0" applyFont="1" applyFill="1" applyBorder="1" applyAlignment="1">
      <alignment horizontal="center" vertical="center" wrapText="1"/>
    </xf>
    <xf numFmtId="0" fontId="26" fillId="10" borderId="53" xfId="0" applyFont="1" applyFill="1" applyBorder="1" applyAlignment="1">
      <alignment horizontal="center" vertical="center" wrapText="1"/>
    </xf>
    <xf numFmtId="0" fontId="26" fillId="10" borderId="68" xfId="0" applyFont="1" applyFill="1" applyBorder="1" applyAlignment="1">
      <alignment horizontal="center" vertical="center" wrapText="1"/>
    </xf>
    <xf numFmtId="0" fontId="44" fillId="10" borderId="47" xfId="0" applyFont="1" applyFill="1" applyBorder="1" applyAlignment="1">
      <alignment horizontal="center" vertical="center" wrapText="1"/>
    </xf>
    <xf numFmtId="0" fontId="44" fillId="10" borderId="48" xfId="0" applyFont="1" applyFill="1" applyBorder="1" applyAlignment="1">
      <alignment horizontal="center" vertical="center" wrapText="1"/>
    </xf>
    <xf numFmtId="0" fontId="44" fillId="10" borderId="71" xfId="0" applyFont="1" applyFill="1" applyBorder="1" applyAlignment="1">
      <alignment horizontal="center" vertical="center" wrapText="1"/>
    </xf>
    <xf numFmtId="0" fontId="44" fillId="10" borderId="50" xfId="0" applyFont="1" applyFill="1" applyBorder="1" applyAlignment="1">
      <alignment horizontal="center" vertical="center" wrapText="1"/>
    </xf>
    <xf numFmtId="0" fontId="44" fillId="10" borderId="0" xfId="0" applyFont="1" applyFill="1" applyBorder="1" applyAlignment="1">
      <alignment horizontal="center" vertical="center" wrapText="1"/>
    </xf>
    <xf numFmtId="0" fontId="44" fillId="10" borderId="55" xfId="0" applyFont="1" applyFill="1" applyBorder="1" applyAlignment="1">
      <alignment horizontal="center" vertical="center" wrapText="1"/>
    </xf>
    <xf numFmtId="0" fontId="44" fillId="10" borderId="52" xfId="0" applyFont="1" applyFill="1" applyBorder="1" applyAlignment="1">
      <alignment horizontal="center" vertical="center" wrapText="1"/>
    </xf>
    <xf numFmtId="0" fontId="44" fillId="10" borderId="53" xfId="0" applyFont="1" applyFill="1" applyBorder="1" applyAlignment="1">
      <alignment horizontal="center" vertical="center" wrapText="1"/>
    </xf>
    <xf numFmtId="0" fontId="44" fillId="10" borderId="68" xfId="0" applyFont="1" applyFill="1" applyBorder="1" applyAlignment="1">
      <alignment horizontal="center" vertical="center" wrapText="1"/>
    </xf>
    <xf numFmtId="0" fontId="44" fillId="10" borderId="75" xfId="0" applyFont="1" applyFill="1" applyBorder="1" applyAlignment="1">
      <alignment horizontal="center" vertical="center" wrapText="1"/>
    </xf>
    <xf numFmtId="0" fontId="26" fillId="8" borderId="58" xfId="0" applyFont="1" applyFill="1" applyBorder="1" applyAlignment="1">
      <alignment horizontal="center" vertical="center"/>
    </xf>
    <xf numFmtId="0" fontId="24" fillId="8" borderId="52" xfId="0" applyFont="1" applyFill="1" applyBorder="1" applyAlignment="1">
      <alignment horizontal="center" vertical="center"/>
    </xf>
    <xf numFmtId="0" fontId="24" fillId="8" borderId="53"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58" xfId="0" applyFont="1" applyFill="1" applyBorder="1" applyAlignment="1">
      <alignment horizontal="center" vertical="center"/>
    </xf>
    <xf numFmtId="0" fontId="24" fillId="8" borderId="59" xfId="0" applyFont="1" applyFill="1" applyBorder="1" applyAlignment="1">
      <alignment horizontal="center" vertical="center"/>
    </xf>
    <xf numFmtId="0" fontId="26" fillId="8" borderId="0" xfId="0" applyFont="1" applyFill="1" applyBorder="1" applyAlignment="1">
      <alignment horizontal="center" vertical="center" wrapText="1"/>
    </xf>
    <xf numFmtId="0" fontId="26" fillId="8" borderId="65" xfId="0" applyFont="1" applyFill="1" applyBorder="1" applyAlignment="1">
      <alignment horizontal="center" vertical="center"/>
    </xf>
    <xf numFmtId="0" fontId="26" fillId="8" borderId="51" xfId="0" applyFont="1" applyFill="1" applyBorder="1" applyAlignment="1">
      <alignment horizontal="center" vertical="center"/>
    </xf>
    <xf numFmtId="0" fontId="0" fillId="8" borderId="0" xfId="0" applyFill="1" applyBorder="1" applyAlignment="1">
      <alignment horizontal="left" vertical="center"/>
    </xf>
    <xf numFmtId="0" fontId="26" fillId="10" borderId="68" xfId="0" applyFont="1" applyFill="1" applyBorder="1" applyAlignment="1">
      <alignment horizontal="left" vertical="center" wrapText="1"/>
    </xf>
    <xf numFmtId="0" fontId="26" fillId="10" borderId="69" xfId="0" applyFont="1" applyFill="1" applyBorder="1" applyAlignment="1">
      <alignment horizontal="left" vertical="center" wrapText="1"/>
    </xf>
    <xf numFmtId="0" fontId="26" fillId="10" borderId="63" xfId="0" applyFont="1" applyFill="1" applyBorder="1" applyAlignment="1">
      <alignment horizontal="left" vertical="center" wrapText="1"/>
    </xf>
    <xf numFmtId="0" fontId="26" fillId="10" borderId="70" xfId="0" applyFont="1" applyFill="1" applyBorder="1" applyAlignment="1">
      <alignment horizontal="left" vertical="center" wrapText="1"/>
    </xf>
    <xf numFmtId="0" fontId="26" fillId="10" borderId="71" xfId="0" applyFont="1" applyFill="1" applyBorder="1" applyAlignment="1">
      <alignment horizontal="left" vertical="center" wrapText="1"/>
    </xf>
    <xf numFmtId="0" fontId="26" fillId="10" borderId="72" xfId="0" applyFont="1" applyFill="1" applyBorder="1" applyAlignment="1">
      <alignment horizontal="left" vertical="center" wrapText="1"/>
    </xf>
    <xf numFmtId="0" fontId="26" fillId="10" borderId="70" xfId="0" applyFont="1" applyFill="1" applyBorder="1" applyAlignment="1">
      <alignment horizontal="center" vertical="center" wrapText="1"/>
    </xf>
    <xf numFmtId="0" fontId="26" fillId="8" borderId="66" xfId="0" applyFont="1" applyFill="1" applyBorder="1" applyAlignment="1">
      <alignment horizontal="center" vertical="center"/>
    </xf>
    <xf numFmtId="0" fontId="0" fillId="8" borderId="60" xfId="0" applyFill="1" applyBorder="1" applyAlignment="1">
      <alignment horizontal="center" vertical="center"/>
    </xf>
    <xf numFmtId="0" fontId="0" fillId="8" borderId="67" xfId="0" applyFill="1" applyBorder="1" applyAlignment="1">
      <alignment horizontal="center" vertical="center"/>
    </xf>
    <xf numFmtId="0" fontId="26" fillId="8" borderId="70" xfId="0" applyFont="1" applyFill="1" applyBorder="1" applyAlignment="1">
      <alignment horizontal="center" vertical="center"/>
    </xf>
    <xf numFmtId="0" fontId="26" fillId="8" borderId="61" xfId="0" applyFont="1" applyFill="1" applyBorder="1" applyAlignment="1">
      <alignment horizontal="center" vertical="center"/>
    </xf>
    <xf numFmtId="0" fontId="26" fillId="8" borderId="62" xfId="0" applyFont="1" applyFill="1" applyBorder="1" applyAlignment="1">
      <alignment horizontal="center" vertical="center"/>
    </xf>
    <xf numFmtId="0" fontId="26" fillId="8" borderId="63" xfId="0" applyFont="1" applyFill="1" applyBorder="1" applyAlignment="1">
      <alignment horizontal="center" vertical="center"/>
    </xf>
    <xf numFmtId="0" fontId="26" fillId="8" borderId="0" xfId="0" applyFont="1" applyFill="1" applyAlignment="1">
      <alignment horizontal="left" vertical="center"/>
    </xf>
    <xf numFmtId="0" fontId="26" fillId="8" borderId="79" xfId="0" applyFont="1" applyFill="1" applyBorder="1" applyAlignment="1">
      <alignment horizontal="center" vertical="center" wrapText="1"/>
    </xf>
    <xf numFmtId="0" fontId="24" fillId="8" borderId="0" xfId="0" applyFont="1" applyFill="1" applyAlignment="1">
      <alignment horizontal="left" vertical="center"/>
    </xf>
    <xf numFmtId="0" fontId="24" fillId="8" borderId="0" xfId="0" applyFont="1" applyFill="1" applyAlignment="1">
      <alignment horizontal="center" vertical="center"/>
    </xf>
    <xf numFmtId="0" fontId="49" fillId="8" borderId="0" xfId="0" applyFont="1" applyFill="1" applyAlignment="1">
      <alignment horizontal="center" vertical="center"/>
    </xf>
    <xf numFmtId="0" fontId="24" fillId="8" borderId="64" xfId="0" applyFont="1" applyFill="1" applyBorder="1" applyAlignment="1">
      <alignment horizontal="center" vertical="center"/>
    </xf>
    <xf numFmtId="0" fontId="50" fillId="8" borderId="0" xfId="0" applyFont="1" applyFill="1" applyAlignment="1">
      <alignment horizontal="left" vertical="center"/>
    </xf>
    <xf numFmtId="0" fontId="24" fillId="8" borderId="66" xfId="0" applyFont="1" applyFill="1" applyBorder="1" applyAlignment="1">
      <alignment horizontal="left" vertical="top"/>
    </xf>
    <xf numFmtId="0" fontId="24" fillId="8" borderId="60" xfId="0" applyFont="1" applyFill="1" applyBorder="1" applyAlignment="1">
      <alignment horizontal="left" vertical="top"/>
    </xf>
    <xf numFmtId="0" fontId="24" fillId="8" borderId="67" xfId="0" applyFont="1" applyFill="1" applyBorder="1" applyAlignment="1">
      <alignment horizontal="left" vertical="top"/>
    </xf>
    <xf numFmtId="0" fontId="24" fillId="8" borderId="65" xfId="0" applyFont="1" applyFill="1" applyBorder="1" applyAlignment="1">
      <alignment horizontal="left" vertical="top"/>
    </xf>
    <xf numFmtId="0" fontId="24" fillId="8" borderId="0" xfId="0" applyFont="1" applyFill="1" applyBorder="1" applyAlignment="1">
      <alignment horizontal="left" vertical="top"/>
    </xf>
    <xf numFmtId="0" fontId="24" fillId="8" borderId="51" xfId="0" applyFont="1" applyFill="1" applyBorder="1" applyAlignment="1">
      <alignment horizontal="left" vertical="top"/>
    </xf>
    <xf numFmtId="0" fontId="24" fillId="8" borderId="80" xfId="0" applyFont="1" applyFill="1" applyBorder="1" applyAlignment="1">
      <alignment horizontal="left" vertical="top"/>
    </xf>
    <xf numFmtId="0" fontId="24" fillId="8" borderId="81" xfId="0" applyFont="1" applyFill="1" applyBorder="1" applyAlignment="1">
      <alignment horizontal="left" vertical="top"/>
    </xf>
    <xf numFmtId="0" fontId="24" fillId="8" borderId="82" xfId="0" applyFont="1" applyFill="1" applyBorder="1" applyAlignment="1">
      <alignment horizontal="left" vertical="top"/>
    </xf>
    <xf numFmtId="0" fontId="24" fillId="8" borderId="66" xfId="0" applyFont="1" applyFill="1" applyBorder="1" applyAlignment="1">
      <alignment horizontal="center" vertical="center"/>
    </xf>
    <xf numFmtId="0" fontId="24" fillId="8" borderId="60" xfId="0" applyFont="1" applyFill="1" applyBorder="1" applyAlignment="1">
      <alignment horizontal="center" vertical="center"/>
    </xf>
    <xf numFmtId="0" fontId="24" fillId="8" borderId="67" xfId="0" applyFont="1" applyFill="1" applyBorder="1" applyAlignment="1">
      <alignment horizontal="center" vertical="center"/>
    </xf>
    <xf numFmtId="0" fontId="24" fillId="8" borderId="65"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51" xfId="0" applyFont="1" applyFill="1" applyBorder="1" applyAlignment="1">
      <alignment horizontal="center" vertical="center"/>
    </xf>
    <xf numFmtId="0" fontId="24" fillId="8" borderId="80" xfId="0" applyFont="1" applyFill="1" applyBorder="1" applyAlignment="1">
      <alignment horizontal="center" vertical="center"/>
    </xf>
    <xf numFmtId="0" fontId="24" fillId="8" borderId="81" xfId="0" applyFont="1" applyFill="1" applyBorder="1" applyAlignment="1">
      <alignment horizontal="center" vertical="center"/>
    </xf>
    <xf numFmtId="0" fontId="24" fillId="8" borderId="82" xfId="0" applyFont="1" applyFill="1" applyBorder="1" applyAlignment="1">
      <alignment horizontal="center" vertical="center"/>
    </xf>
    <xf numFmtId="0" fontId="24" fillId="7" borderId="99" xfId="0" applyFont="1" applyFill="1" applyBorder="1" applyAlignment="1">
      <alignment horizontal="center" vertical="center"/>
    </xf>
    <xf numFmtId="0" fontId="24" fillId="7" borderId="0" xfId="0" applyFont="1" applyFill="1" applyBorder="1" applyAlignment="1">
      <alignment horizontal="center" vertical="center"/>
    </xf>
    <xf numFmtId="0" fontId="26" fillId="7" borderId="99" xfId="0" applyFont="1" applyFill="1" applyBorder="1" applyAlignment="1">
      <alignment horizontal="center" vertical="center"/>
    </xf>
    <xf numFmtId="0" fontId="26" fillId="7" borderId="0" xfId="0" applyFont="1" applyFill="1" applyBorder="1" applyAlignment="1">
      <alignment horizontal="center" vertical="center"/>
    </xf>
    <xf numFmtId="0" fontId="2" fillId="0" borderId="0" xfId="0" applyFont="1" applyAlignment="1">
      <alignment horizontal="left" wrapText="1"/>
    </xf>
    <xf numFmtId="0" fontId="6" fillId="0" borderId="0" xfId="0" applyFont="1" applyAlignment="1">
      <alignment horizontal="center" vertical="center" wrapText="1"/>
    </xf>
    <xf numFmtId="0" fontId="26" fillId="2" borderId="95" xfId="0" applyFont="1" applyFill="1" applyBorder="1" applyAlignment="1">
      <alignment horizontal="center" vertical="center"/>
    </xf>
    <xf numFmtId="0" fontId="6" fillId="0" borderId="0" xfId="0" applyFont="1" applyAlignment="1">
      <alignment horizontal="center"/>
    </xf>
    <xf numFmtId="0" fontId="34" fillId="0" borderId="2" xfId="0" applyFont="1" applyBorder="1" applyAlignment="1">
      <alignment horizontal="center" vertical="center"/>
    </xf>
    <xf numFmtId="0" fontId="34" fillId="0" borderId="36" xfId="0" applyFont="1" applyBorder="1" applyAlignment="1">
      <alignment horizontal="center" vertical="center"/>
    </xf>
    <xf numFmtId="0" fontId="34" fillId="0" borderId="8" xfId="0" applyFont="1" applyBorder="1" applyAlignment="1">
      <alignment horizontal="center" vertical="center"/>
    </xf>
    <xf numFmtId="0" fontId="34" fillId="0" borderId="3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4" xfId="0" applyFont="1" applyBorder="1" applyAlignment="1">
      <alignment horizontal="center" vertical="center"/>
    </xf>
    <xf numFmtId="0" fontId="34" fillId="0" borderId="10" xfId="0" applyFont="1" applyBorder="1" applyAlignment="1">
      <alignment horizontal="center" vertical="center"/>
    </xf>
    <xf numFmtId="0" fontId="26" fillId="2" borderId="97" xfId="0" applyFont="1" applyFill="1" applyBorder="1" applyAlignment="1">
      <alignment horizontal="center" vertical="center"/>
    </xf>
    <xf numFmtId="0" fontId="26" fillId="2" borderId="93" xfId="0" applyFont="1" applyFill="1" applyBorder="1" applyAlignment="1">
      <alignment horizontal="center" vertical="center"/>
    </xf>
    <xf numFmtId="0" fontId="30" fillId="0" borderId="23" xfId="0" applyFont="1" applyFill="1" applyBorder="1" applyAlignment="1">
      <alignment horizontal="left"/>
    </xf>
    <xf numFmtId="0" fontId="29" fillId="0" borderId="0" xfId="0" applyFont="1" applyAlignment="1">
      <alignment horizontal="center"/>
    </xf>
    <xf numFmtId="0" fontId="1" fillId="0" borderId="0" xfId="0" applyFont="1" applyAlignment="1">
      <alignment horizontal="center"/>
    </xf>
  </cellXfs>
  <cellStyles count="15">
    <cellStyle name="20% - Accent6" xfId="10"/>
    <cellStyle name="Euro" xfId="2"/>
    <cellStyle name="Euro 2" xfId="3"/>
    <cellStyle name="Euro 3" xfId="4"/>
    <cellStyle name="Millares" xfId="12" builtinId="3"/>
    <cellStyle name="Millares 2" xfId="13"/>
    <cellStyle name="Millares 3" xfId="9"/>
    <cellStyle name="Millares 4" xfId="14"/>
    <cellStyle name="Moneda" xfId="8" builtinId="4"/>
    <cellStyle name="Normal" xfId="0" builtinId="0"/>
    <cellStyle name="Normal 2" xfId="1"/>
    <cellStyle name="Normal 3" xfId="7"/>
    <cellStyle name="Normal 4 8" xfId="11"/>
    <cellStyle name="Porcentaje"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68</xdr:row>
      <xdr:rowOff>85725</xdr:rowOff>
    </xdr:from>
    <xdr:to>
      <xdr:col>4</xdr:col>
      <xdr:colOff>1219200</xdr:colOff>
      <xdr:row>79</xdr:row>
      <xdr:rowOff>114300</xdr:rowOff>
    </xdr:to>
    <xdr:sp macro="" textlink="">
      <xdr:nvSpPr>
        <xdr:cNvPr id="2" name="Text Box 1"/>
        <xdr:cNvSpPr txBox="1">
          <a:spLocks noChangeArrowheads="1"/>
        </xdr:cNvSpPr>
      </xdr:nvSpPr>
      <xdr:spPr bwMode="auto">
        <a:xfrm>
          <a:off x="342900" y="11210925"/>
          <a:ext cx="5486400" cy="1600200"/>
        </a:xfrm>
        <a:prstGeom prst="rect">
          <a:avLst/>
        </a:prstGeom>
        <a:noFill/>
        <a:ln w="9525">
          <a:noFill/>
          <a:miter lim="800000"/>
          <a:headEnd/>
          <a:tailEnd/>
        </a:ln>
      </xdr:spPr>
      <xdr:txBody>
        <a:bodyPr vertOverflow="clip" wrap="square" lIns="27432" tIns="18288" rIns="27432" bIns="0" anchor="t" upright="1"/>
        <a:lstStyle/>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xdr:cNvSpPr txBox="1"/>
      </xdr:nvSpPr>
      <xdr:spPr>
        <a:xfrm>
          <a:off x="3524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6" name="5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9" name="8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12" name="1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15709</xdr:colOff>
      <xdr:row>0</xdr:row>
      <xdr:rowOff>28575</xdr:rowOff>
    </xdr:from>
    <xdr:ext cx="898003" cy="254557"/>
    <xdr:sp macro="" textlink="">
      <xdr:nvSpPr>
        <xdr:cNvPr id="13" name="12 CuadroTexto"/>
        <xdr:cNvSpPr txBox="1"/>
      </xdr:nvSpPr>
      <xdr:spPr>
        <a:xfrm>
          <a:off x="8550109" y="28575"/>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xdr:row>
      <xdr:rowOff>142875</xdr:rowOff>
    </xdr:from>
    <xdr:ext cx="184731" cy="264560"/>
    <xdr:sp macro="" textlink="">
      <xdr:nvSpPr>
        <xdr:cNvPr id="10" name="9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0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5" name="14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16" name="15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732864</xdr:colOff>
      <xdr:row>3</xdr:row>
      <xdr:rowOff>76200</xdr:rowOff>
    </xdr:from>
    <xdr:ext cx="2277547" cy="254557"/>
    <xdr:sp macro="" textlink="">
      <xdr:nvSpPr>
        <xdr:cNvPr id="17" name="16 CuadroTexto"/>
        <xdr:cNvSpPr txBox="1"/>
      </xdr:nvSpPr>
      <xdr:spPr>
        <a:xfrm>
          <a:off x="9934014" y="66675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990600</xdr:colOff>
      <xdr:row>0</xdr:row>
      <xdr:rowOff>28575</xdr:rowOff>
    </xdr:from>
    <xdr:ext cx="1141062" cy="292657"/>
    <xdr:sp macro="" textlink="">
      <xdr:nvSpPr>
        <xdr:cNvPr id="4" name="3 CuadroTexto"/>
        <xdr:cNvSpPr txBox="1"/>
      </xdr:nvSpPr>
      <xdr:spPr>
        <a:xfrm>
          <a:off x="6591300" y="28575"/>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ETCA-II-08-A</a:t>
          </a:r>
        </a:p>
      </xdr:txBody>
    </xdr:sp>
    <xdr:clientData/>
  </xdr:oneCellAnchor>
  <xdr:oneCellAnchor>
    <xdr:from>
      <xdr:col>2</xdr:col>
      <xdr:colOff>1923489</xdr:colOff>
      <xdr:row>3</xdr:row>
      <xdr:rowOff>95250</xdr:rowOff>
    </xdr:from>
    <xdr:ext cx="2277547" cy="254557"/>
    <xdr:sp macro="" textlink="">
      <xdr:nvSpPr>
        <xdr:cNvPr id="5" name="4 CuadroTexto"/>
        <xdr:cNvSpPr txBox="1"/>
      </xdr:nvSpPr>
      <xdr:spPr>
        <a:xfrm>
          <a:off x="5466789" y="68580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625309</xdr:colOff>
      <xdr:row>0</xdr:row>
      <xdr:rowOff>85725</xdr:rowOff>
    </xdr:from>
    <xdr:ext cx="898003" cy="254557"/>
    <xdr:sp macro="" textlink="">
      <xdr:nvSpPr>
        <xdr:cNvPr id="4" name="3 CuadroTexto"/>
        <xdr:cNvSpPr txBox="1"/>
      </xdr:nvSpPr>
      <xdr:spPr>
        <a:xfrm>
          <a:off x="10836109" y="85725"/>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a:t>
          </a:r>
        </a:p>
      </xdr:txBody>
    </xdr:sp>
    <xdr:clientData/>
  </xdr:oneCellAnchor>
  <xdr:oneCellAnchor>
    <xdr:from>
      <xdr:col>2</xdr:col>
      <xdr:colOff>0</xdr:colOff>
      <xdr:row>4</xdr:row>
      <xdr:rowOff>142875</xdr:rowOff>
    </xdr:from>
    <xdr:ext cx="184731" cy="264560"/>
    <xdr:sp macro="" textlink="">
      <xdr:nvSpPr>
        <xdr:cNvPr id="7" name="6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228039</xdr:colOff>
      <xdr:row>4</xdr:row>
      <xdr:rowOff>38100</xdr:rowOff>
    </xdr:from>
    <xdr:ext cx="2277547" cy="254557"/>
    <xdr:sp macro="" textlink="">
      <xdr:nvSpPr>
        <xdr:cNvPr id="9" name="8 CuadroTexto"/>
        <xdr:cNvSpPr txBox="1"/>
      </xdr:nvSpPr>
      <xdr:spPr>
        <a:xfrm>
          <a:off x="10038789" y="828675"/>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552790</xdr:colOff>
      <xdr:row>0</xdr:row>
      <xdr:rowOff>51026</xdr:rowOff>
    </xdr:from>
    <xdr:ext cx="1226791" cy="255134"/>
    <xdr:sp macro="" textlink="">
      <xdr:nvSpPr>
        <xdr:cNvPr id="4" name="3 CuadroTexto"/>
        <xdr:cNvSpPr txBox="1"/>
      </xdr:nvSpPr>
      <xdr:spPr>
        <a:xfrm>
          <a:off x="8368393" y="51026"/>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a:t>
          </a:r>
        </a:p>
      </xdr:txBody>
    </xdr:sp>
    <xdr:clientData/>
  </xdr:oneCellAnchor>
  <xdr:oneCellAnchor>
    <xdr:from>
      <xdr:col>8</xdr:col>
      <xdr:colOff>228039</xdr:colOff>
      <xdr:row>4</xdr:row>
      <xdr:rowOff>38100</xdr:rowOff>
    </xdr:from>
    <xdr:ext cx="2277547" cy="254557"/>
    <xdr:sp macro="" textlink="">
      <xdr:nvSpPr>
        <xdr:cNvPr id="7" name="6 CuadroTexto"/>
        <xdr:cNvSpPr txBox="1"/>
      </xdr:nvSpPr>
      <xdr:spPr>
        <a:xfrm>
          <a:off x="9540427" y="83752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6" name="5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0</xdr:row>
      <xdr:rowOff>76200</xdr:rowOff>
    </xdr:from>
    <xdr:ext cx="1285187" cy="254557"/>
    <xdr:sp macro="" textlink="">
      <xdr:nvSpPr>
        <xdr:cNvPr id="7" name="6 CuadroTexto"/>
        <xdr:cNvSpPr txBox="1"/>
      </xdr:nvSpPr>
      <xdr:spPr>
        <a:xfrm>
          <a:off x="8820150" y="7620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ETCA-II-09-B</a:t>
          </a:r>
        </a:p>
        <a:p>
          <a:pPr algn="r"/>
          <a:endParaRPr lang="es-MX" sz="1100" b="1">
            <a:latin typeface="Arial" pitchFamily="34" charset="0"/>
            <a:cs typeface="Arial" pitchFamily="34" charset="0"/>
          </a:endParaRPr>
        </a:p>
      </xdr:txBody>
    </xdr:sp>
    <xdr:clientData/>
  </xdr:oneCellAnchor>
  <xdr:oneCellAnchor>
    <xdr:from>
      <xdr:col>2</xdr:col>
      <xdr:colOff>0</xdr:colOff>
      <xdr:row>4</xdr:row>
      <xdr:rowOff>142875</xdr:rowOff>
    </xdr:from>
    <xdr:ext cx="184731" cy="264560"/>
    <xdr:sp macro="" textlink="">
      <xdr:nvSpPr>
        <xdr:cNvPr id="9" name="8 CuadroTexto"/>
        <xdr:cNvSpPr txBox="1"/>
      </xdr:nvSpPr>
      <xdr:spPr>
        <a:xfrm>
          <a:off x="341947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29</xdr:row>
      <xdr:rowOff>142875</xdr:rowOff>
    </xdr:from>
    <xdr:ext cx="184731" cy="264560"/>
    <xdr:sp macro="" textlink="">
      <xdr:nvSpPr>
        <xdr:cNvPr id="8" name="7 CuadroTexto"/>
        <xdr:cNvSpPr txBox="1"/>
      </xdr:nvSpPr>
      <xdr:spPr>
        <a:xfrm>
          <a:off x="2847975"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23</xdr:row>
      <xdr:rowOff>76200</xdr:rowOff>
    </xdr:from>
    <xdr:ext cx="1285187" cy="809625"/>
    <xdr:sp macro="" textlink="">
      <xdr:nvSpPr>
        <xdr:cNvPr id="11" name="10 CuadroTexto"/>
        <xdr:cNvSpPr txBox="1"/>
      </xdr:nvSpPr>
      <xdr:spPr>
        <a:xfrm>
          <a:off x="9067800" y="7829550"/>
          <a:ext cx="1285187"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ETCA-II-09-B   ANEXO 1</a:t>
          </a:r>
        </a:p>
        <a:p>
          <a:pPr algn="r"/>
          <a:r>
            <a:rPr lang="es-MX" sz="1100" b="1">
              <a:latin typeface="Arial" pitchFamily="34" charset="0"/>
              <a:cs typeface="Arial" pitchFamily="34" charset="0"/>
            </a:rPr>
            <a:t>Devengado</a:t>
          </a:r>
        </a:p>
      </xdr:txBody>
    </xdr:sp>
    <xdr:clientData/>
  </xdr:oneCellAnchor>
  <xdr:oneCellAnchor>
    <xdr:from>
      <xdr:col>7</xdr:col>
      <xdr:colOff>246572</xdr:colOff>
      <xdr:row>29</xdr:row>
      <xdr:rowOff>57150</xdr:rowOff>
    </xdr:from>
    <xdr:ext cx="2363789" cy="254557"/>
    <xdr:sp macro="" textlink="">
      <xdr:nvSpPr>
        <xdr:cNvPr id="12" name="11 CuadroTexto"/>
        <xdr:cNvSpPr txBox="1"/>
      </xdr:nvSpPr>
      <xdr:spPr>
        <a:xfrm>
          <a:off x="8114222" y="90011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2</xdr:col>
      <xdr:colOff>0</xdr:colOff>
      <xdr:row>57</xdr:row>
      <xdr:rowOff>142875</xdr:rowOff>
    </xdr:from>
    <xdr:ext cx="184731" cy="264560"/>
    <xdr:sp macro="" textlink="">
      <xdr:nvSpPr>
        <xdr:cNvPr id="13" name="12 CuadroTexto"/>
        <xdr:cNvSpPr txBox="1"/>
      </xdr:nvSpPr>
      <xdr:spPr>
        <a:xfrm>
          <a:off x="284797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304800</xdr:colOff>
      <xdr:row>51</xdr:row>
      <xdr:rowOff>123825</xdr:rowOff>
    </xdr:from>
    <xdr:ext cx="1266137" cy="762000"/>
    <xdr:sp macro="" textlink="">
      <xdr:nvSpPr>
        <xdr:cNvPr id="14" name="13 CuadroTexto"/>
        <xdr:cNvSpPr txBox="1"/>
      </xdr:nvSpPr>
      <xdr:spPr>
        <a:xfrm>
          <a:off x="9086850" y="15611475"/>
          <a:ext cx="1266137" cy="76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ETCA-II-09-B   ANEXO 1</a:t>
          </a:r>
        </a:p>
        <a:p>
          <a:pPr algn="r"/>
          <a:r>
            <a:rPr lang="es-MX" sz="1100" b="1">
              <a:latin typeface="Arial" pitchFamily="34" charset="0"/>
              <a:cs typeface="Arial" pitchFamily="34" charset="0"/>
            </a:rPr>
            <a:t>Pagado</a:t>
          </a:r>
        </a:p>
      </xdr:txBody>
    </xdr:sp>
    <xdr:clientData/>
  </xdr:oneCellAnchor>
  <xdr:oneCellAnchor>
    <xdr:from>
      <xdr:col>7</xdr:col>
      <xdr:colOff>246572</xdr:colOff>
      <xdr:row>57</xdr:row>
      <xdr:rowOff>57150</xdr:rowOff>
    </xdr:from>
    <xdr:ext cx="2363789" cy="254557"/>
    <xdr:sp macro="" textlink="">
      <xdr:nvSpPr>
        <xdr:cNvPr id="15" name="14 CuadroTexto"/>
        <xdr:cNvSpPr txBox="1"/>
      </xdr:nvSpPr>
      <xdr:spPr>
        <a:xfrm>
          <a:off x="8114222" y="167354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2</xdr:col>
      <xdr:colOff>0</xdr:colOff>
      <xdr:row>4</xdr:row>
      <xdr:rowOff>142875</xdr:rowOff>
    </xdr:from>
    <xdr:ext cx="184731" cy="264560"/>
    <xdr:sp macro="" textlink="">
      <xdr:nvSpPr>
        <xdr:cNvPr id="16" name="15 CuadroTexto"/>
        <xdr:cNvSpPr txBox="1"/>
      </xdr:nvSpPr>
      <xdr:spPr>
        <a:xfrm>
          <a:off x="341947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238641</xdr:colOff>
      <xdr:row>4</xdr:row>
      <xdr:rowOff>38100</xdr:rowOff>
    </xdr:from>
    <xdr:ext cx="2238370" cy="254557"/>
    <xdr:sp macro="" textlink="">
      <xdr:nvSpPr>
        <xdr:cNvPr id="17" name="16 CuadroTexto"/>
        <xdr:cNvSpPr txBox="1"/>
      </xdr:nvSpPr>
      <xdr:spPr>
        <a:xfrm>
          <a:off x="7858641" y="828675"/>
          <a:ext cx="223837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CUARTODE 2015</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25</xdr:row>
      <xdr:rowOff>142875</xdr:rowOff>
    </xdr:from>
    <xdr:ext cx="184731" cy="264560"/>
    <xdr:sp macro="" textlink="">
      <xdr:nvSpPr>
        <xdr:cNvPr id="5" name="4 CuadroTexto"/>
        <xdr:cNvSpPr txBox="1"/>
      </xdr:nvSpPr>
      <xdr:spPr>
        <a:xfrm>
          <a:off x="33242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485775</xdr:colOff>
      <xdr:row>21</xdr:row>
      <xdr:rowOff>0</xdr:rowOff>
    </xdr:from>
    <xdr:ext cx="1285187" cy="254557"/>
    <xdr:sp macro="" textlink="">
      <xdr:nvSpPr>
        <xdr:cNvPr id="6" name="5 CuadroTexto"/>
        <xdr:cNvSpPr txBox="1"/>
      </xdr:nvSpPr>
      <xdr:spPr>
        <a:xfrm>
          <a:off x="7467600" y="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49</xdr:row>
      <xdr:rowOff>142875</xdr:rowOff>
    </xdr:from>
    <xdr:ext cx="184731" cy="264560"/>
    <xdr:sp macro="" textlink="">
      <xdr:nvSpPr>
        <xdr:cNvPr id="8" name="7 CuadroTexto"/>
        <xdr:cNvSpPr txBox="1"/>
      </xdr:nvSpPr>
      <xdr:spPr>
        <a:xfrm>
          <a:off x="332422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685800</xdr:colOff>
      <xdr:row>44</xdr:row>
      <xdr:rowOff>171450</xdr:rowOff>
    </xdr:from>
    <xdr:ext cx="1285187" cy="254557"/>
    <xdr:sp macro="" textlink="">
      <xdr:nvSpPr>
        <xdr:cNvPr id="10" name="9 CuadroTexto"/>
        <xdr:cNvSpPr txBox="1"/>
      </xdr:nvSpPr>
      <xdr:spPr>
        <a:xfrm>
          <a:off x="10582275" y="1339215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96</xdr:row>
      <xdr:rowOff>142875</xdr:rowOff>
    </xdr:from>
    <xdr:ext cx="184731" cy="264560"/>
    <xdr:sp macro="" textlink="">
      <xdr:nvSpPr>
        <xdr:cNvPr id="11" name="10 CuadroTexto"/>
        <xdr:cNvSpPr txBox="1"/>
      </xdr:nvSpPr>
      <xdr:spPr>
        <a:xfrm>
          <a:off x="3562350" y="164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762000</xdr:colOff>
      <xdr:row>92</xdr:row>
      <xdr:rowOff>142875</xdr:rowOff>
    </xdr:from>
    <xdr:ext cx="1285187" cy="254557"/>
    <xdr:sp macro="" textlink="">
      <xdr:nvSpPr>
        <xdr:cNvPr id="13" name="12 CuadroTexto"/>
        <xdr:cNvSpPr txBox="1"/>
      </xdr:nvSpPr>
      <xdr:spPr>
        <a:xfrm>
          <a:off x="10658475" y="2105025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4</xdr:row>
      <xdr:rowOff>142875</xdr:rowOff>
    </xdr:from>
    <xdr:ext cx="184731" cy="264560"/>
    <xdr:sp macro="" textlink="">
      <xdr:nvSpPr>
        <xdr:cNvPr id="18" name="17 CuadroTexto"/>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0</xdr:row>
      <xdr:rowOff>76200</xdr:rowOff>
    </xdr:from>
    <xdr:ext cx="1478446" cy="254557"/>
    <xdr:sp macro="" textlink="">
      <xdr:nvSpPr>
        <xdr:cNvPr id="19" name="18 CuadroTexto"/>
        <xdr:cNvSpPr txBox="1"/>
      </xdr:nvSpPr>
      <xdr:spPr>
        <a:xfrm>
          <a:off x="8943975" y="7620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ETCA-II-09-C</a:t>
          </a:r>
        </a:p>
        <a:p>
          <a:pPr algn="r"/>
          <a:endParaRPr lang="es-MX" sz="1100" b="1">
            <a:latin typeface="Arial" pitchFamily="34" charset="0"/>
            <a:cs typeface="Arial" pitchFamily="34" charset="0"/>
          </a:endParaRPr>
        </a:p>
      </xdr:txBody>
    </xdr:sp>
    <xdr:clientData/>
  </xdr:oneCellAnchor>
  <xdr:oneCellAnchor>
    <xdr:from>
      <xdr:col>7</xdr:col>
      <xdr:colOff>332814</xdr:colOff>
      <xdr:row>4</xdr:row>
      <xdr:rowOff>57150</xdr:rowOff>
    </xdr:from>
    <xdr:ext cx="2277547" cy="254557"/>
    <xdr:sp macro="" textlink="">
      <xdr:nvSpPr>
        <xdr:cNvPr id="20" name="19 CuadroTexto"/>
        <xdr:cNvSpPr txBox="1"/>
      </xdr:nvSpPr>
      <xdr:spPr>
        <a:xfrm>
          <a:off x="9210114" y="847725"/>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oneCellAnchor>
    <xdr:from>
      <xdr:col>7</xdr:col>
      <xdr:colOff>246572</xdr:colOff>
      <xdr:row>25</xdr:row>
      <xdr:rowOff>57150</xdr:rowOff>
    </xdr:from>
    <xdr:ext cx="2363789" cy="254557"/>
    <xdr:sp macro="" textlink="">
      <xdr:nvSpPr>
        <xdr:cNvPr id="21" name="20 CuadroTexto"/>
        <xdr:cNvSpPr txBox="1"/>
      </xdr:nvSpPr>
      <xdr:spPr>
        <a:xfrm>
          <a:off x="9123872" y="8477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7</xdr:col>
      <xdr:colOff>246572</xdr:colOff>
      <xdr:row>49</xdr:row>
      <xdr:rowOff>57150</xdr:rowOff>
    </xdr:from>
    <xdr:ext cx="2363789" cy="254557"/>
    <xdr:sp macro="" textlink="">
      <xdr:nvSpPr>
        <xdr:cNvPr id="23" name="22 CuadroTexto"/>
        <xdr:cNvSpPr txBox="1"/>
      </xdr:nvSpPr>
      <xdr:spPr>
        <a:xfrm>
          <a:off x="9123872" y="8477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7</xdr:col>
      <xdr:colOff>341822</xdr:colOff>
      <xdr:row>96</xdr:row>
      <xdr:rowOff>47625</xdr:rowOff>
    </xdr:from>
    <xdr:ext cx="2363789" cy="254557"/>
    <xdr:sp macro="" textlink="">
      <xdr:nvSpPr>
        <xdr:cNvPr id="24" name="23 CuadroTexto"/>
        <xdr:cNvSpPr txBox="1"/>
      </xdr:nvSpPr>
      <xdr:spPr>
        <a:xfrm>
          <a:off x="9219122" y="2171700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1094297</xdr:colOff>
      <xdr:row>0</xdr:row>
      <xdr:rowOff>19050</xdr:rowOff>
    </xdr:from>
    <xdr:ext cx="1046890" cy="254557"/>
    <xdr:sp macro="" textlink="">
      <xdr:nvSpPr>
        <xdr:cNvPr id="4" name="3 CuadroTexto"/>
        <xdr:cNvSpPr txBox="1"/>
      </xdr:nvSpPr>
      <xdr:spPr>
        <a:xfrm>
          <a:off x="6694997" y="19050"/>
          <a:ext cx="1046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ETCA-II-09-D</a:t>
          </a:r>
        </a:p>
      </xdr:txBody>
    </xdr:sp>
    <xdr:clientData/>
  </xdr:oneCellAnchor>
  <xdr:oneCellAnchor>
    <xdr:from>
      <xdr:col>2</xdr:col>
      <xdr:colOff>1913964</xdr:colOff>
      <xdr:row>3</xdr:row>
      <xdr:rowOff>66675</xdr:rowOff>
    </xdr:from>
    <xdr:ext cx="2277547" cy="254557"/>
    <xdr:sp macro="" textlink="">
      <xdr:nvSpPr>
        <xdr:cNvPr id="5" name="4 CuadroTexto"/>
        <xdr:cNvSpPr txBox="1"/>
      </xdr:nvSpPr>
      <xdr:spPr>
        <a:xfrm>
          <a:off x="5457264" y="657225"/>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8447</xdr:colOff>
      <xdr:row>4</xdr:row>
      <xdr:rowOff>0</xdr:rowOff>
    </xdr:from>
    <xdr:ext cx="2363789" cy="254557"/>
    <xdr:sp macro="" textlink="">
      <xdr:nvSpPr>
        <xdr:cNvPr id="3" name="2 CuadroTexto"/>
        <xdr:cNvSpPr txBox="1"/>
      </xdr:nvSpPr>
      <xdr:spPr>
        <a:xfrm>
          <a:off x="4847147" y="78105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twoCellAnchor>
    <xdr:from>
      <xdr:col>1</xdr:col>
      <xdr:colOff>2752724</xdr:colOff>
      <xdr:row>7</xdr:row>
      <xdr:rowOff>28575</xdr:rowOff>
    </xdr:from>
    <xdr:to>
      <xdr:col>3</xdr:col>
      <xdr:colOff>21554</xdr:colOff>
      <xdr:row>33</xdr:row>
      <xdr:rowOff>494329</xdr:rowOff>
    </xdr:to>
    <xdr:sp macro="" textlink="">
      <xdr:nvSpPr>
        <xdr:cNvPr id="4" name="3 CuadroTexto"/>
        <xdr:cNvSpPr txBox="1"/>
      </xdr:nvSpPr>
      <xdr:spPr>
        <a:xfrm rot="17905503">
          <a:off x="177949" y="4336900"/>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2199197</xdr:colOff>
      <xdr:row>3</xdr:row>
      <xdr:rowOff>190500</xdr:rowOff>
    </xdr:from>
    <xdr:ext cx="2363789" cy="254557"/>
    <xdr:sp macro="" textlink="">
      <xdr:nvSpPr>
        <xdr:cNvPr id="3" name="2 CuadroTexto"/>
        <xdr:cNvSpPr txBox="1"/>
      </xdr:nvSpPr>
      <xdr:spPr>
        <a:xfrm>
          <a:off x="5990147" y="7715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twoCellAnchor>
    <xdr:from>
      <xdr:col>1</xdr:col>
      <xdr:colOff>3019426</xdr:colOff>
      <xdr:row>9</xdr:row>
      <xdr:rowOff>76200</xdr:rowOff>
    </xdr:from>
    <xdr:to>
      <xdr:col>2</xdr:col>
      <xdr:colOff>1374106</xdr:colOff>
      <xdr:row>36</xdr:row>
      <xdr:rowOff>122854</xdr:rowOff>
    </xdr:to>
    <xdr:sp macro="" textlink="">
      <xdr:nvSpPr>
        <xdr:cNvPr id="4" name="3 CuadroTexto"/>
        <xdr:cNvSpPr txBox="1"/>
      </xdr:nvSpPr>
      <xdr:spPr>
        <a:xfrm rot="17905503">
          <a:off x="482751" y="4708375"/>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xdr:col>
      <xdr:colOff>599514</xdr:colOff>
      <xdr:row>3</xdr:row>
      <xdr:rowOff>171450</xdr:rowOff>
    </xdr:from>
    <xdr:ext cx="2277547" cy="254557"/>
    <xdr:sp macro="" textlink="">
      <xdr:nvSpPr>
        <xdr:cNvPr id="3" name="2 CuadroTexto"/>
        <xdr:cNvSpPr txBox="1"/>
      </xdr:nvSpPr>
      <xdr:spPr>
        <a:xfrm>
          <a:off x="5809689" y="752475"/>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726318</xdr:colOff>
      <xdr:row>3</xdr:row>
      <xdr:rowOff>111460</xdr:rowOff>
    </xdr:from>
    <xdr:ext cx="1706557" cy="210250"/>
    <xdr:sp macro="" textlink="">
      <xdr:nvSpPr>
        <xdr:cNvPr id="3" name="2 CuadroTexto"/>
        <xdr:cNvSpPr txBox="1"/>
      </xdr:nvSpPr>
      <xdr:spPr>
        <a:xfrm>
          <a:off x="5507868" y="540085"/>
          <a:ext cx="1706557" cy="2102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ES" sz="800" b="1" i="0" u="none" strike="noStrike">
              <a:solidFill>
                <a:schemeClr val="tx1"/>
              </a:solidFill>
              <a:latin typeface="Arial" pitchFamily="34" charset="0"/>
              <a:ea typeface="+mn-ea"/>
              <a:cs typeface="Arial" pitchFamily="34" charset="0"/>
            </a:rPr>
            <a:t>TRIMESTRE: CUARTODE 2015</a:t>
          </a:r>
          <a:r>
            <a:rPr lang="es-ES" sz="800">
              <a:latin typeface="Arial" pitchFamily="34" charset="0"/>
              <a:cs typeface="Arial" pitchFamily="34" charset="0"/>
            </a:rPr>
            <a:t> </a:t>
          </a:r>
          <a:endParaRPr lang="es-MX" sz="800" b="1">
            <a:latin typeface="Arial" pitchFamily="34" charset="0"/>
            <a:cs typeface="Arial" pitchFamily="34" charset="0"/>
          </a:endParaRPr>
        </a:p>
      </xdr:txBody>
    </xdr:sp>
    <xdr:clientData/>
  </xdr:oneCellAnchor>
  <xdr:oneCellAnchor>
    <xdr:from>
      <xdr:col>3</xdr:col>
      <xdr:colOff>157846</xdr:colOff>
      <xdr:row>0</xdr:row>
      <xdr:rowOff>57150</xdr:rowOff>
    </xdr:from>
    <xdr:ext cx="1007712" cy="254557"/>
    <xdr:sp macro="" textlink="">
      <xdr:nvSpPr>
        <xdr:cNvPr id="4" name="3 CuadroTexto"/>
        <xdr:cNvSpPr txBox="1"/>
      </xdr:nvSpPr>
      <xdr:spPr>
        <a:xfrm>
          <a:off x="8273146" y="57150"/>
          <a:ext cx="1007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9</xdr:col>
      <xdr:colOff>647700</xdr:colOff>
      <xdr:row>69</xdr:row>
      <xdr:rowOff>133350</xdr:rowOff>
    </xdr:from>
    <xdr:to>
      <xdr:col>14</xdr:col>
      <xdr:colOff>581024</xdr:colOff>
      <xdr:row>120</xdr:row>
      <xdr:rowOff>151101</xdr:rowOff>
    </xdr:to>
    <xdr:pic>
      <xdr:nvPicPr>
        <xdr:cNvPr id="16" name="Imagen 7"/>
        <xdr:cNvPicPr>
          <a:picLocks noChangeAspect="1"/>
        </xdr:cNvPicPr>
      </xdr:nvPicPr>
      <xdr:blipFill>
        <a:blip xmlns:r="http://schemas.openxmlformats.org/officeDocument/2006/relationships" r:embed="rId1" cstate="print"/>
        <a:srcRect/>
        <a:stretch>
          <a:fillRect/>
        </a:stretch>
      </xdr:blipFill>
      <xdr:spPr bwMode="auto">
        <a:xfrm>
          <a:off x="5953125" y="12239625"/>
          <a:ext cx="3781425" cy="2028825"/>
        </a:xfrm>
        <a:prstGeom prst="rect">
          <a:avLst/>
        </a:prstGeom>
        <a:noFill/>
        <a:ln w="9525">
          <a:noFill/>
          <a:miter lim="800000"/>
          <a:headEnd/>
          <a:tailEnd/>
        </a:ln>
      </xdr:spPr>
    </xdr:pic>
    <xdr:clientData/>
  </xdr:twoCellAnchor>
  <xdr:twoCellAnchor>
    <xdr:from>
      <xdr:col>2</xdr:col>
      <xdr:colOff>1581151</xdr:colOff>
      <xdr:row>0</xdr:row>
      <xdr:rowOff>76200</xdr:rowOff>
    </xdr:from>
    <xdr:to>
      <xdr:col>15</xdr:col>
      <xdr:colOff>66675</xdr:colOff>
      <xdr:row>3</xdr:row>
      <xdr:rowOff>85725</xdr:rowOff>
    </xdr:to>
    <xdr:sp macro="" textlink="">
      <xdr:nvSpPr>
        <xdr:cNvPr id="32" name="Text Box 1"/>
        <xdr:cNvSpPr txBox="1">
          <a:spLocks noChangeArrowheads="1"/>
        </xdr:cNvSpPr>
      </xdr:nvSpPr>
      <xdr:spPr bwMode="auto">
        <a:xfrm>
          <a:off x="2000251" y="76200"/>
          <a:ext cx="8153399" cy="419100"/>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xdr:from>
      <xdr:col>2</xdr:col>
      <xdr:colOff>609600</xdr:colOff>
      <xdr:row>74</xdr:row>
      <xdr:rowOff>66676</xdr:rowOff>
    </xdr:from>
    <xdr:to>
      <xdr:col>2</xdr:col>
      <xdr:colOff>1209675</xdr:colOff>
      <xdr:row>75</xdr:row>
      <xdr:rowOff>114301</xdr:rowOff>
    </xdr:to>
    <xdr:sp macro="" textlink="">
      <xdr:nvSpPr>
        <xdr:cNvPr id="35" name="CuadroTexto 18"/>
        <xdr:cNvSpPr txBox="1"/>
      </xdr:nvSpPr>
      <xdr:spPr>
        <a:xfrm>
          <a:off x="1028700" y="13792201"/>
          <a:ext cx="6000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t>Cumplida</a:t>
          </a:r>
        </a:p>
      </xdr:txBody>
    </xdr:sp>
    <xdr:clientData/>
  </xdr:twoCellAnchor>
  <xdr:twoCellAnchor>
    <xdr:from>
      <xdr:col>2</xdr:col>
      <xdr:colOff>438150</xdr:colOff>
      <xdr:row>74</xdr:row>
      <xdr:rowOff>142875</xdr:rowOff>
    </xdr:from>
    <xdr:to>
      <xdr:col>2</xdr:col>
      <xdr:colOff>657225</xdr:colOff>
      <xdr:row>75</xdr:row>
      <xdr:rowOff>57150</xdr:rowOff>
    </xdr:to>
    <xdr:sp macro="" textlink="">
      <xdr:nvSpPr>
        <xdr:cNvPr id="36" name="Rectángulo 16"/>
        <xdr:cNvSpPr/>
      </xdr:nvSpPr>
      <xdr:spPr>
        <a:xfrm>
          <a:off x="857250" y="13868400"/>
          <a:ext cx="219075" cy="762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2</xdr:col>
      <xdr:colOff>590550</xdr:colOff>
      <xdr:row>75</xdr:row>
      <xdr:rowOff>114299</xdr:rowOff>
    </xdr:from>
    <xdr:to>
      <xdr:col>2</xdr:col>
      <xdr:colOff>1276350</xdr:colOff>
      <xdr:row>77</xdr:row>
      <xdr:rowOff>0</xdr:rowOff>
    </xdr:to>
    <xdr:sp macro="" textlink="">
      <xdr:nvSpPr>
        <xdr:cNvPr id="37" name="CuadroTexto 21"/>
        <xdr:cNvSpPr txBox="1"/>
      </xdr:nvSpPr>
      <xdr:spPr>
        <a:xfrm>
          <a:off x="1009650" y="14001749"/>
          <a:ext cx="685800" cy="209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t>En proceso</a:t>
          </a:r>
        </a:p>
      </xdr:txBody>
    </xdr:sp>
    <xdr:clientData/>
  </xdr:twoCellAnchor>
  <xdr:twoCellAnchor>
    <xdr:from>
      <xdr:col>2</xdr:col>
      <xdr:colOff>428625</xdr:colOff>
      <xdr:row>76</xdr:row>
      <xdr:rowOff>19050</xdr:rowOff>
    </xdr:from>
    <xdr:to>
      <xdr:col>2</xdr:col>
      <xdr:colOff>647700</xdr:colOff>
      <xdr:row>76</xdr:row>
      <xdr:rowOff>95250</xdr:rowOff>
    </xdr:to>
    <xdr:sp macro="" textlink="">
      <xdr:nvSpPr>
        <xdr:cNvPr id="38" name="Rectángulo 19"/>
        <xdr:cNvSpPr/>
      </xdr:nvSpPr>
      <xdr:spPr>
        <a:xfrm>
          <a:off x="847725" y="14068425"/>
          <a:ext cx="219075" cy="76200"/>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11</xdr:col>
      <xdr:colOff>219075</xdr:colOff>
      <xdr:row>73</xdr:row>
      <xdr:rowOff>19050</xdr:rowOff>
    </xdr:from>
    <xdr:to>
      <xdr:col>11</xdr:col>
      <xdr:colOff>352425</xdr:colOff>
      <xdr:row>74</xdr:row>
      <xdr:rowOff>9525</xdr:rowOff>
    </xdr:to>
    <xdr:sp macro="" textlink="">
      <xdr:nvSpPr>
        <xdr:cNvPr id="39" name="CuadroTexto 24"/>
        <xdr:cNvSpPr txBox="1"/>
      </xdr:nvSpPr>
      <xdr:spPr>
        <a:xfrm>
          <a:off x="7210425" y="1358265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72</xdr:row>
      <xdr:rowOff>133349</xdr:rowOff>
    </xdr:from>
    <xdr:to>
      <xdr:col>12</xdr:col>
      <xdr:colOff>190500</xdr:colOff>
      <xdr:row>74</xdr:row>
      <xdr:rowOff>9524</xdr:rowOff>
    </xdr:to>
    <xdr:sp macro="" textlink="">
      <xdr:nvSpPr>
        <xdr:cNvPr id="40" name="CuadroTexto 25"/>
        <xdr:cNvSpPr txBox="1"/>
      </xdr:nvSpPr>
      <xdr:spPr>
        <a:xfrm>
          <a:off x="7543800" y="13535024"/>
          <a:ext cx="3905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73</xdr:row>
      <xdr:rowOff>0</xdr:rowOff>
    </xdr:from>
    <xdr:to>
      <xdr:col>12</xdr:col>
      <xdr:colOff>571500</xdr:colOff>
      <xdr:row>73</xdr:row>
      <xdr:rowOff>133350</xdr:rowOff>
    </xdr:to>
    <xdr:sp macro="" textlink="">
      <xdr:nvSpPr>
        <xdr:cNvPr id="41" name="CuadroTexto 26"/>
        <xdr:cNvSpPr txBox="1"/>
      </xdr:nvSpPr>
      <xdr:spPr>
        <a:xfrm>
          <a:off x="8172450" y="135636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73</xdr:row>
      <xdr:rowOff>9525</xdr:rowOff>
    </xdr:from>
    <xdr:to>
      <xdr:col>14</xdr:col>
      <xdr:colOff>209550</xdr:colOff>
      <xdr:row>73</xdr:row>
      <xdr:rowOff>152400</xdr:rowOff>
    </xdr:to>
    <xdr:sp macro="" textlink="">
      <xdr:nvSpPr>
        <xdr:cNvPr id="42" name="CuadroTexto 28"/>
        <xdr:cNvSpPr txBox="1"/>
      </xdr:nvSpPr>
      <xdr:spPr>
        <a:xfrm>
          <a:off x="9239250" y="135731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73</xdr:row>
      <xdr:rowOff>19050</xdr:rowOff>
    </xdr:from>
    <xdr:to>
      <xdr:col>15</xdr:col>
      <xdr:colOff>390525</xdr:colOff>
      <xdr:row>73</xdr:row>
      <xdr:rowOff>142875</xdr:rowOff>
    </xdr:to>
    <xdr:sp macro="" textlink="">
      <xdr:nvSpPr>
        <xdr:cNvPr id="43" name="CuadroTexto 29"/>
        <xdr:cNvSpPr txBox="1"/>
      </xdr:nvSpPr>
      <xdr:spPr>
        <a:xfrm>
          <a:off x="10325100" y="135826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editAs="oneCell">
    <xdr:from>
      <xdr:col>9</xdr:col>
      <xdr:colOff>647700</xdr:colOff>
      <xdr:row>64</xdr:row>
      <xdr:rowOff>133350</xdr:rowOff>
    </xdr:from>
    <xdr:to>
      <xdr:col>14</xdr:col>
      <xdr:colOff>533399</xdr:colOff>
      <xdr:row>118</xdr:row>
      <xdr:rowOff>86159</xdr:rowOff>
    </xdr:to>
    <xdr:pic>
      <xdr:nvPicPr>
        <xdr:cNvPr id="44" name="Imagen 7"/>
        <xdr:cNvPicPr>
          <a:picLocks noChangeAspect="1"/>
        </xdr:cNvPicPr>
      </xdr:nvPicPr>
      <xdr:blipFill>
        <a:blip xmlns:r="http://schemas.openxmlformats.org/officeDocument/2006/relationships" r:embed="rId1" cstate="print"/>
        <a:srcRect/>
        <a:stretch>
          <a:fillRect/>
        </a:stretch>
      </xdr:blipFill>
      <xdr:spPr bwMode="auto">
        <a:xfrm>
          <a:off x="5953125" y="12239625"/>
          <a:ext cx="3781425" cy="202882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429169"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65431</xdr:colOff>
      <xdr:row>3</xdr:row>
      <xdr:rowOff>94817</xdr:rowOff>
    </xdr:from>
    <xdr:ext cx="2137124" cy="239809"/>
    <xdr:sp macro="" textlink="">
      <xdr:nvSpPr>
        <xdr:cNvPr id="18" name="17 CuadroTexto"/>
        <xdr:cNvSpPr txBox="1"/>
      </xdr:nvSpPr>
      <xdr:spPr>
        <a:xfrm>
          <a:off x="10672817" y="614362"/>
          <a:ext cx="2137124"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PRIMERO DE 2015</a:t>
          </a:r>
        </a:p>
      </xdr:txBody>
    </xdr:sp>
    <xdr:clientData/>
  </xdr:oneCellAnchor>
  <xdr:oneCellAnchor>
    <xdr:from>
      <xdr:col>1</xdr:col>
      <xdr:colOff>6916450</xdr:colOff>
      <xdr:row>107</xdr:row>
      <xdr:rowOff>108239</xdr:rowOff>
    </xdr:from>
    <xdr:ext cx="1222708" cy="257174"/>
    <xdr:sp macro="" textlink="">
      <xdr:nvSpPr>
        <xdr:cNvPr id="19" name="18 CuadroTexto"/>
        <xdr:cNvSpPr txBox="1"/>
      </xdr:nvSpPr>
      <xdr:spPr>
        <a:xfrm>
          <a:off x="7674120" y="18119148"/>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xdr:col>
      <xdr:colOff>6439161</xdr:colOff>
      <xdr:row>111</xdr:row>
      <xdr:rowOff>10824</xdr:rowOff>
    </xdr:from>
    <xdr:ext cx="1759328" cy="239809"/>
    <xdr:sp macro="" textlink="">
      <xdr:nvSpPr>
        <xdr:cNvPr id="20" name="19 CuadroTexto"/>
        <xdr:cNvSpPr txBox="1"/>
      </xdr:nvSpPr>
      <xdr:spPr>
        <a:xfrm>
          <a:off x="7196831" y="822614"/>
          <a:ext cx="1759328"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TRIMESTRECUARTO2015</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2</xdr:col>
      <xdr:colOff>1405173</xdr:colOff>
      <xdr:row>3</xdr:row>
      <xdr:rowOff>152400</xdr:rowOff>
    </xdr:from>
    <xdr:ext cx="2277547" cy="254557"/>
    <xdr:sp macro="" textlink="">
      <xdr:nvSpPr>
        <xdr:cNvPr id="4" name="3 CuadroTexto"/>
        <xdr:cNvSpPr txBox="1"/>
      </xdr:nvSpPr>
      <xdr:spPr>
        <a:xfrm>
          <a:off x="6005748" y="733425"/>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oneCellAnchor>
    <xdr:from>
      <xdr:col>3</xdr:col>
      <xdr:colOff>836059</xdr:colOff>
      <xdr:row>0</xdr:row>
      <xdr:rowOff>152400</xdr:rowOff>
    </xdr:from>
    <xdr:ext cx="937180" cy="254557"/>
    <xdr:sp macro="" textlink="">
      <xdr:nvSpPr>
        <xdr:cNvPr id="6" name="5 CuadroTexto"/>
        <xdr:cNvSpPr txBox="1"/>
      </xdr:nvSpPr>
      <xdr:spPr>
        <a:xfrm>
          <a:off x="7379734" y="152400"/>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ETCA-III-14</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1019175</xdr:colOff>
      <xdr:row>0</xdr:row>
      <xdr:rowOff>38100</xdr:rowOff>
    </xdr:from>
    <xdr:ext cx="1222708" cy="257174"/>
    <xdr:sp macro="" textlink="">
      <xdr:nvSpPr>
        <xdr:cNvPr id="3" name="2 CuadroTexto"/>
        <xdr:cNvSpPr txBox="1"/>
      </xdr:nvSpPr>
      <xdr:spPr>
        <a:xfrm>
          <a:off x="7105650" y="381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ETCA-IV-16</a:t>
          </a:r>
        </a:p>
      </xdr:txBody>
    </xdr:sp>
    <xdr:clientData/>
  </xdr:oneCellAnchor>
  <xdr:oneCellAnchor>
    <xdr:from>
      <xdr:col>3</xdr:col>
      <xdr:colOff>54277</xdr:colOff>
      <xdr:row>3</xdr:row>
      <xdr:rowOff>9226</xdr:rowOff>
    </xdr:from>
    <xdr:ext cx="2260298" cy="416781"/>
    <xdr:sp macro="" textlink="">
      <xdr:nvSpPr>
        <xdr:cNvPr id="4" name="3 CuadroTexto"/>
        <xdr:cNvSpPr txBox="1"/>
      </xdr:nvSpPr>
      <xdr:spPr>
        <a:xfrm>
          <a:off x="6140752" y="590251"/>
          <a:ext cx="2260298" cy="41678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 DE 2015</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682927</xdr:colOff>
      <xdr:row>3</xdr:row>
      <xdr:rowOff>37801</xdr:rowOff>
    </xdr:from>
    <xdr:ext cx="1689309" cy="416781"/>
    <xdr:sp macro="" textlink="">
      <xdr:nvSpPr>
        <xdr:cNvPr id="2" name="1 CuadroTexto"/>
        <xdr:cNvSpPr txBox="1"/>
      </xdr:nvSpPr>
      <xdr:spPr>
        <a:xfrm>
          <a:off x="5521627" y="618826"/>
          <a:ext cx="1689309" cy="41678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a:t>
          </a:r>
        </a:p>
        <a:p>
          <a:pPr algn="r"/>
          <a:r>
            <a:rPr lang="es-MX" sz="1100" b="1">
              <a:latin typeface="Arial" pitchFamily="34" charset="0"/>
              <a:cs typeface="Arial" pitchFamily="34" charset="0"/>
            </a:rPr>
            <a:t> DE 2015</a:t>
          </a:r>
        </a:p>
      </xdr:txBody>
    </xdr:sp>
    <xdr:clientData/>
  </xdr:oneCellAnchor>
  <xdr:twoCellAnchor>
    <xdr:from>
      <xdr:col>2</xdr:col>
      <xdr:colOff>238125</xdr:colOff>
      <xdr:row>1</xdr:row>
      <xdr:rowOff>161925</xdr:rowOff>
    </xdr:from>
    <xdr:to>
      <xdr:col>3</xdr:col>
      <xdr:colOff>278730</xdr:colOff>
      <xdr:row>38</xdr:row>
      <xdr:rowOff>75229</xdr:rowOff>
    </xdr:to>
    <xdr:sp macro="" textlink="">
      <xdr:nvSpPr>
        <xdr:cNvPr id="3" name="2 CuadroTexto"/>
        <xdr:cNvSpPr txBox="1"/>
      </xdr:nvSpPr>
      <xdr:spPr>
        <a:xfrm rot="17905503">
          <a:off x="435125" y="3212950"/>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xdr:colOff>
      <xdr:row>0</xdr:row>
      <xdr:rowOff>38100</xdr:rowOff>
    </xdr:from>
    <xdr:ext cx="1066800" cy="254557"/>
    <xdr:sp macro="" textlink="">
      <xdr:nvSpPr>
        <xdr:cNvPr id="2" name="1 CuadroTexto"/>
        <xdr:cNvSpPr txBox="1"/>
      </xdr:nvSpPr>
      <xdr:spPr>
        <a:xfrm>
          <a:off x="5495925" y="38100"/>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ETCA-I-01-B</a:t>
          </a:r>
        </a:p>
      </xdr:txBody>
    </xdr:sp>
    <xdr:clientData/>
  </xdr:oneCellAnchor>
  <xdr:oneCellAnchor>
    <xdr:from>
      <xdr:col>1</xdr:col>
      <xdr:colOff>4142814</xdr:colOff>
      <xdr:row>3</xdr:row>
      <xdr:rowOff>114300</xdr:rowOff>
    </xdr:from>
    <xdr:ext cx="2277547" cy="254557"/>
    <xdr:sp macro="" textlink="">
      <xdr:nvSpPr>
        <xdr:cNvPr id="4" name="3 CuadroTexto"/>
        <xdr:cNvSpPr txBox="1"/>
      </xdr:nvSpPr>
      <xdr:spPr>
        <a:xfrm>
          <a:off x="4333314" y="68580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200025</xdr:colOff>
      <xdr:row>3</xdr:row>
      <xdr:rowOff>142875</xdr:rowOff>
    </xdr:from>
    <xdr:ext cx="184731" cy="264560"/>
    <xdr:sp macro="" textlink="">
      <xdr:nvSpPr>
        <xdr:cNvPr id="2" name="1 CuadroTexto"/>
        <xdr:cNvSpPr txBox="1"/>
      </xdr:nvSpPr>
      <xdr:spPr>
        <a:xfrm>
          <a:off x="3905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468658</xdr:colOff>
      <xdr:row>0</xdr:row>
      <xdr:rowOff>47625</xdr:rowOff>
    </xdr:from>
    <xdr:ext cx="858825" cy="254557"/>
    <xdr:sp macro="" textlink="">
      <xdr:nvSpPr>
        <xdr:cNvPr id="4" name="3 CuadroTexto"/>
        <xdr:cNvSpPr txBox="1"/>
      </xdr:nvSpPr>
      <xdr:spPr>
        <a:xfrm>
          <a:off x="60598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3</xdr:col>
      <xdr:colOff>810142</xdr:colOff>
      <xdr:row>3</xdr:row>
      <xdr:rowOff>114300</xdr:rowOff>
    </xdr:from>
    <xdr:ext cx="2277547" cy="254557"/>
    <xdr:sp macro="" textlink="">
      <xdr:nvSpPr>
        <xdr:cNvPr id="6" name="5 CuadroTexto"/>
        <xdr:cNvSpPr txBox="1"/>
      </xdr:nvSpPr>
      <xdr:spPr>
        <a:xfrm>
          <a:off x="5944117" y="70485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5" name="4 CuadroTexto"/>
        <xdr:cNvSpPr txBox="1"/>
      </xdr:nvSpPr>
      <xdr:spPr>
        <a:xfrm>
          <a:off x="35718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7" name="6 CuadroTexto"/>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104214</xdr:colOff>
      <xdr:row>3</xdr:row>
      <xdr:rowOff>133350</xdr:rowOff>
    </xdr:from>
    <xdr:ext cx="2277547" cy="254557"/>
    <xdr:sp macro="" textlink="">
      <xdr:nvSpPr>
        <xdr:cNvPr id="9" name="8 CuadroTexto"/>
        <xdr:cNvSpPr txBox="1"/>
      </xdr:nvSpPr>
      <xdr:spPr>
        <a:xfrm>
          <a:off x="4666689" y="72390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592483</xdr:colOff>
      <xdr:row>0</xdr:row>
      <xdr:rowOff>95250</xdr:rowOff>
    </xdr:from>
    <xdr:ext cx="858825" cy="254557"/>
    <xdr:sp macro="" textlink="">
      <xdr:nvSpPr>
        <xdr:cNvPr id="4" name="3 CuadroTexto"/>
        <xdr:cNvSpPr txBox="1"/>
      </xdr:nvSpPr>
      <xdr:spPr>
        <a:xfrm>
          <a:off x="6317008" y="952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4</xdr:col>
      <xdr:colOff>46612</xdr:colOff>
      <xdr:row>3</xdr:row>
      <xdr:rowOff>133350</xdr:rowOff>
    </xdr:from>
    <xdr:ext cx="2363724" cy="254557"/>
    <xdr:sp macro="" textlink="">
      <xdr:nvSpPr>
        <xdr:cNvPr id="5" name="4 CuadroTexto"/>
        <xdr:cNvSpPr txBox="1"/>
      </xdr:nvSpPr>
      <xdr:spPr>
        <a:xfrm>
          <a:off x="5009137" y="704850"/>
          <a:ext cx="23637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DEL 2015</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12573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363883</xdr:colOff>
      <xdr:row>0</xdr:row>
      <xdr:rowOff>142875</xdr:rowOff>
    </xdr:from>
    <xdr:ext cx="858825" cy="254557"/>
    <xdr:sp macro="" textlink="">
      <xdr:nvSpPr>
        <xdr:cNvPr id="4" name="3 CuadroTexto"/>
        <xdr:cNvSpPr txBox="1"/>
      </xdr:nvSpPr>
      <xdr:spPr>
        <a:xfrm>
          <a:off x="6955183" y="14287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3</xdr:col>
      <xdr:colOff>389964</xdr:colOff>
      <xdr:row>5</xdr:row>
      <xdr:rowOff>114300</xdr:rowOff>
    </xdr:from>
    <xdr:ext cx="2277547" cy="254557"/>
    <xdr:sp macro="" textlink="">
      <xdr:nvSpPr>
        <xdr:cNvPr id="5" name="4 CuadroTexto"/>
        <xdr:cNvSpPr txBox="1"/>
      </xdr:nvSpPr>
      <xdr:spPr>
        <a:xfrm>
          <a:off x="5762064" y="110490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53911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792508</xdr:colOff>
      <xdr:row>0</xdr:row>
      <xdr:rowOff>19050</xdr:rowOff>
    </xdr:from>
    <xdr:ext cx="858825" cy="254557"/>
    <xdr:sp macro="" textlink="">
      <xdr:nvSpPr>
        <xdr:cNvPr id="4" name="3 CuadroTexto"/>
        <xdr:cNvSpPr txBox="1"/>
      </xdr:nvSpPr>
      <xdr:spPr>
        <a:xfrm>
          <a:off x="6383683"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ETCA-I-06</a:t>
          </a:r>
        </a:p>
      </xdr:txBody>
    </xdr:sp>
    <xdr:clientData/>
  </xdr:oneCellAnchor>
  <xdr:oneCellAnchor>
    <xdr:from>
      <xdr:col>4</xdr:col>
      <xdr:colOff>237564</xdr:colOff>
      <xdr:row>3</xdr:row>
      <xdr:rowOff>95250</xdr:rowOff>
    </xdr:from>
    <xdr:ext cx="2277547" cy="254557"/>
    <xdr:sp macro="" textlink="">
      <xdr:nvSpPr>
        <xdr:cNvPr id="5" name="4 CuadroTexto"/>
        <xdr:cNvSpPr txBox="1"/>
      </xdr:nvSpPr>
      <xdr:spPr>
        <a:xfrm>
          <a:off x="5762064" y="685800"/>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249583</xdr:colOff>
      <xdr:row>0</xdr:row>
      <xdr:rowOff>47625</xdr:rowOff>
    </xdr:from>
    <xdr:ext cx="858825" cy="254557"/>
    <xdr:sp macro="" textlink="">
      <xdr:nvSpPr>
        <xdr:cNvPr id="4" name="3 CuadroTexto"/>
        <xdr:cNvSpPr txBox="1"/>
      </xdr:nvSpPr>
      <xdr:spPr>
        <a:xfrm>
          <a:off x="6240808"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3</xdr:col>
      <xdr:colOff>1100353</xdr:colOff>
      <xdr:row>3</xdr:row>
      <xdr:rowOff>104775</xdr:rowOff>
    </xdr:from>
    <xdr:ext cx="2277547" cy="254557"/>
    <xdr:sp macro="" textlink="">
      <xdr:nvSpPr>
        <xdr:cNvPr id="5" name="4 CuadroTexto"/>
        <xdr:cNvSpPr txBox="1"/>
      </xdr:nvSpPr>
      <xdr:spPr>
        <a:xfrm>
          <a:off x="5205628" y="695325"/>
          <a:ext cx="227754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CUARTO DE 2015</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66"/>
  <sheetViews>
    <sheetView workbookViewId="0">
      <selection activeCell="F16" sqref="F16"/>
    </sheetView>
  </sheetViews>
  <sheetFormatPr baseColWidth="10" defaultRowHeight="11.25" x14ac:dyDescent="0.2"/>
  <cols>
    <col min="1" max="1" width="39.140625" style="374" bestFit="1" customWidth="1"/>
    <col min="2" max="2" width="13.140625" style="290" bestFit="1" customWidth="1"/>
    <col min="3" max="3" width="16.85546875" style="290" customWidth="1"/>
    <col min="4" max="4" width="0.42578125" style="290" hidden="1" customWidth="1"/>
    <col min="5" max="5" width="38.28515625" style="374" customWidth="1"/>
    <col min="6" max="7" width="15" style="290" customWidth="1"/>
    <col min="8" max="8" width="12.85546875" style="290" bestFit="1" customWidth="1"/>
    <col min="9" max="9" width="13.7109375" style="290" bestFit="1" customWidth="1"/>
    <col min="10" max="16384" width="11.42578125" style="290"/>
  </cols>
  <sheetData>
    <row r="1" spans="1:7" x14ac:dyDescent="0.2">
      <c r="A1" s="367"/>
      <c r="C1" s="368" t="s">
        <v>167</v>
      </c>
      <c r="D1" s="369"/>
      <c r="E1" s="370"/>
      <c r="G1" s="371" t="s">
        <v>428</v>
      </c>
    </row>
    <row r="2" spans="1:7" x14ac:dyDescent="0.2">
      <c r="B2" s="367"/>
      <c r="C2" s="372" t="s">
        <v>55</v>
      </c>
      <c r="D2" s="367"/>
      <c r="E2" s="367"/>
      <c r="F2" s="367"/>
      <c r="G2" s="367"/>
    </row>
    <row r="3" spans="1:7" x14ac:dyDescent="0.2">
      <c r="B3" s="373"/>
      <c r="C3" s="372" t="s">
        <v>599</v>
      </c>
      <c r="D3" s="373"/>
      <c r="E3" s="367"/>
      <c r="F3" s="373"/>
      <c r="G3" s="373"/>
    </row>
    <row r="4" spans="1:7" x14ac:dyDescent="0.2">
      <c r="A4" s="367"/>
      <c r="C4" s="795" t="s">
        <v>1838</v>
      </c>
      <c r="D4" s="373"/>
      <c r="E4" s="367"/>
      <c r="F4" s="367"/>
      <c r="G4" s="367"/>
    </row>
    <row r="5" spans="1:7" ht="12" thickBot="1" x14ac:dyDescent="0.25">
      <c r="A5" s="367"/>
      <c r="B5" s="375"/>
      <c r="C5" s="373" t="s">
        <v>122</v>
      </c>
      <c r="D5" s="373"/>
      <c r="E5" s="367"/>
      <c r="F5" s="367"/>
      <c r="G5" s="371" t="s">
        <v>1839</v>
      </c>
    </row>
    <row r="6" spans="1:7" x14ac:dyDescent="0.2">
      <c r="A6" s="339" t="s">
        <v>56</v>
      </c>
      <c r="B6" s="340">
        <v>2015</v>
      </c>
      <c r="C6" s="340">
        <v>2014</v>
      </c>
      <c r="D6" s="341"/>
      <c r="E6" s="342" t="s">
        <v>57</v>
      </c>
      <c r="F6" s="340">
        <v>2015</v>
      </c>
      <c r="G6" s="343">
        <v>2014</v>
      </c>
    </row>
    <row r="7" spans="1:7" x14ac:dyDescent="0.2">
      <c r="A7" s="344"/>
      <c r="B7" s="345"/>
      <c r="C7" s="345"/>
      <c r="D7" s="346"/>
      <c r="E7" s="345"/>
      <c r="F7" s="345"/>
      <c r="G7" s="347"/>
    </row>
    <row r="8" spans="1:7" x14ac:dyDescent="0.2">
      <c r="A8" s="348" t="s">
        <v>58</v>
      </c>
      <c r="B8" s="349"/>
      <c r="C8" s="349"/>
      <c r="D8" s="346"/>
      <c r="E8" s="349" t="s">
        <v>59</v>
      </c>
      <c r="F8" s="349"/>
      <c r="G8" s="500"/>
    </row>
    <row r="9" spans="1:7" x14ac:dyDescent="0.2">
      <c r="A9" s="363" t="s">
        <v>60</v>
      </c>
      <c r="B9" s="351">
        <f>39257623.53+182633481.24+19725-3.62</f>
        <v>221910826.15000001</v>
      </c>
      <c r="C9" s="377">
        <f>153875903.47+24720</f>
        <v>153900623.47</v>
      </c>
      <c r="D9" s="346"/>
      <c r="E9" s="359" t="s">
        <v>61</v>
      </c>
      <c r="F9" s="351">
        <f>+-0.22+163922555.19+419173.61+39256822.32</f>
        <v>203598550.90000001</v>
      </c>
      <c r="G9" s="376">
        <v>120352435.28</v>
      </c>
    </row>
    <row r="10" spans="1:7" x14ac:dyDescent="0.2">
      <c r="A10" s="363" t="s">
        <v>62</v>
      </c>
      <c r="B10" s="378">
        <f>175979.4+9402.3</f>
        <v>185381.69999999998</v>
      </c>
      <c r="C10" s="377">
        <v>414935.99</v>
      </c>
      <c r="D10" s="346"/>
      <c r="E10" s="359" t="s">
        <v>63</v>
      </c>
      <c r="F10" s="351">
        <v>0</v>
      </c>
      <c r="G10" s="376">
        <v>0</v>
      </c>
    </row>
    <row r="11" spans="1:7" ht="22.5" x14ac:dyDescent="0.2">
      <c r="A11" s="363" t="s">
        <v>64</v>
      </c>
      <c r="B11" s="351">
        <v>10064670.23</v>
      </c>
      <c r="C11" s="377">
        <v>20133882.399999999</v>
      </c>
      <c r="D11" s="346"/>
      <c r="E11" s="379" t="s">
        <v>65</v>
      </c>
      <c r="F11" s="351"/>
      <c r="G11" s="376">
        <v>0</v>
      </c>
    </row>
    <row r="12" spans="1:7" x14ac:dyDescent="0.2">
      <c r="A12" s="363" t="s">
        <v>66</v>
      </c>
      <c r="B12" s="351"/>
      <c r="C12" s="359"/>
      <c r="D12" s="346"/>
      <c r="E12" s="359" t="s">
        <v>67</v>
      </c>
      <c r="F12" s="351"/>
      <c r="G12" s="376">
        <v>0</v>
      </c>
    </row>
    <row r="13" spans="1:7" x14ac:dyDescent="0.2">
      <c r="A13" s="363" t="s">
        <v>68</v>
      </c>
      <c r="B13" s="351"/>
      <c r="C13" s="359"/>
      <c r="D13" s="346"/>
      <c r="E13" s="359" t="s">
        <v>69</v>
      </c>
      <c r="F13" s="351"/>
      <c r="G13" s="380">
        <v>0</v>
      </c>
    </row>
    <row r="14" spans="1:7" ht="22.5" x14ac:dyDescent="0.2">
      <c r="A14" s="381" t="s">
        <v>70</v>
      </c>
      <c r="B14" s="382"/>
      <c r="C14" s="383"/>
      <c r="D14" s="346"/>
      <c r="E14" s="384" t="s">
        <v>71</v>
      </c>
      <c r="F14" s="385"/>
      <c r="G14" s="376">
        <v>0</v>
      </c>
    </row>
    <row r="15" spans="1:7" x14ac:dyDescent="0.2">
      <c r="A15" s="363" t="s">
        <v>72</v>
      </c>
      <c r="B15" s="351"/>
      <c r="C15" s="386">
        <v>0</v>
      </c>
      <c r="D15" s="346"/>
      <c r="E15" s="359" t="s">
        <v>73</v>
      </c>
      <c r="F15" s="351"/>
      <c r="G15" s="376">
        <v>0</v>
      </c>
    </row>
    <row r="16" spans="1:7" x14ac:dyDescent="0.2">
      <c r="A16" s="350"/>
      <c r="B16" s="351"/>
      <c r="C16" s="351"/>
      <c r="D16" s="346"/>
      <c r="E16" s="359" t="s">
        <v>74</v>
      </c>
      <c r="F16" s="351">
        <v>40536</v>
      </c>
      <c r="G16" s="352">
        <v>31994.97</v>
      </c>
    </row>
    <row r="17" spans="1:9" x14ac:dyDescent="0.2">
      <c r="A17" s="350"/>
      <c r="B17" s="351"/>
      <c r="C17" s="351"/>
      <c r="D17" s="346"/>
      <c r="E17" s="346"/>
      <c r="F17" s="351"/>
      <c r="G17" s="352"/>
    </row>
    <row r="18" spans="1:9" x14ac:dyDescent="0.2">
      <c r="A18" s="353" t="s">
        <v>187</v>
      </c>
      <c r="B18" s="354">
        <f>SUM(B9:B17)</f>
        <v>232160878.07999998</v>
      </c>
      <c r="C18" s="354">
        <f>SUM(C9:C17)</f>
        <v>174449441.86000001</v>
      </c>
      <c r="D18" s="346"/>
      <c r="E18" s="355" t="s">
        <v>186</v>
      </c>
      <c r="F18" s="354">
        <f>SUM(F8:F17)</f>
        <v>203639086.90000001</v>
      </c>
      <c r="G18" s="356">
        <f>SUM(G9:G17)</f>
        <v>120384430.25</v>
      </c>
    </row>
    <row r="19" spans="1:9" x14ac:dyDescent="0.2">
      <c r="A19" s="350"/>
      <c r="B19" s="354"/>
      <c r="C19" s="354"/>
      <c r="D19" s="346"/>
      <c r="E19" s="355"/>
      <c r="F19" s="354"/>
      <c r="G19" s="356"/>
    </row>
    <row r="20" spans="1:9" x14ac:dyDescent="0.2">
      <c r="A20" s="348" t="s">
        <v>75</v>
      </c>
      <c r="B20" s="357"/>
      <c r="C20" s="357"/>
      <c r="D20" s="346"/>
      <c r="E20" s="349" t="s">
        <v>76</v>
      </c>
      <c r="F20" s="357"/>
      <c r="G20" s="358"/>
    </row>
    <row r="21" spans="1:9" x14ac:dyDescent="0.2">
      <c r="A21" s="363" t="s">
        <v>77</v>
      </c>
      <c r="B21" s="351"/>
      <c r="C21" s="351"/>
      <c r="D21" s="346"/>
      <c r="E21" s="359" t="s">
        <v>78</v>
      </c>
      <c r="F21" s="351"/>
      <c r="G21" s="352"/>
    </row>
    <row r="22" spans="1:9" ht="22.5" x14ac:dyDescent="0.2">
      <c r="A22" s="381" t="s">
        <v>79</v>
      </c>
      <c r="B22" s="382"/>
      <c r="C22" s="382"/>
      <c r="D22" s="346"/>
      <c r="E22" s="379" t="s">
        <v>80</v>
      </c>
      <c r="F22" s="351"/>
      <c r="G22" s="352"/>
      <c r="I22" s="839"/>
    </row>
    <row r="23" spans="1:9" x14ac:dyDescent="0.2">
      <c r="A23" s="363"/>
      <c r="B23" s="351"/>
      <c r="C23" s="351"/>
      <c r="D23" s="346"/>
      <c r="E23" s="359" t="s">
        <v>81</v>
      </c>
      <c r="F23" s="351"/>
      <c r="G23" s="352"/>
    </row>
    <row r="24" spans="1:9" ht="22.5" x14ac:dyDescent="0.2">
      <c r="A24" s="381" t="s">
        <v>82</v>
      </c>
      <c r="B24" s="382">
        <f>588532004.26+52973085.75</f>
        <v>641505090.00999999</v>
      </c>
      <c r="C24" s="501">
        <v>209642957.16999999</v>
      </c>
      <c r="D24" s="346"/>
      <c r="E24" s="359" t="s">
        <v>83</v>
      </c>
      <c r="F24" s="351"/>
      <c r="G24" s="352"/>
    </row>
    <row r="25" spans="1:9" ht="22.5" x14ac:dyDescent="0.2">
      <c r="A25" s="363"/>
      <c r="B25" s="351"/>
      <c r="C25" s="502"/>
      <c r="D25" s="346"/>
      <c r="E25" s="384" t="s">
        <v>84</v>
      </c>
      <c r="F25" s="382"/>
      <c r="G25" s="387"/>
    </row>
    <row r="26" spans="1:9" x14ac:dyDescent="0.2">
      <c r="A26" s="363" t="s">
        <v>85</v>
      </c>
      <c r="B26" s="351">
        <f>2505999.28+140201.64+2730272.43</f>
        <v>5376473.3499999996</v>
      </c>
      <c r="C26" s="503">
        <v>5433834.0899999999</v>
      </c>
      <c r="D26" s="346"/>
      <c r="E26" s="359"/>
      <c r="F26" s="351"/>
      <c r="G26" s="352"/>
    </row>
    <row r="27" spans="1:9" x14ac:dyDescent="0.2">
      <c r="A27" s="363" t="s">
        <v>86</v>
      </c>
      <c r="B27" s="351"/>
      <c r="C27" s="503"/>
      <c r="D27" s="346"/>
      <c r="E27" s="359" t="s">
        <v>87</v>
      </c>
      <c r="F27" s="351"/>
      <c r="G27" s="352"/>
    </row>
    <row r="28" spans="1:9" ht="22.5" x14ac:dyDescent="0.2">
      <c r="A28" s="381" t="s">
        <v>88</v>
      </c>
      <c r="B28" s="382">
        <v>-4872831.46</v>
      </c>
      <c r="C28" s="501">
        <v>-4644467.83</v>
      </c>
      <c r="D28" s="346"/>
      <c r="E28" s="359"/>
      <c r="F28" s="351"/>
      <c r="G28" s="352"/>
    </row>
    <row r="29" spans="1:9" x14ac:dyDescent="0.2">
      <c r="A29" s="363" t="s">
        <v>89</v>
      </c>
      <c r="B29" s="351"/>
      <c r="C29" s="377">
        <v>0</v>
      </c>
      <c r="D29" s="346"/>
      <c r="E29" s="388"/>
      <c r="F29" s="354"/>
      <c r="G29" s="356"/>
    </row>
    <row r="30" spans="1:9" ht="22.5" x14ac:dyDescent="0.2">
      <c r="A30" s="381" t="s">
        <v>91</v>
      </c>
      <c r="B30" s="382"/>
      <c r="D30" s="346"/>
      <c r="E30" s="388"/>
      <c r="F30" s="357"/>
      <c r="G30" s="358"/>
    </row>
    <row r="31" spans="1:9" x14ac:dyDescent="0.2">
      <c r="A31" s="363" t="s">
        <v>93</v>
      </c>
      <c r="B31" s="351"/>
      <c r="C31" s="377">
        <v>0</v>
      </c>
      <c r="D31" s="346"/>
      <c r="E31" s="388"/>
      <c r="F31" s="360"/>
      <c r="G31" s="361"/>
    </row>
    <row r="32" spans="1:9" x14ac:dyDescent="0.2">
      <c r="A32" s="353"/>
      <c r="B32" s="354"/>
      <c r="C32" s="383"/>
      <c r="D32" s="346"/>
      <c r="E32" s="388"/>
      <c r="F32" s="357"/>
      <c r="G32" s="358"/>
    </row>
    <row r="33" spans="1:8" x14ac:dyDescent="0.2">
      <c r="A33" s="353" t="s">
        <v>96</v>
      </c>
      <c r="B33" s="354">
        <f>SUM(B21:B32)</f>
        <v>642008731.89999998</v>
      </c>
      <c r="C33" s="354">
        <f>SUM(C21:C32)</f>
        <v>210432323.42999998</v>
      </c>
      <c r="D33" s="346"/>
      <c r="E33" s="355" t="s">
        <v>90</v>
      </c>
      <c r="F33" s="351"/>
      <c r="G33" s="352"/>
    </row>
    <row r="34" spans="1:8" x14ac:dyDescent="0.2">
      <c r="A34" s="353"/>
      <c r="B34" s="354"/>
      <c r="C34" s="354"/>
      <c r="D34" s="346"/>
      <c r="E34" s="388"/>
      <c r="F34" s="351"/>
      <c r="G34" s="352"/>
    </row>
    <row r="35" spans="1:8" x14ac:dyDescent="0.2">
      <c r="A35" s="348" t="s">
        <v>98</v>
      </c>
      <c r="B35" s="357">
        <f>+B33+B18</f>
        <v>874169609.98000002</v>
      </c>
      <c r="C35" s="357">
        <f>+C33+C18</f>
        <v>384881765.28999996</v>
      </c>
      <c r="D35" s="346"/>
      <c r="E35" s="349" t="s">
        <v>92</v>
      </c>
      <c r="F35" s="351">
        <f>+F18</f>
        <v>203639086.90000001</v>
      </c>
      <c r="G35" s="352">
        <f>+G18</f>
        <v>120384430.25</v>
      </c>
    </row>
    <row r="36" spans="1:8" x14ac:dyDescent="0.2">
      <c r="A36" s="350"/>
      <c r="B36" s="351"/>
      <c r="C36" s="351"/>
      <c r="D36" s="346"/>
      <c r="E36" s="388"/>
      <c r="F36" s="357"/>
      <c r="G36" s="358"/>
    </row>
    <row r="37" spans="1:8" x14ac:dyDescent="0.2">
      <c r="A37" s="350"/>
      <c r="B37" s="351"/>
      <c r="C37" s="351"/>
      <c r="D37" s="346"/>
      <c r="E37" s="362" t="s">
        <v>94</v>
      </c>
      <c r="F37" s="351"/>
      <c r="G37" s="352"/>
    </row>
    <row r="38" spans="1:8" x14ac:dyDescent="0.2">
      <c r="A38" s="350"/>
      <c r="B38" s="351"/>
      <c r="C38" s="351"/>
      <c r="D38" s="346"/>
      <c r="E38" s="349" t="s">
        <v>95</v>
      </c>
      <c r="F38" s="351"/>
      <c r="G38" s="352"/>
    </row>
    <row r="39" spans="1:8" x14ac:dyDescent="0.2">
      <c r="A39" s="350"/>
      <c r="B39" s="351"/>
      <c r="C39" s="351"/>
      <c r="D39" s="346"/>
      <c r="E39" s="359" t="s">
        <v>36</v>
      </c>
      <c r="F39" s="351"/>
      <c r="G39" s="352"/>
    </row>
    <row r="40" spans="1:8" x14ac:dyDescent="0.2">
      <c r="A40" s="350"/>
      <c r="B40" s="351"/>
      <c r="C40" s="351"/>
      <c r="D40" s="346"/>
      <c r="E40" s="359" t="s">
        <v>97</v>
      </c>
      <c r="F40" s="351"/>
      <c r="G40" s="352"/>
    </row>
    <row r="41" spans="1:8" x14ac:dyDescent="0.2">
      <c r="A41" s="350"/>
      <c r="B41" s="351"/>
      <c r="C41" s="351"/>
      <c r="D41" s="346"/>
      <c r="E41" s="359" t="s">
        <v>99</v>
      </c>
      <c r="F41" s="351"/>
      <c r="G41" s="352"/>
    </row>
    <row r="42" spans="1:8" x14ac:dyDescent="0.2">
      <c r="A42" s="353"/>
      <c r="B42" s="354"/>
      <c r="C42" s="354"/>
      <c r="D42" s="346"/>
      <c r="E42" s="349" t="s">
        <v>100</v>
      </c>
      <c r="F42" s="389"/>
      <c r="G42" s="390"/>
    </row>
    <row r="43" spans="1:8" x14ac:dyDescent="0.2">
      <c r="A43" s="353"/>
      <c r="B43" s="354"/>
      <c r="C43" s="354"/>
      <c r="D43" s="346"/>
      <c r="E43" s="359" t="s">
        <v>101</v>
      </c>
      <c r="F43" s="351">
        <v>468588726.12</v>
      </c>
      <c r="G43" s="376">
        <v>259070182.22999999</v>
      </c>
    </row>
    <row r="44" spans="1:8" x14ac:dyDescent="0.2">
      <c r="A44" s="353"/>
      <c r="B44" s="355"/>
      <c r="C44" s="355"/>
      <c r="D44" s="346"/>
      <c r="E44" s="359" t="s">
        <v>102</v>
      </c>
      <c r="F44" s="351">
        <v>201941796.96000001</v>
      </c>
      <c r="G44" s="376">
        <v>5427152.8099999996</v>
      </c>
      <c r="H44" s="794"/>
    </row>
    <row r="45" spans="1:8" x14ac:dyDescent="0.2">
      <c r="A45" s="350"/>
      <c r="B45" s="359"/>
      <c r="C45" s="359"/>
      <c r="D45" s="346"/>
      <c r="E45" s="359" t="s">
        <v>103</v>
      </c>
      <c r="F45" s="351"/>
      <c r="G45" s="352"/>
    </row>
    <row r="46" spans="1:8" x14ac:dyDescent="0.2">
      <c r="A46" s="350"/>
      <c r="B46" s="359"/>
      <c r="C46" s="359"/>
      <c r="D46" s="346"/>
      <c r="E46" s="359" t="s">
        <v>104</v>
      </c>
      <c r="F46" s="354"/>
      <c r="G46" s="356"/>
    </row>
    <row r="47" spans="1:8" ht="22.5" x14ac:dyDescent="0.2">
      <c r="A47" s="350"/>
      <c r="B47" s="359"/>
      <c r="C47" s="359"/>
      <c r="D47" s="346"/>
      <c r="E47" s="359" t="s">
        <v>105</v>
      </c>
      <c r="F47" s="354"/>
      <c r="G47" s="356"/>
    </row>
    <row r="48" spans="1:8" ht="21" x14ac:dyDescent="0.2">
      <c r="A48" s="350"/>
      <c r="B48" s="359"/>
      <c r="C48" s="359"/>
      <c r="D48" s="346"/>
      <c r="E48" s="391" t="s">
        <v>106</v>
      </c>
      <c r="F48" s="357"/>
      <c r="G48" s="358"/>
    </row>
    <row r="49" spans="1:7" x14ac:dyDescent="0.2">
      <c r="A49" s="363"/>
      <c r="B49" s="359"/>
      <c r="C49" s="359"/>
      <c r="D49" s="364"/>
      <c r="E49" s="359" t="s">
        <v>107</v>
      </c>
      <c r="F49" s="365"/>
      <c r="G49" s="366"/>
    </row>
    <row r="50" spans="1:7" x14ac:dyDescent="0.2">
      <c r="A50" s="392"/>
      <c r="B50" s="375"/>
      <c r="C50" s="375"/>
      <c r="D50" s="375"/>
      <c r="E50" s="359" t="s">
        <v>108</v>
      </c>
      <c r="F50" s="393"/>
      <c r="G50" s="394"/>
    </row>
    <row r="51" spans="1:7" x14ac:dyDescent="0.2">
      <c r="A51" s="392"/>
      <c r="B51" s="375"/>
      <c r="C51" s="375"/>
      <c r="D51" s="375"/>
      <c r="E51" s="364"/>
      <c r="F51" s="393"/>
      <c r="G51" s="394"/>
    </row>
    <row r="52" spans="1:7" x14ac:dyDescent="0.2">
      <c r="A52" s="392"/>
      <c r="B52" s="375"/>
      <c r="C52" s="375"/>
      <c r="D52" s="375"/>
      <c r="E52" s="355" t="s">
        <v>109</v>
      </c>
      <c r="F52" s="393">
        <f>SUM(F43:F51)</f>
        <v>670530523.08000004</v>
      </c>
      <c r="G52" s="394">
        <f>SUM(G43:G51)</f>
        <v>264497335.03999999</v>
      </c>
    </row>
    <row r="53" spans="1:7" x14ac:dyDescent="0.2">
      <c r="A53" s="392"/>
      <c r="B53" s="375"/>
      <c r="C53" s="375"/>
      <c r="D53" s="375"/>
      <c r="E53" s="355"/>
      <c r="F53" s="393"/>
      <c r="G53" s="394"/>
    </row>
    <row r="54" spans="1:7" ht="21" x14ac:dyDescent="0.2">
      <c r="A54" s="392"/>
      <c r="B54" s="375"/>
      <c r="C54" s="375"/>
      <c r="D54" s="375"/>
      <c r="E54" s="349" t="s">
        <v>110</v>
      </c>
      <c r="F54" s="395">
        <f>+F52+F18</f>
        <v>874169609.98000002</v>
      </c>
      <c r="G54" s="396">
        <f>+G52+G18</f>
        <v>384881765.28999996</v>
      </c>
    </row>
    <row r="55" spans="1:7" ht="12" thickBot="1" x14ac:dyDescent="0.25">
      <c r="A55" s="397"/>
      <c r="B55" s="398"/>
      <c r="C55" s="398"/>
      <c r="D55" s="398"/>
      <c r="E55" s="399"/>
      <c r="F55" s="398"/>
      <c r="G55" s="400"/>
    </row>
    <row r="62" spans="1:7" ht="12" x14ac:dyDescent="0.2">
      <c r="A62" s="721" t="s">
        <v>1834</v>
      </c>
      <c r="B62" s="722" t="s">
        <v>1830</v>
      </c>
      <c r="C62" s="722"/>
      <c r="D62" s="723"/>
      <c r="E62" s="724"/>
    </row>
    <row r="63" spans="1:7" ht="12" x14ac:dyDescent="0.2">
      <c r="A63" s="721" t="s">
        <v>1831</v>
      </c>
      <c r="B63" s="722" t="s">
        <v>1832</v>
      </c>
      <c r="C63" s="722"/>
      <c r="D63" s="722"/>
      <c r="E63" s="721"/>
    </row>
    <row r="64" spans="1:7" ht="12" x14ac:dyDescent="0.2">
      <c r="A64" s="724"/>
      <c r="B64" s="723"/>
      <c r="C64" s="723"/>
      <c r="D64" s="723"/>
      <c r="E64" s="724"/>
    </row>
    <row r="65" spans="1:5" ht="12" x14ac:dyDescent="0.2">
      <c r="A65" s="719" t="s">
        <v>1833</v>
      </c>
      <c r="B65" s="723"/>
      <c r="C65" s="723"/>
      <c r="D65" s="723"/>
      <c r="E65" s="724"/>
    </row>
    <row r="66" spans="1:5" ht="12" x14ac:dyDescent="0.2">
      <c r="A66" s="720" t="s">
        <v>1835</v>
      </c>
      <c r="B66" s="723"/>
      <c r="C66" s="723"/>
      <c r="D66" s="723"/>
      <c r="E66" s="724"/>
    </row>
  </sheetData>
  <autoFilter ref="A1:G49"/>
  <pageMargins left="0.3" right="0.15748031496062992" top="0.39370078740157483" bottom="0.19685039370078741" header="0.31496062992125984" footer="0.31496062992125984"/>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73"/>
  <sheetViews>
    <sheetView topLeftCell="B37" workbookViewId="0">
      <selection activeCell="G54" sqref="G54"/>
    </sheetView>
  </sheetViews>
  <sheetFormatPr baseColWidth="10" defaultRowHeight="15" x14ac:dyDescent="0.25"/>
  <cols>
    <col min="1" max="1" width="2.85546875" style="109" customWidth="1"/>
    <col min="2" max="2" width="37.7109375" style="109" customWidth="1"/>
    <col min="3" max="3" width="15.28515625" style="472" customWidth="1"/>
    <col min="4" max="4" width="14.7109375" style="472" customWidth="1"/>
    <col min="5" max="5" width="15.7109375" style="472" customWidth="1"/>
    <col min="6" max="6" width="15.140625" style="472" customWidth="1"/>
    <col min="7" max="9" width="18.28515625" style="472" customWidth="1"/>
    <col min="10" max="10" width="14.28515625" style="472" customWidth="1"/>
    <col min="11" max="11" width="13.7109375" style="472" customWidth="1"/>
    <col min="12" max="12" width="15.140625" style="45" bestFit="1" customWidth="1"/>
    <col min="13" max="16384" width="11.42578125" style="45"/>
  </cols>
  <sheetData>
    <row r="1" spans="1:11" s="71" customFormat="1" x14ac:dyDescent="0.25">
      <c r="A1" s="968" t="s">
        <v>167</v>
      </c>
      <c r="B1" s="968"/>
      <c r="C1" s="968"/>
      <c r="D1" s="968"/>
      <c r="E1" s="968"/>
      <c r="F1" s="968"/>
      <c r="G1" s="968"/>
      <c r="H1" s="968"/>
      <c r="I1" s="968"/>
      <c r="J1" s="968"/>
      <c r="K1" s="968"/>
    </row>
    <row r="2" spans="1:11" s="72" customFormat="1" ht="15.75" x14ac:dyDescent="0.25">
      <c r="A2" s="968" t="s">
        <v>152</v>
      </c>
      <c r="B2" s="968"/>
      <c r="C2" s="968"/>
      <c r="D2" s="968"/>
      <c r="E2" s="968"/>
      <c r="F2" s="968"/>
      <c r="G2" s="968"/>
      <c r="H2" s="968"/>
      <c r="I2" s="968"/>
      <c r="J2" s="968"/>
      <c r="K2" s="968"/>
    </row>
    <row r="3" spans="1:11" s="72" customFormat="1" ht="15.75" x14ac:dyDescent="0.25">
      <c r="A3" s="968" t="s">
        <v>599</v>
      </c>
      <c r="B3" s="968"/>
      <c r="C3" s="968"/>
      <c r="D3" s="968"/>
      <c r="E3" s="968"/>
      <c r="F3" s="968"/>
      <c r="G3" s="968"/>
      <c r="H3" s="968"/>
      <c r="I3" s="968"/>
      <c r="J3" s="968"/>
      <c r="K3" s="440"/>
    </row>
    <row r="4" spans="1:11" s="72" customFormat="1" ht="15.75" x14ac:dyDescent="0.25">
      <c r="A4" s="968" t="s">
        <v>1842</v>
      </c>
      <c r="B4" s="968"/>
      <c r="C4" s="968"/>
      <c r="D4" s="968"/>
      <c r="E4" s="968"/>
      <c r="F4" s="968"/>
      <c r="G4" s="968"/>
      <c r="H4" s="968"/>
      <c r="I4" s="968"/>
      <c r="J4" s="968"/>
      <c r="K4" s="968"/>
    </row>
    <row r="5" spans="1:11" s="73" customFormat="1" ht="15.75" thickBot="1" x14ac:dyDescent="0.3">
      <c r="A5" s="969" t="s">
        <v>122</v>
      </c>
      <c r="B5" s="969"/>
      <c r="C5" s="969"/>
      <c r="D5" s="969"/>
      <c r="E5" s="969"/>
      <c r="F5" s="969"/>
      <c r="G5" s="969"/>
      <c r="H5" s="969"/>
      <c r="I5" s="969"/>
      <c r="J5" s="969"/>
      <c r="K5" s="969"/>
    </row>
    <row r="6" spans="1:11" s="88" customFormat="1" ht="62.25" customHeight="1" x14ac:dyDescent="0.25">
      <c r="A6" s="993" t="s">
        <v>153</v>
      </c>
      <c r="B6" s="994"/>
      <c r="C6" s="441" t="s">
        <v>212</v>
      </c>
      <c r="D6" s="441" t="s">
        <v>216</v>
      </c>
      <c r="E6" s="441" t="s">
        <v>213</v>
      </c>
      <c r="F6" s="442" t="s">
        <v>1353</v>
      </c>
      <c r="G6" s="442" t="s">
        <v>1354</v>
      </c>
      <c r="H6" s="443" t="s">
        <v>1355</v>
      </c>
      <c r="I6" s="443" t="s">
        <v>1356</v>
      </c>
      <c r="J6" s="444" t="s">
        <v>203</v>
      </c>
      <c r="K6" s="444" t="s">
        <v>219</v>
      </c>
    </row>
    <row r="7" spans="1:11" s="88" customFormat="1" ht="15.75" thickBot="1" x14ac:dyDescent="0.3">
      <c r="A7" s="995"/>
      <c r="B7" s="996"/>
      <c r="C7" s="445" t="s">
        <v>193</v>
      </c>
      <c r="D7" s="445" t="s">
        <v>194</v>
      </c>
      <c r="E7" s="445" t="s">
        <v>154</v>
      </c>
      <c r="F7" s="446" t="s">
        <v>195</v>
      </c>
      <c r="G7" s="446" t="s">
        <v>196</v>
      </c>
      <c r="H7" s="447" t="s">
        <v>1357</v>
      </c>
      <c r="I7" s="447" t="s">
        <v>1358</v>
      </c>
      <c r="J7" s="448" t="s">
        <v>1359</v>
      </c>
      <c r="K7" s="448" t="s">
        <v>1360</v>
      </c>
    </row>
    <row r="8" spans="1:11" s="88" customFormat="1" x14ac:dyDescent="0.25">
      <c r="A8" s="138"/>
      <c r="B8" s="139" t="s">
        <v>214</v>
      </c>
      <c r="C8" s="449"/>
      <c r="D8" s="449"/>
      <c r="E8" s="449"/>
      <c r="F8" s="449"/>
      <c r="G8" s="449"/>
      <c r="H8" s="449"/>
      <c r="I8" s="449"/>
      <c r="J8" s="450"/>
      <c r="K8" s="444"/>
    </row>
    <row r="9" spans="1:11" s="88" customFormat="1" x14ac:dyDescent="0.25">
      <c r="A9" s="138"/>
      <c r="B9" s="139"/>
      <c r="C9" s="449"/>
      <c r="D9" s="449"/>
      <c r="E9" s="449"/>
      <c r="F9" s="449"/>
      <c r="G9" s="449"/>
      <c r="H9" s="449"/>
      <c r="I9" s="449"/>
      <c r="J9" s="450"/>
      <c r="K9" s="450"/>
    </row>
    <row r="10" spans="1:11" ht="17.100000000000001" customHeight="1" x14ac:dyDescent="0.25">
      <c r="A10" s="93">
        <v>1</v>
      </c>
      <c r="B10" s="94" t="s">
        <v>3</v>
      </c>
      <c r="C10" s="451"/>
      <c r="D10" s="451"/>
      <c r="E10" s="451"/>
      <c r="F10" s="451"/>
      <c r="G10" s="451"/>
      <c r="H10" s="451"/>
      <c r="I10" s="451"/>
      <c r="J10" s="452"/>
      <c r="K10" s="453"/>
    </row>
    <row r="11" spans="1:11" ht="17.100000000000001" customHeight="1" x14ac:dyDescent="0.25">
      <c r="A11" s="93">
        <v>2</v>
      </c>
      <c r="B11" s="94" t="s">
        <v>4</v>
      </c>
      <c r="C11" s="451"/>
      <c r="D11" s="451"/>
      <c r="E11" s="451"/>
      <c r="F11" s="451"/>
      <c r="G11" s="451"/>
      <c r="H11" s="451"/>
      <c r="I11" s="451"/>
      <c r="J11" s="452"/>
      <c r="K11" s="453"/>
    </row>
    <row r="12" spans="1:11" ht="17.100000000000001" customHeight="1" x14ac:dyDescent="0.25">
      <c r="A12" s="93">
        <v>3</v>
      </c>
      <c r="B12" s="94" t="s">
        <v>197</v>
      </c>
      <c r="C12" s="451"/>
      <c r="D12" s="451"/>
      <c r="E12" s="451"/>
      <c r="F12" s="451"/>
      <c r="G12" s="451"/>
      <c r="H12" s="451"/>
      <c r="I12" s="451"/>
      <c r="J12" s="452"/>
      <c r="K12" s="453"/>
    </row>
    <row r="13" spans="1:11" ht="17.100000000000001" customHeight="1" x14ac:dyDescent="0.25">
      <c r="A13" s="93">
        <v>4</v>
      </c>
      <c r="B13" s="94" t="s">
        <v>6</v>
      </c>
      <c r="C13" s="451"/>
      <c r="D13" s="451"/>
      <c r="E13" s="451"/>
      <c r="F13" s="451"/>
      <c r="G13" s="451"/>
      <c r="H13" s="451"/>
      <c r="I13" s="451"/>
      <c r="J13" s="452"/>
      <c r="K13" s="453"/>
    </row>
    <row r="14" spans="1:11" ht="17.100000000000001" customHeight="1" x14ac:dyDescent="0.25">
      <c r="A14" s="93">
        <v>5</v>
      </c>
      <c r="B14" s="94" t="s">
        <v>198</v>
      </c>
      <c r="C14" s="451"/>
      <c r="D14" s="451"/>
      <c r="E14" s="451"/>
      <c r="F14" s="451"/>
      <c r="G14" s="451"/>
      <c r="H14" s="451"/>
      <c r="I14" s="451"/>
      <c r="J14" s="452"/>
      <c r="K14" s="453"/>
    </row>
    <row r="15" spans="1:11" ht="17.100000000000001" customHeight="1" x14ac:dyDescent="0.25">
      <c r="A15" s="93"/>
      <c r="B15" s="94" t="s">
        <v>155</v>
      </c>
      <c r="C15" s="451"/>
      <c r="D15" s="451"/>
      <c r="E15" s="451"/>
      <c r="F15" s="451"/>
      <c r="G15" s="451"/>
      <c r="H15" s="451"/>
      <c r="I15" s="451"/>
      <c r="J15" s="452"/>
      <c r="K15" s="453"/>
    </row>
    <row r="16" spans="1:11" ht="17.100000000000001" customHeight="1" x14ac:dyDescent="0.25">
      <c r="A16" s="93"/>
      <c r="B16" s="94" t="s">
        <v>156</v>
      </c>
      <c r="C16" s="451"/>
      <c r="D16" s="451"/>
      <c r="E16" s="451"/>
      <c r="F16" s="451"/>
      <c r="G16" s="451" t="s">
        <v>168</v>
      </c>
      <c r="H16" s="451"/>
      <c r="I16" s="451"/>
      <c r="J16" s="452"/>
      <c r="K16" s="453"/>
    </row>
    <row r="17" spans="1:12" ht="17.100000000000001" customHeight="1" x14ac:dyDescent="0.25">
      <c r="A17" s="93">
        <v>6</v>
      </c>
      <c r="B17" s="94" t="s">
        <v>199</v>
      </c>
      <c r="C17" s="451"/>
      <c r="D17" s="451"/>
      <c r="E17" s="451"/>
      <c r="F17" s="451"/>
      <c r="G17" s="451"/>
      <c r="H17" s="451"/>
      <c r="I17" s="451"/>
      <c r="J17" s="452"/>
      <c r="K17" s="453"/>
    </row>
    <row r="18" spans="1:12" ht="17.100000000000001" customHeight="1" x14ac:dyDescent="0.25">
      <c r="A18" s="93"/>
      <c r="B18" s="94" t="s">
        <v>155</v>
      </c>
      <c r="C18" s="451"/>
      <c r="D18" s="451"/>
      <c r="E18" s="451"/>
      <c r="F18" s="451"/>
      <c r="G18" s="451"/>
      <c r="H18" s="451"/>
      <c r="I18" s="451"/>
      <c r="J18" s="452"/>
      <c r="K18" s="453"/>
    </row>
    <row r="19" spans="1:12" ht="17.100000000000001" customHeight="1" x14ac:dyDescent="0.25">
      <c r="A19" s="93"/>
      <c r="B19" s="94" t="s">
        <v>156</v>
      </c>
      <c r="C19" s="451"/>
      <c r="D19" s="451"/>
      <c r="E19" s="451"/>
      <c r="F19" s="451"/>
      <c r="G19" s="451"/>
      <c r="H19" s="451"/>
      <c r="I19" s="451"/>
      <c r="J19" s="452"/>
      <c r="K19" s="453"/>
    </row>
    <row r="20" spans="1:12" ht="17.100000000000001" customHeight="1" x14ac:dyDescent="0.25">
      <c r="A20" s="93">
        <v>7</v>
      </c>
      <c r="B20" s="94" t="s">
        <v>200</v>
      </c>
      <c r="C20" s="451"/>
      <c r="D20" s="451"/>
      <c r="E20" s="451"/>
      <c r="F20" s="451"/>
      <c r="G20" s="451"/>
      <c r="H20" s="451"/>
      <c r="I20" s="451"/>
      <c r="J20" s="452"/>
      <c r="K20" s="453"/>
    </row>
    <row r="21" spans="1:12" ht="17.100000000000001" customHeight="1" x14ac:dyDescent="0.25">
      <c r="A21" s="93">
        <v>8</v>
      </c>
      <c r="B21" s="94" t="s">
        <v>11</v>
      </c>
      <c r="C21" s="475"/>
      <c r="D21" s="475"/>
      <c r="E21" s="475"/>
      <c r="F21" s="475"/>
      <c r="G21" s="475"/>
      <c r="H21" s="475"/>
      <c r="I21" s="475"/>
      <c r="J21" s="475"/>
      <c r="K21" s="475"/>
    </row>
    <row r="22" spans="1:12" ht="25.5" x14ac:dyDescent="0.25">
      <c r="A22" s="93">
        <v>9</v>
      </c>
      <c r="B22" s="94" t="s">
        <v>458</v>
      </c>
      <c r="C22" s="451">
        <v>81500000</v>
      </c>
      <c r="D22" s="451">
        <v>419334259.11000001</v>
      </c>
      <c r="E22" s="451">
        <f>+C22+D22</f>
        <v>500834259.11000001</v>
      </c>
      <c r="F22" s="451">
        <v>419321438.56999999</v>
      </c>
      <c r="G22" s="451">
        <v>419321438.56999999</v>
      </c>
      <c r="H22" s="451">
        <f>+G22-241658258.03</f>
        <v>177663180.53999999</v>
      </c>
      <c r="I22" s="451">
        <v>177663180.53999999</v>
      </c>
      <c r="J22" s="452">
        <f>+G22-C22</f>
        <v>337821438.56999999</v>
      </c>
      <c r="K22" s="473">
        <f>+G22/C22</f>
        <v>5.1450483260122697</v>
      </c>
      <c r="L22" s="485"/>
    </row>
    <row r="23" spans="1:12" ht="25.5" x14ac:dyDescent="0.25">
      <c r="A23" s="93"/>
      <c r="B23" s="94" t="s">
        <v>459</v>
      </c>
      <c r="C23" s="451">
        <v>326696119</v>
      </c>
      <c r="D23" s="451">
        <v>5672414.8600000003</v>
      </c>
      <c r="E23" s="451">
        <f>+C23+D23</f>
        <v>332368533.86000001</v>
      </c>
      <c r="F23" s="451">
        <v>228841416.77000001</v>
      </c>
      <c r="G23" s="451">
        <v>228841416.77000001</v>
      </c>
      <c r="H23" s="451">
        <f>+G23-182919332.57</f>
        <v>45922084.200000018</v>
      </c>
      <c r="I23" s="451">
        <v>45922084.200000018</v>
      </c>
      <c r="J23" s="452">
        <f>+G23-C23</f>
        <v>-97854702.229999989</v>
      </c>
      <c r="K23" s="473">
        <f>+G23/C23</f>
        <v>0.70047179461596243</v>
      </c>
      <c r="L23" s="485"/>
    </row>
    <row r="24" spans="1:12" ht="17.100000000000001" customHeight="1" thickBot="1" x14ac:dyDescent="0.3">
      <c r="A24" s="95">
        <v>10</v>
      </c>
      <c r="B24" s="96" t="s">
        <v>201</v>
      </c>
      <c r="C24" s="454"/>
      <c r="D24" s="454"/>
      <c r="E24" s="454"/>
      <c r="F24" s="454"/>
      <c r="G24" s="454"/>
      <c r="H24" s="454"/>
      <c r="I24" s="454"/>
      <c r="J24" s="455"/>
      <c r="K24" s="474"/>
    </row>
    <row r="25" spans="1:12" ht="28.5" customHeight="1" thickBot="1" x14ac:dyDescent="0.3">
      <c r="A25" s="991" t="s">
        <v>118</v>
      </c>
      <c r="B25" s="992"/>
      <c r="C25" s="454">
        <f t="shared" ref="C25:I25" si="0">SUM(C22:C24)</f>
        <v>408196119</v>
      </c>
      <c r="D25" s="454">
        <f t="shared" si="0"/>
        <v>425006673.97000003</v>
      </c>
      <c r="E25" s="454">
        <f t="shared" si="0"/>
        <v>833202792.97000003</v>
      </c>
      <c r="F25" s="454">
        <f t="shared" si="0"/>
        <v>648162855.34000003</v>
      </c>
      <c r="G25" s="454">
        <f t="shared" si="0"/>
        <v>648162855.34000003</v>
      </c>
      <c r="H25" s="454">
        <f t="shared" si="0"/>
        <v>223585264.74000001</v>
      </c>
      <c r="I25" s="454">
        <f t="shared" si="0"/>
        <v>223585264.74000001</v>
      </c>
      <c r="J25" s="454">
        <f>+G25-C25</f>
        <v>239966736.34000003</v>
      </c>
      <c r="K25" s="473">
        <f>+G25/C25</f>
        <v>1.5878711853700893</v>
      </c>
    </row>
    <row r="26" spans="1:12" ht="22.5" customHeight="1" thickBot="1" x14ac:dyDescent="0.3">
      <c r="A26" s="135"/>
      <c r="B26" s="135"/>
      <c r="C26" s="456"/>
      <c r="D26" s="456"/>
      <c r="E26" s="456"/>
      <c r="F26" s="457"/>
      <c r="G26" s="458" t="s">
        <v>1361</v>
      </c>
      <c r="H26" s="459"/>
      <c r="I26" s="459"/>
      <c r="J26" s="460">
        <f>+G22-C22</f>
        <v>337821438.56999999</v>
      </c>
      <c r="K26" s="461"/>
      <c r="L26" s="830"/>
    </row>
    <row r="27" spans="1:12" ht="22.5" customHeight="1" x14ac:dyDescent="0.25">
      <c r="A27" s="143"/>
      <c r="B27" s="143"/>
      <c r="C27" s="462"/>
      <c r="D27" s="462"/>
      <c r="E27" s="462"/>
      <c r="F27" s="463"/>
      <c r="G27" s="464"/>
      <c r="H27" s="464"/>
      <c r="I27" s="464"/>
      <c r="J27" s="457"/>
      <c r="K27" s="464"/>
    </row>
    <row r="28" spans="1:12" ht="22.5" customHeight="1" x14ac:dyDescent="0.25">
      <c r="A28" s="143"/>
      <c r="B28" s="143"/>
      <c r="C28" s="462"/>
      <c r="D28" s="462"/>
      <c r="E28" s="462"/>
      <c r="F28" s="463"/>
      <c r="G28" s="464"/>
      <c r="H28" s="464"/>
      <c r="I28" s="464"/>
      <c r="J28" s="463"/>
      <c r="K28" s="464"/>
    </row>
    <row r="29" spans="1:12" ht="22.5" customHeight="1" x14ac:dyDescent="0.25">
      <c r="A29" s="143"/>
      <c r="B29" s="143"/>
      <c r="C29" s="462"/>
      <c r="D29" s="462"/>
      <c r="E29" s="462"/>
      <c r="F29" s="463"/>
      <c r="G29" s="464"/>
      <c r="H29" s="464"/>
      <c r="I29" s="464"/>
      <c r="J29" s="463" t="s">
        <v>348</v>
      </c>
      <c r="K29" s="464"/>
    </row>
    <row r="30" spans="1:12" ht="22.5" customHeight="1" x14ac:dyDescent="0.25">
      <c r="A30" s="143"/>
      <c r="B30" s="143"/>
      <c r="C30" s="462"/>
      <c r="D30" s="462"/>
      <c r="E30" s="462"/>
      <c r="F30" s="463"/>
      <c r="G30" s="464"/>
      <c r="H30" s="464"/>
      <c r="I30" s="464"/>
      <c r="J30" s="463"/>
      <c r="K30" s="464"/>
    </row>
    <row r="31" spans="1:12" ht="22.5" customHeight="1" x14ac:dyDescent="0.25">
      <c r="A31" s="143"/>
      <c r="B31" s="143"/>
      <c r="C31" s="462"/>
      <c r="D31" s="462"/>
      <c r="E31" s="462"/>
      <c r="F31" s="463"/>
      <c r="G31" s="464"/>
      <c r="H31" s="464"/>
      <c r="I31" s="464"/>
      <c r="J31" s="463"/>
      <c r="K31" s="464"/>
    </row>
    <row r="32" spans="1:12" ht="22.5" customHeight="1" x14ac:dyDescent="0.25">
      <c r="A32" s="143"/>
      <c r="B32" s="143"/>
      <c r="C32" s="462"/>
      <c r="D32" s="462"/>
      <c r="E32" s="462"/>
      <c r="F32" s="463"/>
      <c r="G32" s="464"/>
      <c r="H32" s="464"/>
      <c r="I32" s="464"/>
      <c r="J32" s="463"/>
      <c r="K32" s="464"/>
    </row>
    <row r="33" spans="1:11" ht="22.5" customHeight="1" x14ac:dyDescent="0.25">
      <c r="A33" s="143"/>
      <c r="B33" s="143"/>
      <c r="C33" s="462"/>
      <c r="D33" s="462"/>
      <c r="E33" s="462"/>
      <c r="F33" s="463"/>
      <c r="G33" s="464"/>
      <c r="H33" s="464"/>
      <c r="I33" s="464"/>
      <c r="J33" s="463"/>
      <c r="K33" s="464"/>
    </row>
    <row r="34" spans="1:11" s="439" customFormat="1" ht="22.5" customHeight="1" x14ac:dyDescent="0.25">
      <c r="A34" s="143"/>
      <c r="B34" s="143"/>
      <c r="C34" s="462"/>
      <c r="D34" s="462"/>
      <c r="E34" s="462"/>
      <c r="F34" s="463"/>
      <c r="G34" s="464"/>
      <c r="H34" s="464"/>
      <c r="I34" s="464"/>
      <c r="J34" s="463"/>
      <c r="K34" s="464"/>
    </row>
    <row r="35" spans="1:11" ht="9" customHeight="1" thickBot="1" x14ac:dyDescent="0.3">
      <c r="A35" s="143"/>
      <c r="B35" s="143"/>
      <c r="C35" s="462"/>
      <c r="D35" s="462"/>
      <c r="E35" s="462"/>
      <c r="F35" s="463"/>
      <c r="G35" s="464"/>
      <c r="H35" s="464"/>
      <c r="I35" s="464"/>
      <c r="J35" s="463"/>
      <c r="K35" s="464"/>
    </row>
    <row r="36" spans="1:11" s="88" customFormat="1" ht="62.25" customHeight="1" x14ac:dyDescent="0.25">
      <c r="A36" s="993" t="s">
        <v>153</v>
      </c>
      <c r="B36" s="994"/>
      <c r="C36" s="441" t="s">
        <v>212</v>
      </c>
      <c r="D36" s="441" t="s">
        <v>216</v>
      </c>
      <c r="E36" s="441" t="s">
        <v>213</v>
      </c>
      <c r="F36" s="443" t="s">
        <v>1353</v>
      </c>
      <c r="G36" s="443" t="s">
        <v>1354</v>
      </c>
      <c r="H36" s="443" t="s">
        <v>1355</v>
      </c>
      <c r="I36" s="443" t="s">
        <v>1356</v>
      </c>
      <c r="J36" s="444" t="s">
        <v>203</v>
      </c>
      <c r="K36" s="444" t="s">
        <v>219</v>
      </c>
    </row>
    <row r="37" spans="1:11" s="88" customFormat="1" ht="15.75" thickBot="1" x14ac:dyDescent="0.3">
      <c r="A37" s="995"/>
      <c r="B37" s="996"/>
      <c r="C37" s="445" t="s">
        <v>193</v>
      </c>
      <c r="D37" s="445" t="s">
        <v>194</v>
      </c>
      <c r="E37" s="445" t="s">
        <v>154</v>
      </c>
      <c r="F37" s="447" t="s">
        <v>195</v>
      </c>
      <c r="G37" s="447" t="s">
        <v>196</v>
      </c>
      <c r="H37" s="447" t="s">
        <v>1357</v>
      </c>
      <c r="I37" s="447" t="s">
        <v>1358</v>
      </c>
      <c r="J37" s="448" t="s">
        <v>1359</v>
      </c>
      <c r="K37" s="448" t="s">
        <v>1360</v>
      </c>
    </row>
    <row r="38" spans="1:11" s="100" customFormat="1" ht="17.100000000000001" customHeight="1" x14ac:dyDescent="0.25">
      <c r="A38" s="98" t="s">
        <v>204</v>
      </c>
      <c r="B38" s="99"/>
      <c r="C38" s="465"/>
      <c r="D38" s="465"/>
      <c r="E38" s="465"/>
      <c r="F38" s="465"/>
      <c r="G38" s="465"/>
      <c r="H38" s="465"/>
      <c r="I38" s="465"/>
      <c r="J38" s="466"/>
      <c r="K38" s="466"/>
    </row>
    <row r="39" spans="1:11" s="100" customFormat="1" ht="17.100000000000001" customHeight="1" x14ac:dyDescent="0.25">
      <c r="A39" s="101" t="s">
        <v>205</v>
      </c>
      <c r="B39" s="102"/>
      <c r="C39" s="467"/>
      <c r="D39" s="467"/>
      <c r="E39" s="467"/>
      <c r="F39" s="467"/>
      <c r="G39" s="467"/>
      <c r="H39" s="467"/>
      <c r="I39" s="467"/>
      <c r="J39" s="468"/>
      <c r="K39" s="468"/>
    </row>
    <row r="40" spans="1:11" s="100" customFormat="1" ht="17.100000000000001" customHeight="1" x14ac:dyDescent="0.25">
      <c r="A40" s="101" t="s">
        <v>197</v>
      </c>
      <c r="B40" s="102"/>
      <c r="C40" s="467"/>
      <c r="D40" s="467"/>
      <c r="E40" s="467"/>
      <c r="F40" s="467"/>
      <c r="G40" s="467"/>
      <c r="H40" s="467"/>
      <c r="I40" s="467"/>
      <c r="J40" s="468"/>
      <c r="K40" s="468"/>
    </row>
    <row r="41" spans="1:11" s="100" customFormat="1" ht="27" customHeight="1" x14ac:dyDescent="0.25">
      <c r="A41" s="989" t="s">
        <v>6</v>
      </c>
      <c r="B41" s="990"/>
      <c r="C41" s="467"/>
      <c r="D41" s="467"/>
      <c r="E41" s="467"/>
      <c r="F41" s="467"/>
      <c r="G41" s="467"/>
      <c r="H41" s="467"/>
      <c r="I41" s="467"/>
      <c r="J41" s="468"/>
      <c r="K41" s="468"/>
    </row>
    <row r="42" spans="1:11" s="100" customFormat="1" ht="17.100000000000001" customHeight="1" x14ac:dyDescent="0.25">
      <c r="A42" s="101" t="s">
        <v>198</v>
      </c>
      <c r="B42" s="102"/>
      <c r="C42" s="467"/>
      <c r="D42" s="467"/>
      <c r="E42" s="467"/>
      <c r="F42" s="467"/>
      <c r="G42" s="467"/>
      <c r="H42" s="467"/>
      <c r="I42" s="467"/>
      <c r="J42" s="468"/>
      <c r="K42" s="468"/>
    </row>
    <row r="43" spans="1:11" s="100" customFormat="1" ht="17.100000000000001" customHeight="1" x14ac:dyDescent="0.25">
      <c r="A43" s="101" t="s">
        <v>206</v>
      </c>
      <c r="B43" s="102"/>
      <c r="C43" s="467"/>
      <c r="D43" s="467"/>
      <c r="E43" s="467"/>
      <c r="F43" s="467"/>
      <c r="G43" s="467"/>
      <c r="H43" s="467"/>
      <c r="I43" s="467"/>
      <c r="J43" s="468"/>
      <c r="K43" s="468"/>
    </row>
    <row r="44" spans="1:11" s="100" customFormat="1" ht="17.100000000000001" customHeight="1" x14ac:dyDescent="0.25">
      <c r="A44" s="101" t="s">
        <v>207</v>
      </c>
      <c r="B44" s="102"/>
      <c r="C44" s="467"/>
      <c r="D44" s="467"/>
      <c r="E44" s="467"/>
      <c r="F44" s="467"/>
      <c r="G44" s="467"/>
      <c r="H44" s="467"/>
      <c r="I44" s="467"/>
      <c r="J44" s="468"/>
      <c r="K44" s="468"/>
    </row>
    <row r="45" spans="1:11" ht="17.100000000000001" customHeight="1" x14ac:dyDescent="0.25">
      <c r="A45" s="989" t="s">
        <v>199</v>
      </c>
      <c r="B45" s="990"/>
      <c r="C45" s="451"/>
      <c r="D45" s="451"/>
      <c r="E45" s="451"/>
      <c r="F45" s="451"/>
      <c r="G45" s="451"/>
      <c r="H45" s="451"/>
      <c r="I45" s="451"/>
      <c r="J45" s="452"/>
      <c r="K45" s="453"/>
    </row>
    <row r="46" spans="1:11" ht="17.100000000000001" customHeight="1" x14ac:dyDescent="0.25">
      <c r="A46" s="93"/>
      <c r="B46" s="94" t="s">
        <v>155</v>
      </c>
      <c r="C46" s="451"/>
      <c r="D46" s="451"/>
      <c r="E46" s="451"/>
      <c r="F46" s="451"/>
      <c r="G46" s="451"/>
      <c r="H46" s="451"/>
      <c r="I46" s="451"/>
      <c r="J46" s="452"/>
      <c r="K46" s="453"/>
    </row>
    <row r="47" spans="1:11" ht="17.100000000000001" customHeight="1" x14ac:dyDescent="0.25">
      <c r="A47" s="93"/>
      <c r="B47" s="94" t="s">
        <v>156</v>
      </c>
      <c r="C47" s="451"/>
      <c r="D47" s="451"/>
      <c r="E47" s="451"/>
      <c r="F47" s="451"/>
      <c r="G47" s="451"/>
      <c r="H47" s="451"/>
      <c r="I47" s="451"/>
      <c r="J47" s="452"/>
      <c r="K47" s="453"/>
    </row>
    <row r="48" spans="1:11" s="100" customFormat="1" ht="17.100000000000001" customHeight="1" x14ac:dyDescent="0.25">
      <c r="A48" s="101" t="s">
        <v>11</v>
      </c>
      <c r="B48" s="102"/>
      <c r="C48" s="467"/>
      <c r="D48" s="467"/>
      <c r="E48" s="467"/>
      <c r="F48" s="467"/>
      <c r="G48" s="467"/>
      <c r="H48" s="467"/>
      <c r="I48" s="467"/>
      <c r="J48" s="468"/>
      <c r="K48" s="468"/>
    </row>
    <row r="49" spans="1:12" s="100" customFormat="1" ht="27.75" customHeight="1" x14ac:dyDescent="0.25">
      <c r="A49" s="989" t="s">
        <v>162</v>
      </c>
      <c r="B49" s="990"/>
      <c r="C49" s="467"/>
      <c r="D49" s="467"/>
      <c r="E49" s="467"/>
      <c r="F49" s="467"/>
      <c r="G49" s="467"/>
      <c r="H49" s="467"/>
      <c r="I49" s="467"/>
      <c r="J49" s="468"/>
      <c r="K49" s="468"/>
    </row>
    <row r="50" spans="1:12" s="100" customFormat="1" ht="17.100000000000001" customHeight="1" x14ac:dyDescent="0.25">
      <c r="A50" s="103" t="s">
        <v>202</v>
      </c>
      <c r="B50" s="104"/>
      <c r="C50" s="467"/>
      <c r="D50" s="467"/>
      <c r="E50" s="467"/>
      <c r="F50" s="467"/>
      <c r="G50" s="467"/>
      <c r="H50" s="467"/>
      <c r="I50" s="467"/>
      <c r="J50" s="468"/>
      <c r="K50" s="468"/>
    </row>
    <row r="51" spans="1:12" s="100" customFormat="1" ht="17.100000000000001" customHeight="1" x14ac:dyDescent="0.25">
      <c r="A51" s="105" t="s">
        <v>208</v>
      </c>
      <c r="B51" s="106"/>
      <c r="C51" s="467"/>
      <c r="D51" s="467"/>
      <c r="E51" s="467"/>
      <c r="F51" s="467"/>
      <c r="G51" s="467"/>
      <c r="H51" s="467"/>
      <c r="I51" s="467"/>
      <c r="J51" s="468"/>
      <c r="K51" s="468"/>
    </row>
    <row r="52" spans="1:12" s="100" customFormat="1" ht="17.100000000000001" customHeight="1" x14ac:dyDescent="0.25">
      <c r="A52" s="101"/>
      <c r="B52" s="102" t="s">
        <v>209</v>
      </c>
      <c r="C52" s="467"/>
      <c r="D52" s="467"/>
      <c r="E52" s="467"/>
      <c r="F52" s="467"/>
      <c r="G52" s="467"/>
      <c r="H52" s="467"/>
      <c r="I52" s="467"/>
      <c r="J52" s="468"/>
      <c r="K52" s="468"/>
    </row>
    <row r="53" spans="1:12" s="100" customFormat="1" ht="17.100000000000001" customHeight="1" x14ac:dyDescent="0.25">
      <c r="A53" s="101"/>
      <c r="B53" s="102" t="s">
        <v>210</v>
      </c>
      <c r="C53" s="467"/>
      <c r="D53" s="467"/>
      <c r="E53" s="467"/>
      <c r="F53" s="467"/>
      <c r="G53" s="467"/>
      <c r="H53" s="467"/>
      <c r="I53" s="467"/>
      <c r="J53" s="468"/>
      <c r="K53" s="468"/>
    </row>
    <row r="54" spans="1:12" s="100" customFormat="1" ht="29.25" customHeight="1" x14ac:dyDescent="0.25">
      <c r="A54" s="101"/>
      <c r="B54" s="134" t="s">
        <v>460</v>
      </c>
      <c r="C54" s="451">
        <v>81500000</v>
      </c>
      <c r="D54" s="451">
        <v>419334259.11000001</v>
      </c>
      <c r="E54" s="451">
        <f>+C54+D54</f>
        <v>500834259.11000001</v>
      </c>
      <c r="F54" s="451">
        <v>419321438.56999999</v>
      </c>
      <c r="G54" s="451">
        <v>419321438.56999999</v>
      </c>
      <c r="H54" s="451">
        <f>+G54-241658258.03</f>
        <v>177663180.53999999</v>
      </c>
      <c r="I54" s="451">
        <v>177663180.53999999</v>
      </c>
      <c r="J54" s="452">
        <f>+G54-C54</f>
        <v>337821438.56999999</v>
      </c>
      <c r="K54" s="473">
        <f>+G54/C54</f>
        <v>5.1450483260122697</v>
      </c>
    </row>
    <row r="55" spans="1:12" s="100" customFormat="1" ht="29.25" customHeight="1" x14ac:dyDescent="0.25">
      <c r="A55" s="101"/>
      <c r="B55" s="134" t="s">
        <v>461</v>
      </c>
      <c r="C55" s="451">
        <v>326696119</v>
      </c>
      <c r="D55" s="451">
        <v>5672414.8600000003</v>
      </c>
      <c r="E55" s="451">
        <f>+C55+D55</f>
        <v>332368533.86000001</v>
      </c>
      <c r="F55" s="451">
        <v>228841416.77000001</v>
      </c>
      <c r="G55" s="451">
        <v>228841416.77000001</v>
      </c>
      <c r="H55" s="451">
        <f>+G55-182919332.57</f>
        <v>45922084.200000018</v>
      </c>
      <c r="I55" s="451">
        <v>45922084.200000018</v>
      </c>
      <c r="J55" s="452">
        <f>+G55-C55</f>
        <v>-97854702.229999989</v>
      </c>
      <c r="K55" s="473">
        <f>+G55/C55</f>
        <v>0.70047179461596243</v>
      </c>
    </row>
    <row r="56" spans="1:12" s="100" customFormat="1" ht="17.100000000000001" customHeight="1" x14ac:dyDescent="0.25">
      <c r="A56" s="101"/>
      <c r="B56" s="102"/>
      <c r="C56" s="467"/>
      <c r="D56" s="467"/>
      <c r="E56" s="467"/>
      <c r="F56" s="467"/>
      <c r="G56" s="467"/>
      <c r="H56" s="467"/>
      <c r="I56" s="467"/>
      <c r="J56" s="468"/>
      <c r="K56" s="468"/>
    </row>
    <row r="57" spans="1:12" s="100" customFormat="1" ht="17.100000000000001" customHeight="1" x14ac:dyDescent="0.25">
      <c r="A57" s="103" t="s">
        <v>211</v>
      </c>
      <c r="B57" s="104"/>
      <c r="C57" s="467"/>
      <c r="D57" s="467"/>
      <c r="E57" s="467"/>
      <c r="F57" s="467"/>
      <c r="G57" s="467"/>
      <c r="H57" s="467"/>
      <c r="I57" s="467"/>
      <c r="J57" s="468"/>
      <c r="K57" s="468"/>
    </row>
    <row r="58" spans="1:12" s="100" customFormat="1" ht="17.100000000000001" customHeight="1" x14ac:dyDescent="0.25">
      <c r="A58" s="103"/>
      <c r="B58" s="94" t="s">
        <v>201</v>
      </c>
      <c r="C58" s="467"/>
      <c r="D58" s="467"/>
      <c r="E58" s="467"/>
      <c r="F58" s="467"/>
      <c r="G58" s="467"/>
      <c r="H58" s="467"/>
      <c r="I58" s="467"/>
      <c r="J58" s="468"/>
      <c r="K58" s="468"/>
    </row>
    <row r="59" spans="1:12" s="100" customFormat="1" ht="17.100000000000001" customHeight="1" thickBot="1" x14ac:dyDescent="0.3">
      <c r="A59" s="107"/>
      <c r="B59" s="108"/>
      <c r="C59" s="469"/>
      <c r="D59" s="469"/>
      <c r="E59" s="469"/>
      <c r="F59" s="469"/>
      <c r="G59" s="469"/>
      <c r="H59" s="469"/>
      <c r="I59" s="469"/>
      <c r="J59" s="470"/>
      <c r="K59" s="470"/>
    </row>
    <row r="60" spans="1:12" ht="28.5" customHeight="1" thickBot="1" x14ac:dyDescent="0.3">
      <c r="A60" s="991" t="s">
        <v>118</v>
      </c>
      <c r="B60" s="992"/>
      <c r="C60" s="454">
        <f>SUM(C54:C59)</f>
        <v>408196119</v>
      </c>
      <c r="D60" s="454">
        <f>SUM(D54:D59)</f>
        <v>425006673.97000003</v>
      </c>
      <c r="E60" s="454">
        <f>+C60+D60</f>
        <v>833202792.97000003</v>
      </c>
      <c r="F60" s="454">
        <f t="shared" ref="F60:G60" si="1">SUM(F54:F59)</f>
        <v>648162855.34000003</v>
      </c>
      <c r="G60" s="454">
        <f t="shared" si="1"/>
        <v>648162855.34000003</v>
      </c>
      <c r="H60" s="454">
        <f t="shared" ref="H60" si="2">SUM(H54:H59)</f>
        <v>223585264.74000001</v>
      </c>
      <c r="I60" s="454">
        <f t="shared" ref="I60" si="3">SUM(I54:I59)</f>
        <v>223585264.74000001</v>
      </c>
      <c r="J60" s="454">
        <f>+G60-C60</f>
        <v>239966736.34000003</v>
      </c>
      <c r="K60" s="473">
        <f>+G60/C60</f>
        <v>1.5878711853700893</v>
      </c>
      <c r="L60" s="476"/>
    </row>
    <row r="61" spans="1:12" ht="22.5" customHeight="1" thickBot="1" x14ac:dyDescent="0.3">
      <c r="A61" s="135"/>
      <c r="B61" s="135"/>
      <c r="C61" s="456"/>
      <c r="D61" s="456"/>
      <c r="E61" s="456"/>
      <c r="F61" s="471"/>
      <c r="G61" s="458" t="s">
        <v>1361</v>
      </c>
      <c r="H61" s="459"/>
      <c r="I61" s="459"/>
      <c r="J61" s="460">
        <f>+G54-C54</f>
        <v>337821438.56999999</v>
      </c>
      <c r="K61" s="461"/>
      <c r="L61" s="830"/>
    </row>
    <row r="62" spans="1:12" ht="20.25" customHeight="1" x14ac:dyDescent="0.25">
      <c r="A62" s="136">
        <v>1</v>
      </c>
      <c r="B62" s="137" t="s">
        <v>301</v>
      </c>
    </row>
    <row r="63" spans="1:12" x14ac:dyDescent="0.25">
      <c r="B63" s="137" t="s">
        <v>302</v>
      </c>
    </row>
    <row r="64" spans="1:12" x14ac:dyDescent="0.25">
      <c r="A64" s="142"/>
      <c r="B64" s="137" t="s">
        <v>215</v>
      </c>
      <c r="J64" s="472" t="s">
        <v>347</v>
      </c>
    </row>
    <row r="69" spans="2:3" x14ac:dyDescent="0.2">
      <c r="B69" s="721" t="s">
        <v>1834</v>
      </c>
      <c r="C69" s="722" t="s">
        <v>1830</v>
      </c>
    </row>
    <row r="70" spans="2:3" x14ac:dyDescent="0.2">
      <c r="B70" s="721" t="s">
        <v>1831</v>
      </c>
      <c r="C70" s="722" t="s">
        <v>1832</v>
      </c>
    </row>
    <row r="71" spans="2:3" x14ac:dyDescent="0.2">
      <c r="B71" s="724"/>
      <c r="C71" s="723"/>
    </row>
    <row r="72" spans="2:3" x14ac:dyDescent="0.2">
      <c r="B72" s="719" t="s">
        <v>1833</v>
      </c>
      <c r="C72" s="723"/>
    </row>
    <row r="73" spans="2:3" x14ac:dyDescent="0.2">
      <c r="B73" s="720" t="s">
        <v>1835</v>
      </c>
      <c r="C73" s="723"/>
    </row>
  </sheetData>
  <mergeCells count="12">
    <mergeCell ref="A1:K1"/>
    <mergeCell ref="A2:K2"/>
    <mergeCell ref="A4:K4"/>
    <mergeCell ref="A5:K5"/>
    <mergeCell ref="A36:B37"/>
    <mergeCell ref="A49:B49"/>
    <mergeCell ref="A60:B60"/>
    <mergeCell ref="A3:J3"/>
    <mergeCell ref="A45:B45"/>
    <mergeCell ref="A6:B7"/>
    <mergeCell ref="A25:B25"/>
    <mergeCell ref="A41:B41"/>
  </mergeCells>
  <pageMargins left="0.19685039370078741" right="0.15748031496062992" top="0.39370078740157483" bottom="0.56999999999999995" header="0.31496062992125984" footer="0.31496062992125984"/>
  <pageSetup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G35"/>
  <sheetViews>
    <sheetView topLeftCell="A13" workbookViewId="0">
      <selection sqref="A1:D35"/>
    </sheetView>
  </sheetViews>
  <sheetFormatPr baseColWidth="10" defaultRowHeight="14.25" x14ac:dyDescent="0.25"/>
  <cols>
    <col min="1" max="1" width="1.42578125" style="40" customWidth="1"/>
    <col min="2" max="2" width="51.7109375" style="40" customWidth="1"/>
    <col min="3" max="3" width="30.85546875" style="40" customWidth="1"/>
    <col min="4" max="4" width="32.7109375" style="40" customWidth="1"/>
    <col min="5" max="16384" width="11.42578125" style="40"/>
  </cols>
  <sheetData>
    <row r="1" spans="1:7" s="71" customFormat="1" ht="15" x14ac:dyDescent="0.25">
      <c r="A1" s="968" t="s">
        <v>167</v>
      </c>
      <c r="B1" s="968"/>
      <c r="C1" s="968"/>
      <c r="D1" s="968"/>
    </row>
    <row r="2" spans="1:7" s="72" customFormat="1" ht="15.75" x14ac:dyDescent="0.25">
      <c r="A2" s="968" t="s">
        <v>266</v>
      </c>
      <c r="B2" s="968"/>
      <c r="C2" s="968"/>
      <c r="D2" s="968"/>
    </row>
    <row r="3" spans="1:7" s="72" customFormat="1" ht="15.75" x14ac:dyDescent="0.25">
      <c r="A3" s="968" t="s">
        <v>599</v>
      </c>
      <c r="B3" s="968"/>
      <c r="C3" s="968"/>
      <c r="D3" s="968"/>
    </row>
    <row r="4" spans="1:7" s="72" customFormat="1" ht="15.75" x14ac:dyDescent="0.25">
      <c r="A4" s="968" t="s">
        <v>1840</v>
      </c>
      <c r="B4" s="968"/>
      <c r="C4" s="968"/>
      <c r="D4" s="968"/>
      <c r="E4" s="718"/>
      <c r="F4" s="718"/>
      <c r="G4" s="718"/>
    </row>
    <row r="5" spans="1:7" s="73" customFormat="1" ht="15.75" thickBot="1" x14ac:dyDescent="0.3">
      <c r="A5" s="969" t="s">
        <v>122</v>
      </c>
      <c r="B5" s="969"/>
      <c r="C5" s="969"/>
      <c r="D5" s="969"/>
    </row>
    <row r="6" spans="1:7" s="69" customFormat="1" ht="27" customHeight="1" thickBot="1" x14ac:dyDescent="0.3">
      <c r="A6" s="997" t="s">
        <v>251</v>
      </c>
      <c r="B6" s="998"/>
      <c r="C6" s="160"/>
      <c r="D6" s="287">
        <v>648162855.34000003</v>
      </c>
    </row>
    <row r="7" spans="1:7" s="163" customFormat="1" ht="9.75" customHeight="1" x14ac:dyDescent="0.25">
      <c r="A7" s="161"/>
      <c r="B7" s="161"/>
      <c r="C7" s="162"/>
      <c r="D7" s="162"/>
    </row>
    <row r="8" spans="1:7" s="163" customFormat="1" ht="17.25" customHeight="1" thickBot="1" x14ac:dyDescent="0.3">
      <c r="A8" s="165" t="s">
        <v>252</v>
      </c>
      <c r="B8" s="165"/>
      <c r="C8" s="166"/>
      <c r="D8" s="166"/>
    </row>
    <row r="9" spans="1:7" ht="20.100000000000001" customHeight="1" thickBot="1" x14ac:dyDescent="0.3">
      <c r="A9" s="167" t="s">
        <v>253</v>
      </c>
      <c r="B9" s="168"/>
      <c r="C9" s="169"/>
      <c r="D9" s="288">
        <f>+C14</f>
        <v>1990084.84</v>
      </c>
    </row>
    <row r="10" spans="1:7" ht="20.100000000000001" customHeight="1" x14ac:dyDescent="0.25">
      <c r="A10" s="79"/>
      <c r="B10" s="82" t="s">
        <v>14</v>
      </c>
      <c r="C10" s="811"/>
      <c r="D10" s="76"/>
    </row>
    <row r="11" spans="1:7" ht="33" customHeight="1" x14ac:dyDescent="0.25">
      <c r="A11" s="79"/>
      <c r="B11" s="82" t="s">
        <v>254</v>
      </c>
      <c r="C11" s="214"/>
      <c r="D11" s="76"/>
    </row>
    <row r="12" spans="1:7" ht="20.100000000000001" customHeight="1" x14ac:dyDescent="0.25">
      <c r="A12" s="81"/>
      <c r="B12" s="82" t="s">
        <v>255</v>
      </c>
      <c r="C12" s="214"/>
      <c r="D12" s="76"/>
    </row>
    <row r="13" spans="1:7" ht="20.100000000000001" customHeight="1" x14ac:dyDescent="0.25">
      <c r="A13" s="81"/>
      <c r="B13" s="82" t="s">
        <v>256</v>
      </c>
      <c r="C13" s="214">
        <v>1990084.84</v>
      </c>
      <c r="D13" s="76"/>
    </row>
    <row r="14" spans="1:7" ht="24.75" customHeight="1" thickBot="1" x14ac:dyDescent="0.3">
      <c r="A14" s="170" t="s">
        <v>257</v>
      </c>
      <c r="B14" s="171"/>
      <c r="C14" s="215">
        <f>+C13</f>
        <v>1990084.84</v>
      </c>
      <c r="D14" s="84"/>
    </row>
    <row r="15" spans="1:7" ht="7.5" customHeight="1" x14ac:dyDescent="0.25">
      <c r="A15" s="81"/>
      <c r="B15" s="82"/>
      <c r="C15" s="158"/>
      <c r="D15" s="76"/>
    </row>
    <row r="16" spans="1:7" ht="20.100000000000001" customHeight="1" thickBot="1" x14ac:dyDescent="0.3">
      <c r="A16" s="164" t="s">
        <v>263</v>
      </c>
      <c r="B16" s="80"/>
      <c r="C16" s="158"/>
      <c r="D16" s="76"/>
    </row>
    <row r="17" spans="1:4" ht="20.100000000000001" customHeight="1" thickBot="1" x14ac:dyDescent="0.3">
      <c r="A17" s="167" t="s">
        <v>271</v>
      </c>
      <c r="B17" s="168"/>
      <c r="C17" s="169"/>
      <c r="D17" s="159">
        <f>+C21</f>
        <v>0</v>
      </c>
    </row>
    <row r="18" spans="1:4" ht="20.100000000000001" customHeight="1" x14ac:dyDescent="0.25">
      <c r="A18" s="81"/>
      <c r="B18" s="82" t="s">
        <v>258</v>
      </c>
      <c r="C18" s="158"/>
      <c r="D18" s="76"/>
    </row>
    <row r="19" spans="1:4" ht="20.100000000000001" customHeight="1" x14ac:dyDescent="0.25">
      <c r="A19" s="81"/>
      <c r="B19" s="82" t="s">
        <v>259</v>
      </c>
      <c r="C19" s="158"/>
      <c r="D19" s="76"/>
    </row>
    <row r="20" spans="1:4" ht="20.100000000000001" customHeight="1" x14ac:dyDescent="0.25">
      <c r="A20" s="81"/>
      <c r="B20" s="82" t="s">
        <v>260</v>
      </c>
      <c r="C20" s="158"/>
      <c r="D20" s="76"/>
    </row>
    <row r="21" spans="1:4" ht="20.100000000000001" customHeight="1" x14ac:dyDescent="0.25">
      <c r="A21" s="77" t="s">
        <v>261</v>
      </c>
      <c r="B21" s="82"/>
      <c r="C21" s="158">
        <f>SUM(C18:C20)</f>
        <v>0</v>
      </c>
      <c r="D21" s="76"/>
    </row>
    <row r="22" spans="1:4" ht="20.100000000000001" customHeight="1" thickBot="1" x14ac:dyDescent="0.3">
      <c r="A22" s="81"/>
      <c r="B22" s="82"/>
      <c r="C22" s="76"/>
      <c r="D22" s="76"/>
    </row>
    <row r="23" spans="1:4" ht="26.25" customHeight="1" thickBot="1" x14ac:dyDescent="0.3">
      <c r="A23" s="172" t="s">
        <v>262</v>
      </c>
      <c r="B23" s="173"/>
      <c r="C23" s="174"/>
      <c r="D23" s="289">
        <f>+D6+D9-D17</f>
        <v>650152940.18000007</v>
      </c>
    </row>
    <row r="31" spans="1:4" x14ac:dyDescent="0.2">
      <c r="B31" s="721" t="s">
        <v>1834</v>
      </c>
      <c r="C31" s="722" t="s">
        <v>1830</v>
      </c>
    </row>
    <row r="32" spans="1:4" x14ac:dyDescent="0.2">
      <c r="B32" s="721" t="s">
        <v>1831</v>
      </c>
      <c r="C32" s="722" t="s">
        <v>1832</v>
      </c>
    </row>
    <row r="33" spans="2:3" x14ac:dyDescent="0.2">
      <c r="B33" s="724"/>
      <c r="C33" s="723"/>
    </row>
    <row r="34" spans="2:3" x14ac:dyDescent="0.2">
      <c r="B34" s="719" t="s">
        <v>1833</v>
      </c>
      <c r="C34" s="723"/>
    </row>
    <row r="35" spans="2:3" x14ac:dyDescent="0.2">
      <c r="B35" s="720" t="s">
        <v>1835</v>
      </c>
      <c r="C35" s="723"/>
    </row>
  </sheetData>
  <mergeCells count="6">
    <mergeCell ref="A6:B6"/>
    <mergeCell ref="A1:D1"/>
    <mergeCell ref="A3:D3"/>
    <mergeCell ref="A2:D2"/>
    <mergeCell ref="A4:D4"/>
    <mergeCell ref="A5:D5"/>
  </mergeCells>
  <pageMargins left="0.23622047244094491" right="0.15748031496062992" top="0.74803149606299213" bottom="0.74803149606299213" header="0.31496062992125984" footer="0.31496062992125984"/>
  <pageSetup scale="6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29"/>
  <sheetViews>
    <sheetView workbookViewId="0">
      <selection activeCell="F9" sqref="F9"/>
    </sheetView>
  </sheetViews>
  <sheetFormatPr baseColWidth="10" defaultRowHeight="15" x14ac:dyDescent="0.25"/>
  <cols>
    <col min="1" max="1" width="6.140625" style="45" customWidth="1"/>
    <col min="2" max="2" width="39.5703125" style="45" bestFit="1" customWidth="1"/>
    <col min="3" max="7" width="16.5703125" style="45" bestFit="1" customWidth="1"/>
    <col min="8" max="8" width="18.5703125" style="45" customWidth="1"/>
    <col min="9" max="9" width="16.5703125" style="45" bestFit="1" customWidth="1"/>
    <col min="10" max="10" width="16.42578125" style="45" customWidth="1"/>
    <col min="11" max="11" width="13.7109375" style="45" customWidth="1"/>
    <col min="12" max="16384" width="11.42578125" style="45"/>
  </cols>
  <sheetData>
    <row r="1" spans="1:11" s="71" customFormat="1" x14ac:dyDescent="0.25">
      <c r="A1" s="968" t="s">
        <v>167</v>
      </c>
      <c r="B1" s="968"/>
      <c r="C1" s="968"/>
      <c r="D1" s="968"/>
      <c r="E1" s="968"/>
      <c r="F1" s="968"/>
      <c r="G1" s="968"/>
      <c r="H1" s="968"/>
      <c r="I1" s="968"/>
      <c r="J1" s="968"/>
      <c r="K1" s="968"/>
    </row>
    <row r="2" spans="1:11" s="72" customFormat="1" ht="15.75" x14ac:dyDescent="0.25">
      <c r="A2" s="968" t="s">
        <v>157</v>
      </c>
      <c r="B2" s="968"/>
      <c r="C2" s="968"/>
      <c r="D2" s="968"/>
      <c r="E2" s="968"/>
      <c r="F2" s="968"/>
      <c r="G2" s="968"/>
      <c r="H2" s="968"/>
      <c r="I2" s="968"/>
      <c r="J2" s="968"/>
      <c r="K2" s="968"/>
    </row>
    <row r="3" spans="1:11" s="72" customFormat="1" ht="15.75" x14ac:dyDescent="0.25">
      <c r="A3" s="968" t="s">
        <v>339</v>
      </c>
      <c r="B3" s="968"/>
      <c r="C3" s="968"/>
      <c r="D3" s="968"/>
      <c r="E3" s="968"/>
      <c r="F3" s="968"/>
      <c r="G3" s="968"/>
      <c r="H3" s="968"/>
      <c r="I3" s="968"/>
      <c r="J3" s="968"/>
      <c r="K3" s="968"/>
    </row>
    <row r="4" spans="1:11" s="72" customFormat="1" ht="15.75" x14ac:dyDescent="0.25">
      <c r="A4" s="968" t="s">
        <v>1368</v>
      </c>
      <c r="B4" s="968"/>
      <c r="C4" s="968"/>
      <c r="D4" s="968"/>
      <c r="E4" s="968"/>
      <c r="F4" s="968"/>
      <c r="G4" s="968"/>
      <c r="H4" s="968"/>
      <c r="I4" s="968"/>
      <c r="J4" s="968"/>
      <c r="K4" s="968"/>
    </row>
    <row r="5" spans="1:11" s="72" customFormat="1" ht="15.75" x14ac:dyDescent="0.25">
      <c r="A5" s="968" t="s">
        <v>1842</v>
      </c>
      <c r="B5" s="968"/>
      <c r="C5" s="968"/>
      <c r="D5" s="968"/>
      <c r="E5" s="968"/>
      <c r="F5" s="968"/>
      <c r="G5" s="968"/>
      <c r="H5" s="968"/>
      <c r="I5" s="968"/>
      <c r="J5" s="968"/>
      <c r="K5" s="968"/>
    </row>
    <row r="6" spans="1:11" s="73" customFormat="1" ht="15.75" thickBot="1" x14ac:dyDescent="0.3">
      <c r="A6" s="969" t="s">
        <v>122</v>
      </c>
      <c r="B6" s="969"/>
      <c r="C6" s="969"/>
      <c r="D6" s="969"/>
      <c r="E6" s="969"/>
      <c r="F6" s="969"/>
      <c r="G6" s="969"/>
      <c r="H6" s="969"/>
      <c r="I6" s="969"/>
      <c r="J6" s="969"/>
      <c r="K6" s="969"/>
    </row>
    <row r="7" spans="1:11" s="113" customFormat="1" ht="53.25" customHeight="1" x14ac:dyDescent="0.25">
      <c r="A7" s="993" t="s">
        <v>158</v>
      </c>
      <c r="B7" s="994"/>
      <c r="C7" s="89" t="s">
        <v>217</v>
      </c>
      <c r="D7" s="112" t="s">
        <v>159</v>
      </c>
      <c r="E7" s="435" t="s">
        <v>218</v>
      </c>
      <c r="F7" s="437" t="s">
        <v>1362</v>
      </c>
      <c r="G7" s="437" t="s">
        <v>1363</v>
      </c>
      <c r="H7" s="140" t="s">
        <v>1364</v>
      </c>
      <c r="I7" s="140" t="s">
        <v>1365</v>
      </c>
      <c r="J7" s="89" t="s">
        <v>337</v>
      </c>
      <c r="K7" s="435" t="s">
        <v>220</v>
      </c>
    </row>
    <row r="8" spans="1:11" s="114" customFormat="1" ht="13.5" thickBot="1" x14ac:dyDescent="0.3">
      <c r="A8" s="999" t="s">
        <v>160</v>
      </c>
      <c r="B8" s="1000"/>
      <c r="C8" s="91" t="s">
        <v>193</v>
      </c>
      <c r="D8" s="90" t="s">
        <v>194</v>
      </c>
      <c r="E8" s="90" t="s">
        <v>161</v>
      </c>
      <c r="F8" s="438" t="s">
        <v>195</v>
      </c>
      <c r="G8" s="438" t="s">
        <v>196</v>
      </c>
      <c r="H8" s="141" t="s">
        <v>1357</v>
      </c>
      <c r="I8" s="141" t="s">
        <v>1358</v>
      </c>
      <c r="J8" s="90" t="s">
        <v>1366</v>
      </c>
      <c r="K8" s="90" t="s">
        <v>1367</v>
      </c>
    </row>
    <row r="9" spans="1:11" ht="30" customHeight="1" x14ac:dyDescent="0.25">
      <c r="A9" s="115">
        <v>1000</v>
      </c>
      <c r="B9" s="94" t="s">
        <v>22</v>
      </c>
      <c r="C9" s="285">
        <v>17897841.02</v>
      </c>
      <c r="D9" s="285">
        <f>8788610.36-5465567.69</f>
        <v>3323042.669999999</v>
      </c>
      <c r="E9" s="478">
        <f>+C9+D9</f>
        <v>21220883.689999998</v>
      </c>
      <c r="F9" s="285">
        <v>21219933.760000002</v>
      </c>
      <c r="G9" s="285">
        <v>21219933.760000002</v>
      </c>
      <c r="H9" s="478">
        <f>+F9-13780876.78</f>
        <v>7439056.9800000023</v>
      </c>
      <c r="I9" s="478">
        <v>7439056.9800000023</v>
      </c>
      <c r="J9" s="478">
        <f>+E9-F9</f>
        <v>949.92999999597669</v>
      </c>
      <c r="K9" s="483">
        <f>+F9/E9</f>
        <v>0.99995523607716474</v>
      </c>
    </row>
    <row r="10" spans="1:11" ht="30" customHeight="1" x14ac:dyDescent="0.25">
      <c r="A10" s="115">
        <v>2000</v>
      </c>
      <c r="B10" s="94" t="s">
        <v>23</v>
      </c>
      <c r="C10" s="285">
        <v>1524518.12</v>
      </c>
      <c r="D10" s="285">
        <f>859906.72-531387.99</f>
        <v>328518.73</v>
      </c>
      <c r="E10" s="478">
        <f t="shared" ref="E10:E14" si="0">+C10+D10</f>
        <v>1853036.85</v>
      </c>
      <c r="F10" s="285">
        <v>1847021.9</v>
      </c>
      <c r="G10" s="285">
        <v>1847021.9</v>
      </c>
      <c r="H10" s="478">
        <f>+G10-1438041.87</f>
        <v>408980.0299999998</v>
      </c>
      <c r="I10" s="478">
        <v>408980.0299999998</v>
      </c>
      <c r="J10" s="478">
        <f t="shared" ref="J10:J14" si="1">+E10-F10</f>
        <v>6014.9500000001863</v>
      </c>
      <c r="K10" s="483">
        <f t="shared" ref="K10:K14" si="2">+F10/E10</f>
        <v>0.99675400410952419</v>
      </c>
    </row>
    <row r="11" spans="1:11" ht="30" customHeight="1" x14ac:dyDescent="0.25">
      <c r="A11" s="115">
        <v>3000</v>
      </c>
      <c r="B11" s="94" t="s">
        <v>24</v>
      </c>
      <c r="C11" s="285">
        <v>3473345.86</v>
      </c>
      <c r="D11" s="285">
        <f>1099326.96-1102917.57</f>
        <v>-3590.6100000001024</v>
      </c>
      <c r="E11" s="478">
        <f t="shared" si="0"/>
        <v>3469755.25</v>
      </c>
      <c r="F11" s="285">
        <v>3007560.19</v>
      </c>
      <c r="G11" s="285">
        <v>3007560.19</v>
      </c>
      <c r="H11" s="478">
        <f>+G11-1890389.5</f>
        <v>1117170.69</v>
      </c>
      <c r="I11" s="478">
        <v>1117170.69</v>
      </c>
      <c r="J11" s="478">
        <f t="shared" si="1"/>
        <v>462195.06000000006</v>
      </c>
      <c r="K11" s="483">
        <f t="shared" si="2"/>
        <v>0.86679318087349244</v>
      </c>
    </row>
    <row r="12" spans="1:11" ht="30" customHeight="1" x14ac:dyDescent="0.25">
      <c r="A12" s="115">
        <v>4000</v>
      </c>
      <c r="B12" s="94" t="s">
        <v>162</v>
      </c>
      <c r="C12" s="285">
        <v>0</v>
      </c>
      <c r="D12" s="285">
        <v>0</v>
      </c>
      <c r="E12" s="478">
        <f t="shared" si="0"/>
        <v>0</v>
      </c>
      <c r="F12" s="285">
        <v>0</v>
      </c>
      <c r="G12" s="285">
        <v>0</v>
      </c>
      <c r="H12" s="479"/>
      <c r="I12" s="479"/>
      <c r="J12" s="478">
        <f t="shared" si="1"/>
        <v>0</v>
      </c>
      <c r="K12" s="483" t="e">
        <f t="shared" si="2"/>
        <v>#DIV/0!</v>
      </c>
    </row>
    <row r="13" spans="1:11" ht="30" customHeight="1" x14ac:dyDescent="0.25">
      <c r="A13" s="115">
        <v>5000</v>
      </c>
      <c r="B13" s="94" t="s">
        <v>163</v>
      </c>
      <c r="C13" s="285">
        <v>0</v>
      </c>
      <c r="D13" s="285">
        <v>59394.32</v>
      </c>
      <c r="E13" s="478">
        <f t="shared" si="0"/>
        <v>59394.32</v>
      </c>
      <c r="F13" s="285">
        <v>59394.32</v>
      </c>
      <c r="G13" s="285">
        <v>59394.32</v>
      </c>
      <c r="H13" s="478">
        <f>+G13-50620</f>
        <v>8774.32</v>
      </c>
      <c r="I13" s="478">
        <v>8774.32</v>
      </c>
      <c r="J13" s="478">
        <f t="shared" si="1"/>
        <v>0</v>
      </c>
      <c r="K13" s="483">
        <f t="shared" si="2"/>
        <v>1</v>
      </c>
    </row>
    <row r="14" spans="1:11" ht="30" customHeight="1" x14ac:dyDescent="0.25">
      <c r="A14" s="115">
        <v>6000</v>
      </c>
      <c r="B14" s="94" t="s">
        <v>51</v>
      </c>
      <c r="C14" s="285">
        <v>385300414</v>
      </c>
      <c r="D14" s="285">
        <f>422252954.02-4188.36</f>
        <v>422248765.65999997</v>
      </c>
      <c r="E14" s="478">
        <f t="shared" si="0"/>
        <v>807549179.65999997</v>
      </c>
      <c r="F14" s="285">
        <v>596935129.30999994</v>
      </c>
      <c r="G14" s="285">
        <v>596935129.30999994</v>
      </c>
      <c r="H14" s="478">
        <f>+G14-300460175.55</f>
        <v>296474953.75999993</v>
      </c>
      <c r="I14" s="478">
        <v>296474953.75999993</v>
      </c>
      <c r="J14" s="478">
        <f t="shared" si="1"/>
        <v>210614050.35000002</v>
      </c>
      <c r="K14" s="483">
        <f t="shared" si="2"/>
        <v>0.73919353067924087</v>
      </c>
    </row>
    <row r="15" spans="1:11" ht="30" customHeight="1" x14ac:dyDescent="0.25">
      <c r="A15" s="115">
        <v>7000</v>
      </c>
      <c r="B15" s="94" t="s">
        <v>164</v>
      </c>
      <c r="C15" s="479"/>
      <c r="D15" s="479"/>
      <c r="E15" s="479"/>
      <c r="F15" s="479"/>
      <c r="G15" s="479"/>
      <c r="H15" s="479"/>
      <c r="I15" s="479"/>
      <c r="J15" s="479"/>
      <c r="K15" s="481"/>
    </row>
    <row r="16" spans="1:11" ht="30" customHeight="1" x14ac:dyDescent="0.25">
      <c r="A16" s="115">
        <v>8000</v>
      </c>
      <c r="B16" s="94" t="s">
        <v>11</v>
      </c>
      <c r="C16" s="479"/>
      <c r="D16" s="479"/>
      <c r="E16" s="479"/>
      <c r="F16" s="479"/>
      <c r="G16" s="479"/>
      <c r="H16" s="479"/>
      <c r="I16" s="479"/>
      <c r="J16" s="479"/>
      <c r="K16" s="481"/>
    </row>
    <row r="17" spans="1:11" ht="30" customHeight="1" thickBot="1" x14ac:dyDescent="0.3">
      <c r="A17" s="116">
        <v>9000</v>
      </c>
      <c r="B17" s="96" t="s">
        <v>165</v>
      </c>
      <c r="C17" s="284"/>
      <c r="D17" s="284"/>
      <c r="E17" s="284"/>
      <c r="F17" s="284"/>
      <c r="G17" s="284"/>
      <c r="H17" s="284"/>
      <c r="I17" s="284"/>
      <c r="J17" s="284"/>
      <c r="K17" s="482"/>
    </row>
    <row r="18" spans="1:11" ht="30" customHeight="1" thickBot="1" x14ac:dyDescent="0.3">
      <c r="A18" s="110"/>
      <c r="B18" s="111" t="s">
        <v>166</v>
      </c>
      <c r="C18" s="286">
        <f>SUM(C9:C17)</f>
        <v>408196119</v>
      </c>
      <c r="D18" s="286">
        <f>SUM(D9:D17)</f>
        <v>425956130.76999998</v>
      </c>
      <c r="E18" s="480">
        <f t="shared" ref="E18" si="3">+C18+D18</f>
        <v>834152249.76999998</v>
      </c>
      <c r="F18" s="286">
        <f t="shared" ref="F18:G18" si="4">SUM(F9:F17)</f>
        <v>623069039.4799999</v>
      </c>
      <c r="G18" s="286">
        <f t="shared" si="4"/>
        <v>623069039.4799999</v>
      </c>
      <c r="H18" s="286">
        <f t="shared" ref="H18" si="5">SUM(H9:H17)</f>
        <v>305448935.77999991</v>
      </c>
      <c r="I18" s="286">
        <f t="shared" ref="I18" si="6">SUM(I9:I17)</f>
        <v>305448935.77999991</v>
      </c>
      <c r="J18" s="480">
        <f t="shared" ref="J18" si="7">+E18-F18</f>
        <v>211083210.29000008</v>
      </c>
      <c r="K18" s="484">
        <f t="shared" ref="K18" si="8">+F18/E18</f>
        <v>0.74694882097578486</v>
      </c>
    </row>
    <row r="19" spans="1:11" x14ac:dyDescent="0.25">
      <c r="H19" s="485"/>
    </row>
    <row r="20" spans="1:11" x14ac:dyDescent="0.25">
      <c r="F20" s="485"/>
    </row>
    <row r="21" spans="1:11" x14ac:dyDescent="0.25">
      <c r="H21" s="485"/>
    </row>
    <row r="25" spans="1:11" x14ac:dyDescent="0.2">
      <c r="B25" s="721" t="s">
        <v>1834</v>
      </c>
      <c r="C25" s="722" t="s">
        <v>1830</v>
      </c>
    </row>
    <row r="26" spans="1:11" x14ac:dyDescent="0.2">
      <c r="B26" s="721" t="s">
        <v>1831</v>
      </c>
      <c r="C26" s="722" t="s">
        <v>1832</v>
      </c>
    </row>
    <row r="27" spans="1:11" x14ac:dyDescent="0.2">
      <c r="B27" s="724"/>
      <c r="C27" s="723"/>
    </row>
    <row r="28" spans="1:11" x14ac:dyDescent="0.2">
      <c r="B28" s="719" t="s">
        <v>1833</v>
      </c>
      <c r="C28" s="723"/>
    </row>
    <row r="29" spans="1:11" x14ac:dyDescent="0.2">
      <c r="B29" s="720" t="s">
        <v>1835</v>
      </c>
      <c r="C29" s="723"/>
    </row>
  </sheetData>
  <mergeCells count="8">
    <mergeCell ref="A8:B8"/>
    <mergeCell ref="A7:B7"/>
    <mergeCell ref="A1:K1"/>
    <mergeCell ref="A2:K2"/>
    <mergeCell ref="A3:K3"/>
    <mergeCell ref="A4:K4"/>
    <mergeCell ref="A5:K5"/>
    <mergeCell ref="A6:K6"/>
  </mergeCells>
  <pageMargins left="0.27559055118110237" right="0.27559055118110237" top="0.74803149606299213" bottom="0.74803149606299213" header="0.31496062992125984" footer="0.31496062992125984"/>
  <pageSetup scale="8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169"/>
  <sheetViews>
    <sheetView zoomScale="112" zoomScaleNormal="112" workbookViewId="0">
      <pane ySplit="9" topLeftCell="A166" activePane="bottomLeft" state="frozen"/>
      <selection pane="bottomLeft" activeCell="A4" sqref="A4:K4"/>
    </sheetView>
  </sheetViews>
  <sheetFormatPr baseColWidth="10" defaultRowHeight="15" x14ac:dyDescent="0.25"/>
  <cols>
    <col min="1" max="1" width="9.5703125" style="117" customWidth="1"/>
    <col min="2" max="2" width="43" style="45" customWidth="1"/>
    <col min="3" max="3" width="13.7109375" style="620" customWidth="1"/>
    <col min="4" max="4" width="15.140625" style="620" customWidth="1"/>
    <col min="5" max="5" width="13.7109375" style="620" customWidth="1"/>
    <col min="6" max="6" width="15.28515625" style="621" bestFit="1" customWidth="1"/>
    <col min="7" max="7" width="13.7109375" style="621" customWidth="1"/>
    <col min="8" max="8" width="16.5703125" style="820" customWidth="1"/>
    <col min="9" max="10" width="13.7109375" style="621" customWidth="1"/>
    <col min="11" max="11" width="13.7109375" style="45" customWidth="1"/>
  </cols>
  <sheetData>
    <row r="1" spans="1:11" s="71" customFormat="1" x14ac:dyDescent="0.25">
      <c r="A1" s="968" t="s">
        <v>167</v>
      </c>
      <c r="B1" s="968"/>
      <c r="C1" s="968"/>
      <c r="D1" s="968"/>
      <c r="E1" s="968"/>
      <c r="F1" s="968"/>
      <c r="G1" s="968"/>
      <c r="H1" s="968"/>
      <c r="I1" s="968"/>
      <c r="J1" s="968"/>
      <c r="K1" s="968"/>
    </row>
    <row r="2" spans="1:11" s="72" customFormat="1" ht="15.75" x14ac:dyDescent="0.25">
      <c r="A2" s="968" t="s">
        <v>157</v>
      </c>
      <c r="B2" s="968"/>
      <c r="C2" s="968"/>
      <c r="D2" s="968"/>
      <c r="E2" s="968"/>
      <c r="F2" s="968"/>
      <c r="G2" s="968"/>
      <c r="H2" s="968"/>
      <c r="I2" s="968"/>
      <c r="J2" s="968"/>
      <c r="K2" s="968"/>
    </row>
    <row r="3" spans="1:11" s="72" customFormat="1" ht="15.75" x14ac:dyDescent="0.25">
      <c r="A3" s="968" t="s">
        <v>169</v>
      </c>
      <c r="B3" s="968"/>
      <c r="C3" s="968"/>
      <c r="D3" s="968"/>
      <c r="E3" s="968"/>
      <c r="F3" s="968"/>
      <c r="G3" s="968"/>
      <c r="H3" s="968"/>
      <c r="I3" s="968"/>
      <c r="J3" s="968"/>
      <c r="K3" s="968"/>
    </row>
    <row r="4" spans="1:11" s="72" customFormat="1" ht="15.75" x14ac:dyDescent="0.25">
      <c r="A4" s="968" t="s">
        <v>599</v>
      </c>
      <c r="B4" s="968"/>
      <c r="C4" s="968"/>
      <c r="D4" s="968"/>
      <c r="E4" s="968"/>
      <c r="F4" s="968"/>
      <c r="G4" s="968"/>
      <c r="H4" s="968"/>
      <c r="I4" s="968"/>
      <c r="J4" s="968"/>
      <c r="K4" s="968"/>
    </row>
    <row r="5" spans="1:11" s="72" customFormat="1" ht="15.75" x14ac:dyDescent="0.25">
      <c r="A5" s="968" t="s">
        <v>1842</v>
      </c>
      <c r="B5" s="968"/>
      <c r="C5" s="968"/>
      <c r="D5" s="968"/>
      <c r="E5" s="968"/>
      <c r="F5" s="968"/>
      <c r="G5" s="968"/>
      <c r="H5" s="968"/>
      <c r="I5" s="968"/>
      <c r="J5" s="968"/>
      <c r="K5" s="968"/>
    </row>
    <row r="6" spans="1:11" s="73" customFormat="1" ht="15.75" thickBot="1" x14ac:dyDescent="0.3">
      <c r="A6" s="969" t="s">
        <v>122</v>
      </c>
      <c r="B6" s="969"/>
      <c r="C6" s="969"/>
      <c r="D6" s="969"/>
      <c r="E6" s="969"/>
      <c r="F6" s="969"/>
      <c r="G6" s="969"/>
      <c r="H6" s="969"/>
      <c r="I6" s="969"/>
      <c r="J6" s="969"/>
      <c r="K6" s="969"/>
    </row>
    <row r="7" spans="1:11" ht="38.25" x14ac:dyDescent="0.25">
      <c r="A7" s="993" t="s">
        <v>158</v>
      </c>
      <c r="B7" s="994"/>
      <c r="C7" s="582" t="s">
        <v>217</v>
      </c>
      <c r="D7" s="583" t="s">
        <v>159</v>
      </c>
      <c r="E7" s="584" t="s">
        <v>218</v>
      </c>
      <c r="F7" s="585" t="s">
        <v>1362</v>
      </c>
      <c r="G7" s="585" t="s">
        <v>1363</v>
      </c>
      <c r="H7" s="812" t="s">
        <v>1364</v>
      </c>
      <c r="I7" s="586" t="s">
        <v>1365</v>
      </c>
      <c r="J7" s="587" t="s">
        <v>337</v>
      </c>
      <c r="K7" s="435" t="s">
        <v>220</v>
      </c>
    </row>
    <row r="8" spans="1:11" ht="18" customHeight="1" thickBot="1" x14ac:dyDescent="0.3">
      <c r="A8" s="999" t="s">
        <v>170</v>
      </c>
      <c r="B8" s="1000"/>
      <c r="C8" s="588" t="s">
        <v>193</v>
      </c>
      <c r="D8" s="589" t="s">
        <v>194</v>
      </c>
      <c r="E8" s="589" t="s">
        <v>161</v>
      </c>
      <c r="F8" s="590" t="s">
        <v>195</v>
      </c>
      <c r="G8" s="590" t="s">
        <v>196</v>
      </c>
      <c r="H8" s="592" t="s">
        <v>1357</v>
      </c>
      <c r="I8" s="591" t="s">
        <v>1358</v>
      </c>
      <c r="J8" s="592" t="s">
        <v>1366</v>
      </c>
      <c r="K8" s="90" t="s">
        <v>1367</v>
      </c>
    </row>
    <row r="9" spans="1:11" ht="6" customHeight="1" x14ac:dyDescent="0.25">
      <c r="A9" s="118"/>
      <c r="B9" s="119"/>
      <c r="C9" s="593"/>
      <c r="D9" s="593"/>
      <c r="E9" s="593"/>
      <c r="F9" s="594"/>
      <c r="G9" s="594"/>
      <c r="H9" s="594"/>
      <c r="I9" s="594"/>
      <c r="J9" s="594"/>
      <c r="K9" s="120"/>
    </row>
    <row r="10" spans="1:11" s="290" customFormat="1" ht="20.100000000000001" customHeight="1" x14ac:dyDescent="0.2">
      <c r="A10" s="292">
        <v>1000</v>
      </c>
      <c r="B10" s="293" t="s">
        <v>462</v>
      </c>
      <c r="C10" s="595">
        <f>+C11+C16+C18+C25</f>
        <v>17897841.020000003</v>
      </c>
      <c r="D10" s="595">
        <f>+D11+D16+D18+D25</f>
        <v>3323042.6700000004</v>
      </c>
      <c r="E10" s="595">
        <f t="shared" ref="E10:E75" si="0">+C10+D10</f>
        <v>21220883.690000005</v>
      </c>
      <c r="F10" s="596">
        <f>+F11+F18+F16+F25</f>
        <v>21219933.759999998</v>
      </c>
      <c r="G10" s="596">
        <v>21219933.759999998</v>
      </c>
      <c r="H10" s="813">
        <f>+H11+H18+H16+H25</f>
        <v>7439056.9799999995</v>
      </c>
      <c r="I10" s="813">
        <v>7439056.9799999995</v>
      </c>
      <c r="J10" s="597">
        <f>+E10-F10</f>
        <v>949.93000000715256</v>
      </c>
      <c r="K10" s="294">
        <f>+F10/E10</f>
        <v>0.99995523607716419</v>
      </c>
    </row>
    <row r="11" spans="1:11" s="290" customFormat="1" ht="20.100000000000001" customHeight="1" x14ac:dyDescent="0.2">
      <c r="A11" s="295">
        <v>1100</v>
      </c>
      <c r="B11" s="227" t="s">
        <v>463</v>
      </c>
      <c r="C11" s="598">
        <f>SUM(C12:C15)</f>
        <v>9834598.3900000006</v>
      </c>
      <c r="D11" s="598">
        <f>SUM(D12:D15)</f>
        <v>3850691.39</v>
      </c>
      <c r="E11" s="598">
        <f t="shared" si="0"/>
        <v>13685289.780000001</v>
      </c>
      <c r="F11" s="599">
        <f>SUM(F12:F15)</f>
        <v>13685289.780000001</v>
      </c>
      <c r="G11" s="599">
        <v>13685289.780000001</v>
      </c>
      <c r="H11" s="814">
        <f>SUM(H12:H15)</f>
        <v>4798957.42</v>
      </c>
      <c r="I11" s="814">
        <v>4798957.42</v>
      </c>
      <c r="J11" s="600">
        <f t="shared" ref="J11:J74" si="1">+E11-F11</f>
        <v>0</v>
      </c>
      <c r="K11" s="296">
        <f>+F11/E11</f>
        <v>1</v>
      </c>
    </row>
    <row r="12" spans="1:11" s="290" customFormat="1" ht="20.100000000000001" customHeight="1" x14ac:dyDescent="0.2">
      <c r="A12" s="297">
        <v>11301</v>
      </c>
      <c r="B12" s="228" t="s">
        <v>464</v>
      </c>
      <c r="C12" s="601">
        <v>7033998.3899999997</v>
      </c>
      <c r="D12" s="602">
        <f>2577973.98-2216485.87</f>
        <v>361488.10999999987</v>
      </c>
      <c r="E12" s="603">
        <f t="shared" si="0"/>
        <v>7395486.5</v>
      </c>
      <c r="F12" s="604">
        <v>7395486.5</v>
      </c>
      <c r="G12" s="604">
        <v>7395486.5</v>
      </c>
      <c r="H12" s="815">
        <f>+G12-4701533.84</f>
        <v>2693952.66</v>
      </c>
      <c r="I12" s="815">
        <v>2693952.66</v>
      </c>
      <c r="J12" s="605">
        <f t="shared" si="1"/>
        <v>0</v>
      </c>
      <c r="K12" s="298">
        <f t="shared" ref="K12:K77" si="2">+F12/E12</f>
        <v>1</v>
      </c>
    </row>
    <row r="13" spans="1:11" s="290" customFormat="1" ht="20.100000000000001" customHeight="1" x14ac:dyDescent="0.2">
      <c r="A13" s="297">
        <v>11305</v>
      </c>
      <c r="B13" s="228" t="s">
        <v>465</v>
      </c>
      <c r="C13" s="601">
        <v>1616200</v>
      </c>
      <c r="D13" s="602">
        <v>2480335.71</v>
      </c>
      <c r="E13" s="603">
        <f t="shared" si="0"/>
        <v>4096535.71</v>
      </c>
      <c r="F13" s="604">
        <v>4096535.71</v>
      </c>
      <c r="G13" s="604">
        <v>4096535.71</v>
      </c>
      <c r="H13" s="815">
        <f>+G13-2528933.42</f>
        <v>1567602.29</v>
      </c>
      <c r="I13" s="815">
        <v>1567602.29</v>
      </c>
      <c r="J13" s="605">
        <f t="shared" si="1"/>
        <v>0</v>
      </c>
      <c r="K13" s="298">
        <f t="shared" si="2"/>
        <v>1</v>
      </c>
    </row>
    <row r="14" spans="1:11" s="290" customFormat="1" ht="20.100000000000001" customHeight="1" x14ac:dyDescent="0.2">
      <c r="A14" s="297">
        <v>11307</v>
      </c>
      <c r="B14" s="228" t="s">
        <v>466</v>
      </c>
      <c r="C14" s="601">
        <v>710400</v>
      </c>
      <c r="D14" s="602">
        <v>605560.72</v>
      </c>
      <c r="E14" s="603">
        <f t="shared" si="0"/>
        <v>1315960.72</v>
      </c>
      <c r="F14" s="604">
        <v>1315960.72</v>
      </c>
      <c r="G14" s="604">
        <v>1315960.72</v>
      </c>
      <c r="H14" s="815">
        <f>+G14-993519.19</f>
        <v>322441.53000000003</v>
      </c>
      <c r="I14" s="815">
        <v>322441.53000000003</v>
      </c>
      <c r="J14" s="605">
        <f t="shared" si="1"/>
        <v>0</v>
      </c>
      <c r="K14" s="298">
        <f t="shared" si="2"/>
        <v>1</v>
      </c>
    </row>
    <row r="15" spans="1:11" s="290" customFormat="1" ht="20.100000000000001" customHeight="1" x14ac:dyDescent="0.2">
      <c r="A15" s="297">
        <v>11308</v>
      </c>
      <c r="B15" s="228" t="s">
        <v>467</v>
      </c>
      <c r="C15" s="601">
        <v>474000</v>
      </c>
      <c r="D15" s="602">
        <v>403306.85</v>
      </c>
      <c r="E15" s="603">
        <f t="shared" si="0"/>
        <v>877306.85</v>
      </c>
      <c r="F15" s="604">
        <v>877306.85</v>
      </c>
      <c r="G15" s="604">
        <v>877306.85</v>
      </c>
      <c r="H15" s="815">
        <f>+G15-662345.91</f>
        <v>214960.93999999994</v>
      </c>
      <c r="I15" s="815">
        <v>214960.93999999994</v>
      </c>
      <c r="J15" s="605">
        <f t="shared" si="1"/>
        <v>0</v>
      </c>
      <c r="K15" s="298">
        <f t="shared" si="2"/>
        <v>1</v>
      </c>
    </row>
    <row r="16" spans="1:11" s="290" customFormat="1" ht="20.100000000000001" customHeight="1" x14ac:dyDescent="0.2">
      <c r="A16" s="295">
        <v>1200</v>
      </c>
      <c r="B16" s="227" t="s">
        <v>468</v>
      </c>
      <c r="C16" s="598">
        <f>+C17</f>
        <v>0</v>
      </c>
      <c r="D16" s="606">
        <f>+D17</f>
        <v>782482.39</v>
      </c>
      <c r="E16" s="598">
        <f t="shared" si="0"/>
        <v>782482.39</v>
      </c>
      <c r="F16" s="599">
        <f>SUM(F17)</f>
        <v>782482.39</v>
      </c>
      <c r="G16" s="599">
        <v>782482.39</v>
      </c>
      <c r="H16" s="814">
        <f t="shared" ref="H16" si="3">SUM(H17)</f>
        <v>169423.05000000005</v>
      </c>
      <c r="I16" s="814">
        <v>169423.05000000005</v>
      </c>
      <c r="J16" s="600">
        <f t="shared" si="1"/>
        <v>0</v>
      </c>
      <c r="K16" s="296">
        <f t="shared" si="2"/>
        <v>1</v>
      </c>
    </row>
    <row r="17" spans="1:11" s="290" customFormat="1" ht="20.100000000000001" customHeight="1" x14ac:dyDescent="0.2">
      <c r="A17" s="299">
        <v>12201</v>
      </c>
      <c r="B17" s="229" t="s">
        <v>469</v>
      </c>
      <c r="C17" s="601">
        <v>0</v>
      </c>
      <c r="D17" s="602">
        <f>782483.39-1</f>
        <v>782482.39</v>
      </c>
      <c r="E17" s="603">
        <f t="shared" si="0"/>
        <v>782482.39</v>
      </c>
      <c r="F17" s="607">
        <v>782482.39</v>
      </c>
      <c r="G17" s="607">
        <v>782482.39</v>
      </c>
      <c r="H17" s="816">
        <f>+G17-613059.34</f>
        <v>169423.05000000005</v>
      </c>
      <c r="I17" s="816">
        <v>169423.05000000005</v>
      </c>
      <c r="J17" s="605">
        <f t="shared" si="1"/>
        <v>0</v>
      </c>
      <c r="K17" s="298">
        <f t="shared" si="2"/>
        <v>1</v>
      </c>
    </row>
    <row r="18" spans="1:11" s="290" customFormat="1" ht="20.100000000000001" customHeight="1" x14ac:dyDescent="0.2">
      <c r="A18" s="295">
        <v>1300</v>
      </c>
      <c r="B18" s="227" t="s">
        <v>470</v>
      </c>
      <c r="C18" s="598">
        <f>SUM(C19:C24)</f>
        <v>4578951.330000001</v>
      </c>
      <c r="D18" s="598">
        <f>SUM(D19:D24)</f>
        <v>-1578089.73</v>
      </c>
      <c r="E18" s="598">
        <f t="shared" si="0"/>
        <v>3000861.600000001</v>
      </c>
      <c r="F18" s="599">
        <f>SUM(F19:F24)</f>
        <v>3000861.6</v>
      </c>
      <c r="G18" s="599">
        <v>3000861.6</v>
      </c>
      <c r="H18" s="814">
        <f>SUM(H19:H24)</f>
        <v>1587420.8399999999</v>
      </c>
      <c r="I18" s="814">
        <v>1587420.8399999999</v>
      </c>
      <c r="J18" s="600">
        <f t="shared" si="1"/>
        <v>0</v>
      </c>
      <c r="K18" s="296">
        <f t="shared" si="2"/>
        <v>0.99999999999999967</v>
      </c>
    </row>
    <row r="19" spans="1:11" s="290" customFormat="1" ht="22.5" x14ac:dyDescent="0.2">
      <c r="A19" s="299">
        <v>13101</v>
      </c>
      <c r="B19" s="229" t="s">
        <v>471</v>
      </c>
      <c r="C19" s="601">
        <v>260195.64</v>
      </c>
      <c r="D19" s="602">
        <f>2962.2-86492.95</f>
        <v>-83530.75</v>
      </c>
      <c r="E19" s="603">
        <f t="shared" si="0"/>
        <v>176664.89</v>
      </c>
      <c r="F19" s="607">
        <v>176664.89</v>
      </c>
      <c r="G19" s="607">
        <v>176664.89</v>
      </c>
      <c r="H19" s="816">
        <f>+G19-134225.49</f>
        <v>42439.400000000023</v>
      </c>
      <c r="I19" s="816">
        <v>42439.400000000023</v>
      </c>
      <c r="J19" s="605">
        <f t="shared" si="1"/>
        <v>0</v>
      </c>
      <c r="K19" s="298">
        <f t="shared" si="2"/>
        <v>1</v>
      </c>
    </row>
    <row r="20" spans="1:11" s="290" customFormat="1" ht="20.100000000000001" customHeight="1" x14ac:dyDescent="0.2">
      <c r="A20" s="299">
        <v>13201</v>
      </c>
      <c r="B20" s="229" t="s">
        <v>472</v>
      </c>
      <c r="C20" s="601">
        <v>560821.85000000009</v>
      </c>
      <c r="D20" s="602">
        <f>80117.12-290084.95</f>
        <v>-209967.83000000002</v>
      </c>
      <c r="E20" s="603">
        <f t="shared" si="0"/>
        <v>350854.02000000008</v>
      </c>
      <c r="F20" s="607">
        <v>350854.02</v>
      </c>
      <c r="G20" s="607">
        <v>350854.02</v>
      </c>
      <c r="H20" s="816">
        <f>+G20-281967.5</f>
        <v>68886.520000000019</v>
      </c>
      <c r="I20" s="816">
        <v>68886.520000000019</v>
      </c>
      <c r="J20" s="605">
        <f t="shared" si="1"/>
        <v>0</v>
      </c>
      <c r="K20" s="298">
        <f t="shared" si="2"/>
        <v>0.99999999999999989</v>
      </c>
    </row>
    <row r="21" spans="1:11" s="290" customFormat="1" ht="20.100000000000001" customHeight="1" x14ac:dyDescent="0.2">
      <c r="A21" s="299">
        <v>13202</v>
      </c>
      <c r="B21" s="229" t="s">
        <v>473</v>
      </c>
      <c r="C21" s="601">
        <v>1388136.3000000003</v>
      </c>
      <c r="D21" s="602">
        <f>1110108.2-1341335.33</f>
        <v>-231227.13000000012</v>
      </c>
      <c r="E21" s="603">
        <f t="shared" si="0"/>
        <v>1156909.1700000002</v>
      </c>
      <c r="F21" s="607">
        <v>1156909.17</v>
      </c>
      <c r="G21" s="607">
        <v>1156909.17</v>
      </c>
      <c r="H21" s="816">
        <f>+G21-0</f>
        <v>1156909.17</v>
      </c>
      <c r="I21" s="816">
        <v>1156909.17</v>
      </c>
      <c r="J21" s="605">
        <f t="shared" si="1"/>
        <v>0</v>
      </c>
      <c r="K21" s="298">
        <f t="shared" si="2"/>
        <v>0.99999999999999978</v>
      </c>
    </row>
    <row r="22" spans="1:11" s="290" customFormat="1" ht="20.100000000000001" customHeight="1" x14ac:dyDescent="0.2">
      <c r="A22" s="299">
        <v>13203</v>
      </c>
      <c r="B22" s="229" t="s">
        <v>475</v>
      </c>
      <c r="C22" s="601">
        <v>140205.47</v>
      </c>
      <c r="D22" s="602">
        <v>-140205.47</v>
      </c>
      <c r="E22" s="603">
        <f t="shared" si="0"/>
        <v>0</v>
      </c>
      <c r="F22" s="607">
        <v>0</v>
      </c>
      <c r="G22" s="607">
        <v>0</v>
      </c>
      <c r="H22" s="816">
        <v>0</v>
      </c>
      <c r="I22" s="816">
        <v>0</v>
      </c>
      <c r="J22" s="605">
        <f t="shared" si="1"/>
        <v>0</v>
      </c>
      <c r="K22" s="298" t="e">
        <f t="shared" si="2"/>
        <v>#DIV/0!</v>
      </c>
    </row>
    <row r="23" spans="1:11" s="290" customFormat="1" ht="11.25" x14ac:dyDescent="0.2">
      <c r="A23" s="299">
        <v>13204</v>
      </c>
      <c r="B23" s="229" t="s">
        <v>476</v>
      </c>
      <c r="C23" s="601">
        <v>140205.47</v>
      </c>
      <c r="D23" s="602">
        <v>-140205.47</v>
      </c>
      <c r="E23" s="603">
        <f t="shared" si="0"/>
        <v>0</v>
      </c>
      <c r="F23" s="607">
        <v>0</v>
      </c>
      <c r="G23" s="607">
        <v>0</v>
      </c>
      <c r="H23" s="816">
        <v>0</v>
      </c>
      <c r="I23" s="816">
        <v>0</v>
      </c>
      <c r="J23" s="605">
        <f t="shared" si="1"/>
        <v>0</v>
      </c>
      <c r="K23" s="298" t="e">
        <f t="shared" si="2"/>
        <v>#DIV/0!</v>
      </c>
    </row>
    <row r="24" spans="1:11" s="290" customFormat="1" ht="20.100000000000001" customHeight="1" x14ac:dyDescent="0.2">
      <c r="A24" s="299">
        <v>13403</v>
      </c>
      <c r="B24" s="229" t="s">
        <v>474</v>
      </c>
      <c r="C24" s="601">
        <v>2089386.6</v>
      </c>
      <c r="D24" s="602">
        <f>182722.64-955675.72</f>
        <v>-772953.08</v>
      </c>
      <c r="E24" s="603">
        <f>+C24+D24</f>
        <v>1316433.52</v>
      </c>
      <c r="F24" s="607">
        <v>1316433.52</v>
      </c>
      <c r="G24" s="607">
        <v>1316433.52</v>
      </c>
      <c r="H24" s="816">
        <f>+G24-997247.77</f>
        <v>319185.75</v>
      </c>
      <c r="I24" s="816">
        <v>319185.75</v>
      </c>
      <c r="J24" s="605">
        <f t="shared" si="1"/>
        <v>0</v>
      </c>
      <c r="K24" s="298">
        <f>+F24/E24</f>
        <v>1</v>
      </c>
    </row>
    <row r="25" spans="1:11" s="290" customFormat="1" ht="20.100000000000001" customHeight="1" x14ac:dyDescent="0.2">
      <c r="A25" s="295">
        <v>1400</v>
      </c>
      <c r="B25" s="227" t="s">
        <v>477</v>
      </c>
      <c r="C25" s="598">
        <f>SUM(C26:C35)</f>
        <v>3484291.3</v>
      </c>
      <c r="D25" s="598">
        <f>SUM(D26:D35)</f>
        <v>267958.62</v>
      </c>
      <c r="E25" s="598">
        <f t="shared" si="0"/>
        <v>3752249.92</v>
      </c>
      <c r="F25" s="599">
        <f>SUM(F26:F35)</f>
        <v>3751299.9899999998</v>
      </c>
      <c r="G25" s="599">
        <v>3751299.9899999998</v>
      </c>
      <c r="H25" s="814">
        <f>SUM(H26:H35)</f>
        <v>883255.67000000016</v>
      </c>
      <c r="I25" s="814">
        <v>883255.67000000016</v>
      </c>
      <c r="J25" s="600">
        <f t="shared" si="1"/>
        <v>949.93000000016764</v>
      </c>
      <c r="K25" s="296">
        <f t="shared" si="2"/>
        <v>0.9997468372255971</v>
      </c>
    </row>
    <row r="26" spans="1:11" s="290" customFormat="1" ht="20.100000000000001" customHeight="1" x14ac:dyDescent="0.2">
      <c r="A26" s="297">
        <v>14101</v>
      </c>
      <c r="B26" s="228" t="s">
        <v>478</v>
      </c>
      <c r="C26" s="603">
        <v>858057.44</v>
      </c>
      <c r="D26" s="602">
        <f>171166.66-112197.92</f>
        <v>58968.740000000005</v>
      </c>
      <c r="E26" s="603">
        <f t="shared" si="0"/>
        <v>917026.17999999993</v>
      </c>
      <c r="F26" s="604">
        <v>917026.18</v>
      </c>
      <c r="G26" s="604">
        <v>917026.18</v>
      </c>
      <c r="H26" s="815">
        <f>+G26-703943.61</f>
        <v>213082.57000000007</v>
      </c>
      <c r="I26" s="815">
        <v>213082.57000000007</v>
      </c>
      <c r="J26" s="605">
        <f t="shared" si="1"/>
        <v>0</v>
      </c>
      <c r="K26" s="298">
        <f t="shared" si="2"/>
        <v>1.0000000000000002</v>
      </c>
    </row>
    <row r="27" spans="1:11" s="290" customFormat="1" ht="20.100000000000001" customHeight="1" x14ac:dyDescent="0.2">
      <c r="A27" s="297">
        <v>14102</v>
      </c>
      <c r="B27" s="228" t="s">
        <v>479</v>
      </c>
      <c r="C27" s="603">
        <v>117.6</v>
      </c>
      <c r="D27" s="602">
        <f>10.6-18.4</f>
        <v>-7.7999999999999989</v>
      </c>
      <c r="E27" s="603">
        <f t="shared" si="0"/>
        <v>109.8</v>
      </c>
      <c r="F27" s="604">
        <v>109.8</v>
      </c>
      <c r="G27" s="604">
        <v>109.8</v>
      </c>
      <c r="H27" s="815">
        <f>+G27-84.5</f>
        <v>25.299999999999997</v>
      </c>
      <c r="I27" s="815">
        <v>25.299999999999997</v>
      </c>
      <c r="J27" s="605">
        <f t="shared" si="1"/>
        <v>0</v>
      </c>
      <c r="K27" s="298">
        <f t="shared" si="2"/>
        <v>1</v>
      </c>
    </row>
    <row r="28" spans="1:11" s="290" customFormat="1" ht="20.100000000000001" customHeight="1" x14ac:dyDescent="0.2">
      <c r="A28" s="297">
        <v>14103</v>
      </c>
      <c r="B28" s="228" t="s">
        <v>480</v>
      </c>
      <c r="C28" s="603">
        <v>1470</v>
      </c>
      <c r="D28" s="602">
        <f>324.04-42.88</f>
        <v>281.16000000000003</v>
      </c>
      <c r="E28" s="603">
        <f t="shared" si="0"/>
        <v>1751.16</v>
      </c>
      <c r="F28" s="604">
        <v>1751.16</v>
      </c>
      <c r="G28" s="604">
        <v>1751.16</v>
      </c>
      <c r="H28" s="815">
        <f>+G28-1346.36</f>
        <v>404.80000000000018</v>
      </c>
      <c r="I28" s="815">
        <v>404.80000000000018</v>
      </c>
      <c r="J28" s="605">
        <f t="shared" si="1"/>
        <v>0</v>
      </c>
      <c r="K28" s="298">
        <f t="shared" si="2"/>
        <v>1</v>
      </c>
    </row>
    <row r="29" spans="1:11" s="290" customFormat="1" ht="20.100000000000001" customHeight="1" x14ac:dyDescent="0.2">
      <c r="A29" s="297">
        <v>14104</v>
      </c>
      <c r="B29" s="228" t="s">
        <v>481</v>
      </c>
      <c r="C29" s="603">
        <v>50473.96</v>
      </c>
      <c r="D29" s="602">
        <f>5265.21-3128.23</f>
        <v>2136.98</v>
      </c>
      <c r="E29" s="603">
        <f t="shared" si="0"/>
        <v>52610.94</v>
      </c>
      <c r="F29" s="604">
        <v>52610.94</v>
      </c>
      <c r="G29" s="604">
        <v>52610.94</v>
      </c>
      <c r="H29" s="815">
        <f>+G29-40077.58</f>
        <v>12533.36</v>
      </c>
      <c r="I29" s="815">
        <v>12533.36</v>
      </c>
      <c r="J29" s="605">
        <f t="shared" si="1"/>
        <v>0</v>
      </c>
      <c r="K29" s="298">
        <f t="shared" si="2"/>
        <v>1</v>
      </c>
    </row>
    <row r="30" spans="1:11" s="290" customFormat="1" ht="20.100000000000001" customHeight="1" x14ac:dyDescent="0.2">
      <c r="A30" s="297">
        <v>14105</v>
      </c>
      <c r="B30" s="228" t="s">
        <v>482</v>
      </c>
      <c r="C30" s="603">
        <v>50473.96</v>
      </c>
      <c r="D30" s="602">
        <f>5065.64-2928.66</f>
        <v>2136.9800000000005</v>
      </c>
      <c r="E30" s="603">
        <f t="shared" si="0"/>
        <v>52610.94</v>
      </c>
      <c r="F30" s="604">
        <v>52610.94</v>
      </c>
      <c r="G30" s="604">
        <v>52610.94</v>
      </c>
      <c r="H30" s="815">
        <f>+G30-40077.58</f>
        <v>12533.36</v>
      </c>
      <c r="I30" s="815">
        <v>12533.36</v>
      </c>
      <c r="J30" s="605">
        <f t="shared" si="1"/>
        <v>0</v>
      </c>
      <c r="K30" s="298">
        <f t="shared" si="2"/>
        <v>1</v>
      </c>
    </row>
    <row r="31" spans="1:11" s="291" customFormat="1" ht="20.25" customHeight="1" x14ac:dyDescent="0.25">
      <c r="A31" s="297">
        <v>14106</v>
      </c>
      <c r="B31" s="228" t="s">
        <v>483</v>
      </c>
      <c r="C31" s="603">
        <v>302843.8</v>
      </c>
      <c r="D31" s="602">
        <f>36052.19-23215.55</f>
        <v>12836.640000000003</v>
      </c>
      <c r="E31" s="603">
        <f t="shared" si="0"/>
        <v>315680.44</v>
      </c>
      <c r="F31" s="604">
        <v>315680.44</v>
      </c>
      <c r="G31" s="604">
        <v>315680.44</v>
      </c>
      <c r="H31" s="815">
        <f>+G31-240477.16</f>
        <v>75203.28</v>
      </c>
      <c r="I31" s="815">
        <v>75203.28</v>
      </c>
      <c r="J31" s="605">
        <f t="shared" si="1"/>
        <v>0</v>
      </c>
      <c r="K31" s="298">
        <f t="shared" si="2"/>
        <v>1</v>
      </c>
    </row>
    <row r="32" spans="1:11" s="290" customFormat="1" ht="12" x14ac:dyDescent="0.2">
      <c r="A32" s="297">
        <v>14107</v>
      </c>
      <c r="B32" s="228" t="s">
        <v>484</v>
      </c>
      <c r="C32" s="603">
        <v>100947.95</v>
      </c>
      <c r="D32" s="602">
        <f>9986.91-5708.73</f>
        <v>4278.18</v>
      </c>
      <c r="E32" s="603">
        <f t="shared" si="0"/>
        <v>105226.13</v>
      </c>
      <c r="F32" s="604">
        <v>105226.13</v>
      </c>
      <c r="G32" s="604">
        <v>105226.13</v>
      </c>
      <c r="H32" s="815">
        <f>+G32-80158.68</f>
        <v>25067.450000000012</v>
      </c>
      <c r="I32" s="815">
        <v>25067.450000000012</v>
      </c>
      <c r="J32" s="605">
        <f t="shared" si="1"/>
        <v>0</v>
      </c>
      <c r="K32" s="298">
        <f t="shared" si="2"/>
        <v>1</v>
      </c>
    </row>
    <row r="33" spans="1:11" s="290" customFormat="1" ht="22.5" x14ac:dyDescent="0.2">
      <c r="A33" s="297">
        <v>14108</v>
      </c>
      <c r="B33" s="231" t="s">
        <v>585</v>
      </c>
      <c r="C33" s="603">
        <v>0</v>
      </c>
      <c r="D33" s="602">
        <f>118994.54-22556.54</f>
        <v>96438</v>
      </c>
      <c r="E33" s="603">
        <f t="shared" si="0"/>
        <v>96438</v>
      </c>
      <c r="F33" s="604">
        <v>96438</v>
      </c>
      <c r="G33" s="604">
        <v>96438</v>
      </c>
      <c r="H33" s="815">
        <f>+G33-78472.5</f>
        <v>17965.5</v>
      </c>
      <c r="I33" s="815">
        <v>17965.5</v>
      </c>
      <c r="J33" s="605">
        <f t="shared" si="1"/>
        <v>0</v>
      </c>
      <c r="K33" s="298">
        <f t="shared" si="2"/>
        <v>1</v>
      </c>
    </row>
    <row r="34" spans="1:11" s="290" customFormat="1" ht="12" x14ac:dyDescent="0.2">
      <c r="A34" s="297">
        <v>14201</v>
      </c>
      <c r="B34" s="228" t="s">
        <v>485</v>
      </c>
      <c r="C34" s="603">
        <v>403791.72</v>
      </c>
      <c r="D34" s="602">
        <f>48517.59-30439.25</f>
        <v>18078.339999999997</v>
      </c>
      <c r="E34" s="603">
        <f t="shared" si="0"/>
        <v>421870.05999999994</v>
      </c>
      <c r="F34" s="604">
        <v>420920.13</v>
      </c>
      <c r="G34" s="604">
        <v>420920.13</v>
      </c>
      <c r="H34" s="815">
        <f>+G34-320646.47</f>
        <v>100273.66000000003</v>
      </c>
      <c r="I34" s="815">
        <v>100273.66000000003</v>
      </c>
      <c r="J34" s="605">
        <f t="shared" si="1"/>
        <v>949.92999999993481</v>
      </c>
      <c r="K34" s="298">
        <f t="shared" si="2"/>
        <v>0.99774828770735724</v>
      </c>
    </row>
    <row r="35" spans="1:11" s="290" customFormat="1" ht="12" x14ac:dyDescent="0.2">
      <c r="A35" s="297">
        <v>14301</v>
      </c>
      <c r="B35" s="228" t="s">
        <v>486</v>
      </c>
      <c r="C35" s="603">
        <v>1716114.87</v>
      </c>
      <c r="D35" s="602">
        <f>167656.17-94844.77</f>
        <v>72811.400000000009</v>
      </c>
      <c r="E35" s="603">
        <f t="shared" si="0"/>
        <v>1788926.27</v>
      </c>
      <c r="F35" s="604">
        <v>1788926.27</v>
      </c>
      <c r="G35" s="604">
        <v>1788926.27</v>
      </c>
      <c r="H35" s="815">
        <f>+G35-1362759.88</f>
        <v>426166.39000000013</v>
      </c>
      <c r="I35" s="815">
        <v>426166.39000000013</v>
      </c>
      <c r="J35" s="605">
        <f t="shared" si="1"/>
        <v>0</v>
      </c>
      <c r="K35" s="298">
        <f t="shared" si="2"/>
        <v>1</v>
      </c>
    </row>
    <row r="36" spans="1:11" s="290" customFormat="1" ht="11.25" x14ac:dyDescent="0.2">
      <c r="A36" s="295">
        <v>2000</v>
      </c>
      <c r="B36" s="227" t="s">
        <v>487</v>
      </c>
      <c r="C36" s="598">
        <f>(C37+C44+C48+C52+C54+C57+C60)</f>
        <v>1524518.1199999999</v>
      </c>
      <c r="D36" s="598">
        <v>328518.73</v>
      </c>
      <c r="E36" s="598">
        <f>+C36+D36</f>
        <v>1853036.8499999999</v>
      </c>
      <c r="F36" s="598">
        <f>+F37+F44+F48+F54+F52+F57+F60</f>
        <v>1847021.9000000001</v>
      </c>
      <c r="G36" s="598">
        <v>1847021.9000000001</v>
      </c>
      <c r="H36" s="814">
        <f>+H37+H44+H48+H52+H54+H57+H60</f>
        <v>408980.02999999997</v>
      </c>
      <c r="I36" s="814">
        <v>408980.02999999997</v>
      </c>
      <c r="J36" s="600">
        <f t="shared" si="1"/>
        <v>6014.9499999997206</v>
      </c>
      <c r="K36" s="296">
        <f>+F36/E36</f>
        <v>0.99675400410952442</v>
      </c>
    </row>
    <row r="37" spans="1:11" s="290" customFormat="1" ht="11.25" x14ac:dyDescent="0.2">
      <c r="A37" s="295">
        <v>2100</v>
      </c>
      <c r="B37" s="227" t="s">
        <v>488</v>
      </c>
      <c r="C37" s="598">
        <f>SUM(C38:C43)</f>
        <v>616320.00999999989</v>
      </c>
      <c r="D37" s="598">
        <f t="shared" ref="D37" si="4">SUM(D38:D43)</f>
        <v>111523.76000000001</v>
      </c>
      <c r="E37" s="598">
        <f>+C37+D37</f>
        <v>727843.7699999999</v>
      </c>
      <c r="F37" s="599">
        <f>SUM(F38:F43)</f>
        <v>725023.46</v>
      </c>
      <c r="G37" s="599">
        <v>725023.46</v>
      </c>
      <c r="H37" s="814">
        <f>SUM(H38:H43)</f>
        <v>99761.829999999958</v>
      </c>
      <c r="I37" s="814">
        <v>99761.829999999958</v>
      </c>
      <c r="J37" s="600">
        <f t="shared" si="1"/>
        <v>2820.3099999999395</v>
      </c>
      <c r="K37" s="296">
        <f t="shared" si="2"/>
        <v>0.99612511624575706</v>
      </c>
    </row>
    <row r="38" spans="1:11" s="290" customFormat="1" ht="12" x14ac:dyDescent="0.2">
      <c r="A38" s="297">
        <v>21101</v>
      </c>
      <c r="B38" s="228" t="s">
        <v>489</v>
      </c>
      <c r="C38" s="601">
        <v>211220.39999999997</v>
      </c>
      <c r="D38" s="602">
        <f>234215.52-138356.07</f>
        <v>95859.449999999983</v>
      </c>
      <c r="E38" s="603">
        <f>+C38+D38</f>
        <v>307079.84999999998</v>
      </c>
      <c r="F38" s="604">
        <v>305977.55</v>
      </c>
      <c r="G38" s="604">
        <v>305977.55</v>
      </c>
      <c r="H38" s="815">
        <f>+G38-331143.57</f>
        <v>-25166.020000000019</v>
      </c>
      <c r="I38" s="815">
        <v>-25166.020000000019</v>
      </c>
      <c r="J38" s="605">
        <f t="shared" si="1"/>
        <v>1102.2999999999884</v>
      </c>
      <c r="K38" s="298">
        <f t="shared" si="2"/>
        <v>0.99641037990607328</v>
      </c>
    </row>
    <row r="39" spans="1:11" s="290" customFormat="1" ht="12" x14ac:dyDescent="0.2">
      <c r="A39" s="297">
        <v>21201</v>
      </c>
      <c r="B39" s="228" t="s">
        <v>490</v>
      </c>
      <c r="C39" s="601">
        <v>181399.92</v>
      </c>
      <c r="D39" s="602">
        <f>157952.38-63063.27</f>
        <v>94889.110000000015</v>
      </c>
      <c r="E39" s="603">
        <f t="shared" ref="E39:E42" si="5">+C39+D39</f>
        <v>276289.03000000003</v>
      </c>
      <c r="F39" s="604">
        <v>275427.68</v>
      </c>
      <c r="G39" s="604">
        <v>275427.68</v>
      </c>
      <c r="H39" s="815">
        <f>+G39-212611.54</f>
        <v>62816.139999999985</v>
      </c>
      <c r="I39" s="815">
        <v>62816.139999999985</v>
      </c>
      <c r="J39" s="605">
        <f t="shared" si="1"/>
        <v>861.35000000003492</v>
      </c>
      <c r="K39" s="298">
        <f t="shared" si="2"/>
        <v>0.9968824314161151</v>
      </c>
    </row>
    <row r="40" spans="1:11" s="290" customFormat="1" ht="22.5" x14ac:dyDescent="0.2">
      <c r="A40" s="300">
        <v>21401</v>
      </c>
      <c r="B40" s="231" t="s">
        <v>491</v>
      </c>
      <c r="C40" s="601">
        <v>1399.92</v>
      </c>
      <c r="D40" s="602">
        <v>-699.96</v>
      </c>
      <c r="E40" s="603">
        <f t="shared" si="5"/>
        <v>699.96</v>
      </c>
      <c r="F40" s="604">
        <v>0</v>
      </c>
      <c r="G40" s="604">
        <v>0</v>
      </c>
      <c r="H40" s="815">
        <v>0</v>
      </c>
      <c r="I40" s="815">
        <v>0</v>
      </c>
      <c r="J40" s="605">
        <f t="shared" si="1"/>
        <v>699.96</v>
      </c>
      <c r="K40" s="298">
        <f t="shared" si="2"/>
        <v>0</v>
      </c>
    </row>
    <row r="41" spans="1:11" s="290" customFormat="1" ht="12" x14ac:dyDescent="0.2">
      <c r="A41" s="300">
        <v>21501</v>
      </c>
      <c r="B41" s="231" t="s">
        <v>492</v>
      </c>
      <c r="C41" s="601">
        <v>80299.92</v>
      </c>
      <c r="D41" s="602">
        <f>668.91-53795.87</f>
        <v>-53126.96</v>
      </c>
      <c r="E41" s="603">
        <f t="shared" si="5"/>
        <v>27172.959999999999</v>
      </c>
      <c r="F41" s="604">
        <v>27683.08</v>
      </c>
      <c r="G41" s="604">
        <v>27683.08</v>
      </c>
      <c r="H41" s="815">
        <f>+G41-19769.4</f>
        <v>7913.68</v>
      </c>
      <c r="I41" s="815">
        <v>7913.68</v>
      </c>
      <c r="J41" s="605">
        <f t="shared" si="1"/>
        <v>-510.12000000000262</v>
      </c>
      <c r="K41" s="298">
        <f t="shared" si="2"/>
        <v>1.0187730744092658</v>
      </c>
    </row>
    <row r="42" spans="1:11" s="290" customFormat="1" ht="12" x14ac:dyDescent="0.2">
      <c r="A42" s="300">
        <v>21601</v>
      </c>
      <c r="B42" s="231" t="s">
        <v>493</v>
      </c>
      <c r="C42" s="601">
        <v>71999.929999999993</v>
      </c>
      <c r="D42" s="602">
        <f>37470.7-5426.48</f>
        <v>32044.219999999998</v>
      </c>
      <c r="E42" s="603">
        <f t="shared" si="5"/>
        <v>104044.15</v>
      </c>
      <c r="F42" s="604">
        <v>104044.15</v>
      </c>
      <c r="G42" s="604">
        <v>104044.15</v>
      </c>
      <c r="H42" s="815">
        <f>+G42-49846.12</f>
        <v>54198.029999999992</v>
      </c>
      <c r="I42" s="815">
        <v>54198.029999999992</v>
      </c>
      <c r="J42" s="605">
        <f t="shared" si="1"/>
        <v>0</v>
      </c>
      <c r="K42" s="298">
        <f t="shared" si="2"/>
        <v>1</v>
      </c>
    </row>
    <row r="43" spans="1:11" s="290" customFormat="1" ht="12" x14ac:dyDescent="0.2">
      <c r="A43" s="297">
        <v>21801</v>
      </c>
      <c r="B43" s="231" t="s">
        <v>494</v>
      </c>
      <c r="C43" s="601">
        <v>69999.92</v>
      </c>
      <c r="D43" s="602">
        <v>-57442.1</v>
      </c>
      <c r="E43" s="603">
        <f t="shared" si="0"/>
        <v>12557.82</v>
      </c>
      <c r="F43" s="604">
        <v>11891</v>
      </c>
      <c r="G43" s="604">
        <v>11891</v>
      </c>
      <c r="H43" s="815">
        <f>+G43-11891</f>
        <v>0</v>
      </c>
      <c r="I43" s="815">
        <v>0</v>
      </c>
      <c r="J43" s="605">
        <f t="shared" si="1"/>
        <v>666.81999999999971</v>
      </c>
      <c r="K43" s="298">
        <f t="shared" si="2"/>
        <v>0.94690001927086076</v>
      </c>
    </row>
    <row r="44" spans="1:11" s="290" customFormat="1" ht="11.25" x14ac:dyDescent="0.2">
      <c r="A44" s="295">
        <v>2200</v>
      </c>
      <c r="B44" s="234" t="s">
        <v>495</v>
      </c>
      <c r="C44" s="598">
        <f>SUM(C45:C47)</f>
        <v>42797.82</v>
      </c>
      <c r="D44" s="598">
        <f t="shared" ref="D44:F44" si="6">SUM(D45:D47)</f>
        <v>-3090.19</v>
      </c>
      <c r="E44" s="598">
        <f t="shared" si="0"/>
        <v>39707.629999999997</v>
      </c>
      <c r="F44" s="599">
        <f t="shared" si="6"/>
        <v>39244.339999999997</v>
      </c>
      <c r="G44" s="599">
        <v>39244.339999999997</v>
      </c>
      <c r="H44" s="814">
        <f>SUM(H45:H47)</f>
        <v>25237.55</v>
      </c>
      <c r="I44" s="814">
        <v>25237.55</v>
      </c>
      <c r="J44" s="600">
        <f t="shared" si="1"/>
        <v>463.29000000000087</v>
      </c>
      <c r="K44" s="296">
        <f t="shared" si="2"/>
        <v>0.98833246909976746</v>
      </c>
    </row>
    <row r="45" spans="1:11" s="290" customFormat="1" ht="22.5" x14ac:dyDescent="0.2">
      <c r="A45" s="297">
        <v>22101</v>
      </c>
      <c r="B45" s="231" t="s">
        <v>496</v>
      </c>
      <c r="C45" s="601">
        <v>29997.86</v>
      </c>
      <c r="D45" s="602">
        <f>10885.9-15278.07</f>
        <v>-4392.17</v>
      </c>
      <c r="E45" s="603">
        <f t="shared" si="0"/>
        <v>25605.690000000002</v>
      </c>
      <c r="F45" s="604">
        <v>25250.34</v>
      </c>
      <c r="G45" s="604">
        <v>25250.34</v>
      </c>
      <c r="H45" s="815">
        <f>+G45-9640.81</f>
        <v>15609.53</v>
      </c>
      <c r="I45" s="815">
        <v>15609.53</v>
      </c>
      <c r="J45" s="605">
        <f t="shared" si="1"/>
        <v>355.35000000000218</v>
      </c>
      <c r="K45" s="298">
        <f t="shared" si="2"/>
        <v>0.98612222517729453</v>
      </c>
    </row>
    <row r="46" spans="1:11" s="290" customFormat="1" ht="12" x14ac:dyDescent="0.2">
      <c r="A46" s="297">
        <v>22106</v>
      </c>
      <c r="B46" s="231" t="s">
        <v>497</v>
      </c>
      <c r="C46" s="601">
        <v>7800.04</v>
      </c>
      <c r="D46" s="602">
        <f>4505-1000.04</f>
        <v>3504.96</v>
      </c>
      <c r="E46" s="603">
        <f t="shared" si="0"/>
        <v>11305</v>
      </c>
      <c r="F46" s="604">
        <v>11305</v>
      </c>
      <c r="G46" s="604">
        <v>11305</v>
      </c>
      <c r="H46" s="815">
        <f>+G46-3352</f>
        <v>7953</v>
      </c>
      <c r="I46" s="815">
        <v>7953</v>
      </c>
      <c r="J46" s="605">
        <f t="shared" si="1"/>
        <v>0</v>
      </c>
      <c r="K46" s="298">
        <f t="shared" si="2"/>
        <v>1</v>
      </c>
    </row>
    <row r="47" spans="1:11" s="290" customFormat="1" ht="12" x14ac:dyDescent="0.2">
      <c r="A47" s="297">
        <v>22301</v>
      </c>
      <c r="B47" s="231" t="s">
        <v>498</v>
      </c>
      <c r="C47" s="601">
        <v>4999.92</v>
      </c>
      <c r="D47" s="602">
        <f>484.17-2687.15</f>
        <v>-2202.98</v>
      </c>
      <c r="E47" s="603">
        <f t="shared" si="0"/>
        <v>2796.94</v>
      </c>
      <c r="F47" s="604">
        <v>2689</v>
      </c>
      <c r="G47" s="604">
        <v>2689</v>
      </c>
      <c r="H47" s="815">
        <f>+G47-1013.98</f>
        <v>1675.02</v>
      </c>
      <c r="I47" s="815">
        <v>1675.02</v>
      </c>
      <c r="J47" s="605">
        <f t="shared" si="1"/>
        <v>107.94000000000005</v>
      </c>
      <c r="K47" s="298">
        <f t="shared" si="2"/>
        <v>0.96140782426508964</v>
      </c>
    </row>
    <row r="48" spans="1:11" s="290" customFormat="1" ht="22.5" x14ac:dyDescent="0.2">
      <c r="A48" s="295">
        <v>2400</v>
      </c>
      <c r="B48" s="234" t="s">
        <v>499</v>
      </c>
      <c r="C48" s="598">
        <f>SUM(C49:C51)</f>
        <v>5000.08</v>
      </c>
      <c r="D48" s="598">
        <f>SUM(D49:D51)</f>
        <v>5267.15</v>
      </c>
      <c r="E48" s="598">
        <f t="shared" si="0"/>
        <v>10267.23</v>
      </c>
      <c r="F48" s="598">
        <f>SUM(F49:F51)</f>
        <v>10049.64</v>
      </c>
      <c r="G48" s="598">
        <v>10049.64</v>
      </c>
      <c r="H48" s="612">
        <f t="shared" ref="H48" si="7">SUM(H49:H51)</f>
        <v>10049.64</v>
      </c>
      <c r="I48" s="612">
        <v>10049.64</v>
      </c>
      <c r="J48" s="600">
        <f t="shared" si="1"/>
        <v>217.59000000000015</v>
      </c>
      <c r="K48" s="296">
        <f t="shared" si="2"/>
        <v>0.97880733167563205</v>
      </c>
    </row>
    <row r="49" spans="1:11" s="290" customFormat="1" ht="11.25" x14ac:dyDescent="0.2">
      <c r="A49" s="297">
        <v>24601</v>
      </c>
      <c r="B49" s="231" t="s">
        <v>1843</v>
      </c>
      <c r="C49" s="603">
        <v>0</v>
      </c>
      <c r="D49" s="603">
        <v>10049.64</v>
      </c>
      <c r="E49" s="603">
        <f t="shared" si="0"/>
        <v>10049.64</v>
      </c>
      <c r="F49" s="607">
        <v>10049.64</v>
      </c>
      <c r="G49" s="607">
        <v>10049.64</v>
      </c>
      <c r="H49" s="816">
        <f>+G49-0</f>
        <v>10049.64</v>
      </c>
      <c r="I49" s="816">
        <v>10049.64</v>
      </c>
      <c r="J49" s="605">
        <f t="shared" si="1"/>
        <v>0</v>
      </c>
      <c r="K49" s="298">
        <f t="shared" ref="K49" si="8">+F49/E49</f>
        <v>1</v>
      </c>
    </row>
    <row r="50" spans="1:11" s="290" customFormat="1" ht="11.25" x14ac:dyDescent="0.2">
      <c r="A50" s="297">
        <v>24801</v>
      </c>
      <c r="B50" s="231" t="s">
        <v>500</v>
      </c>
      <c r="C50" s="601">
        <v>4000.04</v>
      </c>
      <c r="D50" s="602">
        <v>-3782.45</v>
      </c>
      <c r="E50" s="603">
        <f t="shared" si="0"/>
        <v>217.59000000000015</v>
      </c>
      <c r="F50" s="607">
        <v>0</v>
      </c>
      <c r="G50" s="607">
        <v>0</v>
      </c>
      <c r="H50" s="816"/>
      <c r="I50" s="816"/>
      <c r="J50" s="605">
        <f t="shared" si="1"/>
        <v>217.59000000000015</v>
      </c>
      <c r="K50" s="298">
        <f t="shared" si="2"/>
        <v>0</v>
      </c>
    </row>
    <row r="51" spans="1:11" s="290" customFormat="1" ht="22.5" x14ac:dyDescent="0.2">
      <c r="A51" s="297">
        <v>24901</v>
      </c>
      <c r="B51" s="231" t="s">
        <v>501</v>
      </c>
      <c r="C51" s="601">
        <v>1000.04</v>
      </c>
      <c r="D51" s="602">
        <v>-1000.04</v>
      </c>
      <c r="E51" s="603">
        <f t="shared" si="0"/>
        <v>0</v>
      </c>
      <c r="F51" s="607">
        <v>0</v>
      </c>
      <c r="G51" s="607">
        <v>0</v>
      </c>
      <c r="H51" s="816"/>
      <c r="I51" s="816"/>
      <c r="J51" s="605">
        <f t="shared" si="1"/>
        <v>0</v>
      </c>
      <c r="K51" s="298" t="e">
        <f t="shared" si="2"/>
        <v>#DIV/0!</v>
      </c>
    </row>
    <row r="52" spans="1:11" s="290" customFormat="1" ht="22.5" x14ac:dyDescent="0.2">
      <c r="A52" s="295">
        <v>2500</v>
      </c>
      <c r="B52" s="234" t="s">
        <v>502</v>
      </c>
      <c r="C52" s="598"/>
      <c r="D52" s="606"/>
      <c r="E52" s="598">
        <f t="shared" si="0"/>
        <v>0</v>
      </c>
      <c r="F52" s="599">
        <f t="shared" ref="F52:H52" si="9">SUM(F53)</f>
        <v>0</v>
      </c>
      <c r="G52" s="599">
        <v>0</v>
      </c>
      <c r="H52" s="814">
        <f t="shared" si="9"/>
        <v>0</v>
      </c>
      <c r="I52" s="814">
        <v>0</v>
      </c>
      <c r="J52" s="600">
        <f t="shared" si="1"/>
        <v>0</v>
      </c>
      <c r="K52" s="296">
        <v>0</v>
      </c>
    </row>
    <row r="53" spans="1:11" s="290" customFormat="1" ht="11.25" x14ac:dyDescent="0.2">
      <c r="A53" s="301">
        <v>25301</v>
      </c>
      <c r="B53" s="230" t="s">
        <v>503</v>
      </c>
      <c r="C53" s="608"/>
      <c r="D53" s="602"/>
      <c r="E53" s="598">
        <f t="shared" si="0"/>
        <v>0</v>
      </c>
      <c r="F53" s="607">
        <v>0</v>
      </c>
      <c r="G53" s="607">
        <v>0</v>
      </c>
      <c r="H53" s="816"/>
      <c r="I53" s="816"/>
      <c r="J53" s="605">
        <f t="shared" si="1"/>
        <v>0</v>
      </c>
      <c r="K53" s="296">
        <v>0</v>
      </c>
    </row>
    <row r="54" spans="1:11" s="290" customFormat="1" ht="11.25" x14ac:dyDescent="0.2">
      <c r="A54" s="295">
        <v>2600</v>
      </c>
      <c r="B54" s="234" t="s">
        <v>504</v>
      </c>
      <c r="C54" s="598">
        <f>SUM(C55:C56)</f>
        <v>807000.12</v>
      </c>
      <c r="D54" s="598">
        <f>SUM(D55:D56)</f>
        <v>195071.27000000002</v>
      </c>
      <c r="E54" s="598">
        <f t="shared" si="0"/>
        <v>1002071.39</v>
      </c>
      <c r="F54" s="599">
        <f t="shared" ref="F54" si="10">SUM(F55:F56)</f>
        <v>1002071.39</v>
      </c>
      <c r="G54" s="599">
        <v>1002071.39</v>
      </c>
      <c r="H54" s="814">
        <f>SUM(H55:H56)</f>
        <v>223783.34999999998</v>
      </c>
      <c r="I54" s="814">
        <v>223783.34999999998</v>
      </c>
      <c r="J54" s="600">
        <f t="shared" si="1"/>
        <v>0</v>
      </c>
      <c r="K54" s="296">
        <f t="shared" si="2"/>
        <v>1</v>
      </c>
    </row>
    <row r="55" spans="1:11" s="290" customFormat="1" ht="11.25" x14ac:dyDescent="0.2">
      <c r="A55" s="297">
        <v>26101</v>
      </c>
      <c r="B55" s="231" t="s">
        <v>505</v>
      </c>
      <c r="C55" s="601">
        <v>805000.12</v>
      </c>
      <c r="D55" s="602">
        <f>350129.45-153123.18</f>
        <v>197006.27000000002</v>
      </c>
      <c r="E55" s="603">
        <f t="shared" si="0"/>
        <v>1002006.39</v>
      </c>
      <c r="F55" s="607">
        <v>1002006.39</v>
      </c>
      <c r="G55" s="607">
        <v>1002006.39</v>
      </c>
      <c r="H55" s="816">
        <f>+G55-778223.04</f>
        <v>223783.34999999998</v>
      </c>
      <c r="I55" s="816">
        <v>223783.34999999998</v>
      </c>
      <c r="J55" s="605">
        <f t="shared" si="1"/>
        <v>0</v>
      </c>
      <c r="K55" s="298">
        <f t="shared" si="2"/>
        <v>1</v>
      </c>
    </row>
    <row r="56" spans="1:11" s="290" customFormat="1" ht="11.25" x14ac:dyDescent="0.2">
      <c r="A56" s="297">
        <v>26102</v>
      </c>
      <c r="B56" s="231" t="s">
        <v>506</v>
      </c>
      <c r="C56" s="601">
        <v>2000</v>
      </c>
      <c r="D56" s="602">
        <v>-1935</v>
      </c>
      <c r="E56" s="603">
        <f t="shared" si="0"/>
        <v>65</v>
      </c>
      <c r="F56" s="607">
        <v>65</v>
      </c>
      <c r="G56" s="607">
        <v>65</v>
      </c>
      <c r="H56" s="816">
        <f>+G56-65</f>
        <v>0</v>
      </c>
      <c r="I56" s="816">
        <v>0</v>
      </c>
      <c r="J56" s="605">
        <f t="shared" si="1"/>
        <v>0</v>
      </c>
      <c r="K56" s="298">
        <f t="shared" si="2"/>
        <v>1</v>
      </c>
    </row>
    <row r="57" spans="1:11" s="290" customFormat="1" ht="22.5" x14ac:dyDescent="0.2">
      <c r="A57" s="295">
        <v>2700</v>
      </c>
      <c r="B57" s="234" t="s">
        <v>507</v>
      </c>
      <c r="C57" s="598">
        <f>SUM(C58:C59)</f>
        <v>5000</v>
      </c>
      <c r="D57" s="598">
        <f>SUM(D58:D59)</f>
        <v>4844.28</v>
      </c>
      <c r="E57" s="598">
        <f>+C57+F57</f>
        <v>14844.24</v>
      </c>
      <c r="F57" s="598">
        <f>SUM(F58:F59)</f>
        <v>9844.24</v>
      </c>
      <c r="G57" s="598">
        <v>9844.24</v>
      </c>
      <c r="H57" s="612">
        <f>+H58+H59</f>
        <v>3532.6399999999994</v>
      </c>
      <c r="I57" s="612">
        <v>3532.6399999999994</v>
      </c>
      <c r="J57" s="600">
        <f t="shared" si="1"/>
        <v>5000</v>
      </c>
      <c r="K57" s="296" t="e">
        <f>+#REF!/E57</f>
        <v>#REF!</v>
      </c>
    </row>
    <row r="58" spans="1:11" s="290" customFormat="1" ht="11.25" x14ac:dyDescent="0.2">
      <c r="A58" s="297">
        <v>27101</v>
      </c>
      <c r="B58" s="231" t="s">
        <v>508</v>
      </c>
      <c r="C58" s="603">
        <v>5000</v>
      </c>
      <c r="D58" s="602">
        <f>5013.25-1896.76</f>
        <v>3116.49</v>
      </c>
      <c r="E58" s="603">
        <f t="shared" si="0"/>
        <v>8116.49</v>
      </c>
      <c r="F58" s="607">
        <v>8116.45</v>
      </c>
      <c r="G58" s="607">
        <v>8116.45</v>
      </c>
      <c r="H58" s="816">
        <f>+G58-6311.6</f>
        <v>1804.8499999999995</v>
      </c>
      <c r="I58" s="816">
        <v>1804.8499999999995</v>
      </c>
      <c r="J58" s="605">
        <f t="shared" si="1"/>
        <v>3.999999999996362E-2</v>
      </c>
      <c r="K58" s="298">
        <f t="shared" si="2"/>
        <v>0.99999507176131552</v>
      </c>
    </row>
    <row r="59" spans="1:11" s="290" customFormat="1" ht="11.25" x14ac:dyDescent="0.2">
      <c r="A59" s="297">
        <v>27201</v>
      </c>
      <c r="B59" s="231" t="s">
        <v>1844</v>
      </c>
      <c r="C59" s="603">
        <v>0</v>
      </c>
      <c r="D59" s="602">
        <f>2677.71-949.92</f>
        <v>1727.79</v>
      </c>
      <c r="E59" s="603">
        <f t="shared" si="0"/>
        <v>1727.79</v>
      </c>
      <c r="F59" s="607">
        <v>1727.79</v>
      </c>
      <c r="G59" s="607">
        <v>1727.79</v>
      </c>
      <c r="H59" s="816">
        <f>+G59-0</f>
        <v>1727.79</v>
      </c>
      <c r="I59" s="816">
        <v>1727.79</v>
      </c>
      <c r="J59" s="605">
        <f t="shared" si="1"/>
        <v>0</v>
      </c>
      <c r="K59" s="298">
        <f t="shared" ref="K59" si="11">+F59/E59</f>
        <v>1</v>
      </c>
    </row>
    <row r="60" spans="1:11" s="290" customFormat="1" ht="22.5" x14ac:dyDescent="0.2">
      <c r="A60" s="295">
        <v>2900</v>
      </c>
      <c r="B60" s="234" t="s">
        <v>509</v>
      </c>
      <c r="C60" s="598">
        <f>SUM(C61:C64)</f>
        <v>48400.090000000004</v>
      </c>
      <c r="D60" s="598">
        <f>SUM(D61:D64)</f>
        <v>14902.459999999992</v>
      </c>
      <c r="E60" s="598">
        <f t="shared" si="0"/>
        <v>63302.549999999996</v>
      </c>
      <c r="F60" s="599">
        <f t="shared" ref="F60" si="12">SUM(F61:F64)</f>
        <v>60788.83</v>
      </c>
      <c r="G60" s="599">
        <v>60788.83</v>
      </c>
      <c r="H60" s="814">
        <f>+H61+H62+H63</f>
        <v>46615.02</v>
      </c>
      <c r="I60" s="814">
        <v>46615.02</v>
      </c>
      <c r="J60" s="600">
        <f t="shared" si="1"/>
        <v>2513.7199999999939</v>
      </c>
      <c r="K60" s="296">
        <f t="shared" si="2"/>
        <v>0.96029038324680449</v>
      </c>
    </row>
    <row r="61" spans="1:11" s="290" customFormat="1" ht="11.25" x14ac:dyDescent="0.2">
      <c r="A61" s="297">
        <v>29101</v>
      </c>
      <c r="B61" s="231" t="s">
        <v>510</v>
      </c>
      <c r="C61" s="601">
        <v>1000.08</v>
      </c>
      <c r="D61" s="602">
        <f>6708.89-1727.79</f>
        <v>4981.1000000000004</v>
      </c>
      <c r="E61" s="603">
        <f t="shared" si="0"/>
        <v>5981.18</v>
      </c>
      <c r="F61" s="607">
        <v>5981.18</v>
      </c>
      <c r="G61" s="607">
        <v>5981.18</v>
      </c>
      <c r="H61" s="816">
        <f>+G61-813.86</f>
        <v>5167.3200000000006</v>
      </c>
      <c r="I61" s="816">
        <v>5167.3200000000006</v>
      </c>
      <c r="J61" s="605">
        <f t="shared" si="1"/>
        <v>0</v>
      </c>
      <c r="K61" s="298">
        <f t="shared" si="2"/>
        <v>1</v>
      </c>
    </row>
    <row r="62" spans="1:11" s="290" customFormat="1" ht="11.25" x14ac:dyDescent="0.2">
      <c r="A62" s="297">
        <v>29201</v>
      </c>
      <c r="B62" s="231" t="s">
        <v>511</v>
      </c>
      <c r="C62" s="601">
        <v>5000</v>
      </c>
      <c r="D62" s="602">
        <v>-3905.57</v>
      </c>
      <c r="E62" s="603">
        <f t="shared" si="0"/>
        <v>1094.4299999999998</v>
      </c>
      <c r="F62" s="607">
        <v>1085.5</v>
      </c>
      <c r="G62" s="607">
        <v>1085.5</v>
      </c>
      <c r="H62" s="816">
        <f>+G62-783</f>
        <v>302.5</v>
      </c>
      <c r="I62" s="816">
        <v>302.5</v>
      </c>
      <c r="J62" s="605">
        <f t="shared" si="1"/>
        <v>8.9299999999998363</v>
      </c>
      <c r="K62" s="298">
        <f t="shared" si="2"/>
        <v>0.99184050144824265</v>
      </c>
    </row>
    <row r="63" spans="1:11" s="290" customFormat="1" ht="22.5" x14ac:dyDescent="0.2">
      <c r="A63" s="297">
        <v>29401</v>
      </c>
      <c r="B63" s="231" t="s">
        <v>512</v>
      </c>
      <c r="C63" s="601">
        <v>5000</v>
      </c>
      <c r="D63" s="602">
        <f>39145.2-670.8</f>
        <v>38474.399999999994</v>
      </c>
      <c r="E63" s="603">
        <f t="shared" si="0"/>
        <v>43474.399999999994</v>
      </c>
      <c r="F63" s="607">
        <v>41145.199999999997</v>
      </c>
      <c r="G63" s="607">
        <v>41145.199999999997</v>
      </c>
      <c r="H63" s="816">
        <f>+G63-0</f>
        <v>41145.199999999997</v>
      </c>
      <c r="I63" s="816">
        <v>41145.199999999997</v>
      </c>
      <c r="J63" s="605">
        <f t="shared" si="1"/>
        <v>2329.1999999999971</v>
      </c>
      <c r="K63" s="298">
        <f t="shared" si="2"/>
        <v>0.94642364241944688</v>
      </c>
    </row>
    <row r="64" spans="1:11" s="290" customFormat="1" ht="11.25" x14ac:dyDescent="0.2">
      <c r="A64" s="297">
        <v>29601</v>
      </c>
      <c r="B64" s="231" t="s">
        <v>513</v>
      </c>
      <c r="C64" s="601">
        <v>37400.01</v>
      </c>
      <c r="D64" s="602">
        <v>-24647.47</v>
      </c>
      <c r="E64" s="603">
        <f t="shared" si="0"/>
        <v>12752.54</v>
      </c>
      <c r="F64" s="607">
        <v>12576.95</v>
      </c>
      <c r="G64" s="607">
        <v>12576.95</v>
      </c>
      <c r="H64" s="816">
        <f>+G64-12576.95</f>
        <v>0</v>
      </c>
      <c r="I64" s="816">
        <v>0</v>
      </c>
      <c r="J64" s="605">
        <f t="shared" si="1"/>
        <v>175.59000000000015</v>
      </c>
      <c r="K64" s="298">
        <f t="shared" si="2"/>
        <v>0.98623097829922513</v>
      </c>
    </row>
    <row r="65" spans="1:11" s="290" customFormat="1" ht="11.25" x14ac:dyDescent="0.2">
      <c r="A65" s="295">
        <v>3000</v>
      </c>
      <c r="B65" s="234" t="s">
        <v>514</v>
      </c>
      <c r="C65" s="598">
        <f>+C66+C74+C79+C87+C92+C100+C102+C108+C111</f>
        <v>3473345.8599999994</v>
      </c>
      <c r="D65" s="598">
        <f>(D66+D74+D79+D87+D92+D100+D102+D108+D111)</f>
        <v>-3590.6100000000961</v>
      </c>
      <c r="E65" s="598">
        <f t="shared" si="0"/>
        <v>3469755.2499999995</v>
      </c>
      <c r="F65" s="599">
        <f>(F66+F74+F79+F87+F92+F100+F102+F108+F111)</f>
        <v>3007560.19</v>
      </c>
      <c r="G65" s="599">
        <v>3007560.19</v>
      </c>
      <c r="H65" s="814">
        <f>+H66+H74+H79+H87+H92+H100+H102+H108+H111</f>
        <v>1117170.69</v>
      </c>
      <c r="I65" s="814">
        <v>1117170.69</v>
      </c>
      <c r="J65" s="600">
        <f t="shared" si="1"/>
        <v>462195.05999999959</v>
      </c>
      <c r="K65" s="296">
        <f t="shared" si="2"/>
        <v>0.86679318087349255</v>
      </c>
    </row>
    <row r="66" spans="1:11" s="290" customFormat="1" ht="11.25" x14ac:dyDescent="0.2">
      <c r="A66" s="295">
        <v>3100</v>
      </c>
      <c r="B66" s="234" t="s">
        <v>515</v>
      </c>
      <c r="C66" s="598">
        <f>SUM(C67:C73)</f>
        <v>521349.08999999997</v>
      </c>
      <c r="D66" s="598">
        <f>SUM(D67:D73)</f>
        <v>-49002.700000000012</v>
      </c>
      <c r="E66" s="598">
        <f t="shared" si="0"/>
        <v>472346.38999999996</v>
      </c>
      <c r="F66" s="599">
        <f t="shared" ref="F66" si="13">SUM(F67:F73)</f>
        <v>417627.29000000004</v>
      </c>
      <c r="G66" s="599">
        <v>417627.29000000004</v>
      </c>
      <c r="H66" s="814">
        <f>SUM(H67:H73)</f>
        <v>160968.34</v>
      </c>
      <c r="I66" s="814">
        <v>160968.34</v>
      </c>
      <c r="J66" s="600">
        <f t="shared" si="1"/>
        <v>54719.099999999919</v>
      </c>
      <c r="K66" s="296">
        <f t="shared" si="2"/>
        <v>0.88415471959042613</v>
      </c>
    </row>
    <row r="67" spans="1:11" s="290" customFormat="1" ht="11.25" x14ac:dyDescent="0.2">
      <c r="A67" s="297">
        <v>31101</v>
      </c>
      <c r="B67" s="231" t="s">
        <v>516</v>
      </c>
      <c r="C67" s="601">
        <v>231000</v>
      </c>
      <c r="D67" s="602">
        <v>-23643.1</v>
      </c>
      <c r="E67" s="603">
        <f t="shared" si="0"/>
        <v>207356.9</v>
      </c>
      <c r="F67" s="607">
        <v>200759.28</v>
      </c>
      <c r="G67" s="607">
        <v>200759.28</v>
      </c>
      <c r="H67" s="816">
        <f>+G67-135718.28</f>
        <v>65041</v>
      </c>
      <c r="I67" s="816">
        <v>65041</v>
      </c>
      <c r="J67" s="605">
        <f t="shared" si="1"/>
        <v>6597.6199999999953</v>
      </c>
      <c r="K67" s="298">
        <f t="shared" si="2"/>
        <v>0.96818229825002211</v>
      </c>
    </row>
    <row r="68" spans="1:11" s="290" customFormat="1" ht="11.25" x14ac:dyDescent="0.2">
      <c r="A68" s="297">
        <v>31301</v>
      </c>
      <c r="B68" s="231" t="s">
        <v>517</v>
      </c>
      <c r="C68" s="601">
        <v>30500.03</v>
      </c>
      <c r="D68" s="602">
        <v>1765.97</v>
      </c>
      <c r="E68" s="603">
        <f t="shared" si="0"/>
        <v>32266</v>
      </c>
      <c r="F68" s="607">
        <v>32266</v>
      </c>
      <c r="G68" s="607">
        <v>32266</v>
      </c>
      <c r="H68" s="816">
        <f>+G68-25787</f>
        <v>6479</v>
      </c>
      <c r="I68" s="816">
        <v>6479</v>
      </c>
      <c r="J68" s="605">
        <f t="shared" si="1"/>
        <v>0</v>
      </c>
      <c r="K68" s="298">
        <f t="shared" si="2"/>
        <v>1</v>
      </c>
    </row>
    <row r="69" spans="1:11" s="290" customFormat="1" ht="11.25" x14ac:dyDescent="0.2">
      <c r="A69" s="297">
        <v>31401</v>
      </c>
      <c r="B69" s="231" t="s">
        <v>518</v>
      </c>
      <c r="C69" s="601">
        <v>232200.1</v>
      </c>
      <c r="D69" s="602">
        <f>82449.98-105746.96</f>
        <v>-23296.98000000001</v>
      </c>
      <c r="E69" s="603">
        <f t="shared" si="0"/>
        <v>208903.12</v>
      </c>
      <c r="F69" s="607">
        <v>171055.86</v>
      </c>
      <c r="G69" s="607">
        <v>171055.86</v>
      </c>
      <c r="H69" s="816">
        <f>+G69-83692.47</f>
        <v>87363.389999999985</v>
      </c>
      <c r="I69" s="816">
        <v>87363.389999999985</v>
      </c>
      <c r="J69" s="605">
        <f t="shared" si="1"/>
        <v>37847.260000000009</v>
      </c>
      <c r="K69" s="298">
        <f t="shared" si="2"/>
        <v>0.81882865129060778</v>
      </c>
    </row>
    <row r="70" spans="1:11" s="290" customFormat="1" ht="11.25" x14ac:dyDescent="0.2">
      <c r="A70" s="297">
        <v>31501</v>
      </c>
      <c r="B70" s="231" t="s">
        <v>519</v>
      </c>
      <c r="C70" s="601">
        <v>18000</v>
      </c>
      <c r="D70" s="602">
        <v>-2062.62</v>
      </c>
      <c r="E70" s="603">
        <f t="shared" si="0"/>
        <v>15937.380000000001</v>
      </c>
      <c r="F70" s="607">
        <v>10500</v>
      </c>
      <c r="G70" s="607">
        <v>10500</v>
      </c>
      <c r="H70" s="816">
        <f>+G70-10500</f>
        <v>0</v>
      </c>
      <c r="I70" s="816">
        <v>0</v>
      </c>
      <c r="J70" s="605">
        <f t="shared" si="1"/>
        <v>5437.380000000001</v>
      </c>
      <c r="K70" s="298">
        <f t="shared" si="2"/>
        <v>0.65882849000274823</v>
      </c>
    </row>
    <row r="71" spans="1:11" s="290" customFormat="1" ht="11.25" x14ac:dyDescent="0.2">
      <c r="A71" s="297">
        <v>31601</v>
      </c>
      <c r="B71" s="231" t="s">
        <v>520</v>
      </c>
      <c r="C71" s="601">
        <v>0</v>
      </c>
      <c r="D71" s="602"/>
      <c r="E71" s="603">
        <f t="shared" si="0"/>
        <v>0</v>
      </c>
      <c r="F71" s="607"/>
      <c r="G71" s="607"/>
      <c r="H71" s="816">
        <v>0</v>
      </c>
      <c r="I71" s="816">
        <v>0</v>
      </c>
      <c r="J71" s="605">
        <f t="shared" si="1"/>
        <v>0</v>
      </c>
      <c r="K71" s="298" t="e">
        <f t="shared" si="2"/>
        <v>#DIV/0!</v>
      </c>
    </row>
    <row r="72" spans="1:11" s="290" customFormat="1" ht="22.5" x14ac:dyDescent="0.2">
      <c r="A72" s="297">
        <v>31701</v>
      </c>
      <c r="B72" s="231" t="s">
        <v>521</v>
      </c>
      <c r="C72" s="601">
        <v>4999.92</v>
      </c>
      <c r="D72" s="602">
        <v>-2055.4</v>
      </c>
      <c r="E72" s="603">
        <f t="shared" si="0"/>
        <v>2944.52</v>
      </c>
      <c r="F72" s="607">
        <v>0</v>
      </c>
      <c r="G72" s="607">
        <v>0</v>
      </c>
      <c r="H72" s="816">
        <v>0</v>
      </c>
      <c r="I72" s="816">
        <v>0</v>
      </c>
      <c r="J72" s="605">
        <f t="shared" si="1"/>
        <v>2944.52</v>
      </c>
      <c r="K72" s="298">
        <f t="shared" si="2"/>
        <v>0</v>
      </c>
    </row>
    <row r="73" spans="1:11" s="290" customFormat="1" ht="11.25" x14ac:dyDescent="0.2">
      <c r="A73" s="297">
        <v>31801</v>
      </c>
      <c r="B73" s="231" t="s">
        <v>522</v>
      </c>
      <c r="C73" s="603">
        <v>4649.04</v>
      </c>
      <c r="D73" s="602">
        <f>397.43-108</f>
        <v>289.43</v>
      </c>
      <c r="E73" s="603">
        <f t="shared" si="0"/>
        <v>4938.47</v>
      </c>
      <c r="F73" s="607">
        <v>3046.15</v>
      </c>
      <c r="G73" s="607">
        <v>3046.15</v>
      </c>
      <c r="H73" s="816">
        <f>+G73-961.2</f>
        <v>2084.9499999999998</v>
      </c>
      <c r="I73" s="816">
        <v>2084.9499999999998</v>
      </c>
      <c r="J73" s="605">
        <f t="shared" si="1"/>
        <v>1892.3200000000002</v>
      </c>
      <c r="K73" s="298">
        <f t="shared" si="2"/>
        <v>0.6168205942326267</v>
      </c>
    </row>
    <row r="74" spans="1:11" s="290" customFormat="1" ht="11.25" x14ac:dyDescent="0.2">
      <c r="A74" s="295">
        <v>3200</v>
      </c>
      <c r="B74" s="234" t="s">
        <v>523</v>
      </c>
      <c r="C74" s="598">
        <f>SUM(C75:C78)</f>
        <v>144999.39999999997</v>
      </c>
      <c r="D74" s="598">
        <f>SUM(D75:D78)</f>
        <v>39344.479999999996</v>
      </c>
      <c r="E74" s="598">
        <f t="shared" si="0"/>
        <v>184343.87999999995</v>
      </c>
      <c r="F74" s="599">
        <f t="shared" ref="F74" si="14">SUM(F75:F78)</f>
        <v>184343.88</v>
      </c>
      <c r="G74" s="599">
        <v>184343.88</v>
      </c>
      <c r="H74" s="814">
        <f>SUM(H75:H78)</f>
        <v>63541.549999999988</v>
      </c>
      <c r="I74" s="814">
        <v>63541.549999999988</v>
      </c>
      <c r="J74" s="600">
        <f t="shared" si="1"/>
        <v>0</v>
      </c>
      <c r="K74" s="296">
        <f t="shared" si="2"/>
        <v>1.0000000000000002</v>
      </c>
    </row>
    <row r="75" spans="1:11" s="290" customFormat="1" ht="12" x14ac:dyDescent="0.2">
      <c r="A75" s="297">
        <v>32201</v>
      </c>
      <c r="B75" s="231" t="s">
        <v>524</v>
      </c>
      <c r="C75" s="601">
        <v>84999.89</v>
      </c>
      <c r="D75" s="602">
        <v>-9205.49</v>
      </c>
      <c r="E75" s="603">
        <f t="shared" si="0"/>
        <v>75794.399999999994</v>
      </c>
      <c r="F75" s="604">
        <v>75794.399999999994</v>
      </c>
      <c r="G75" s="604">
        <v>75794.399999999994</v>
      </c>
      <c r="H75" s="815">
        <f>+G75-56845.8</f>
        <v>18948.599999999991</v>
      </c>
      <c r="I75" s="815">
        <v>18948.599999999991</v>
      </c>
      <c r="J75" s="605">
        <f t="shared" ref="J75:J138" si="15">+E75-F75</f>
        <v>0</v>
      </c>
      <c r="K75" s="298">
        <f t="shared" si="2"/>
        <v>1</v>
      </c>
    </row>
    <row r="76" spans="1:11" s="290" customFormat="1" ht="12" x14ac:dyDescent="0.2">
      <c r="A76" s="297">
        <v>32301</v>
      </c>
      <c r="B76" s="231" t="s">
        <v>525</v>
      </c>
      <c r="C76" s="601">
        <v>52999.839999999997</v>
      </c>
      <c r="D76" s="602">
        <v>50549.64</v>
      </c>
      <c r="E76" s="603">
        <f t="shared" ref="E76:E151" si="16">+C76+D76</f>
        <v>103549.48</v>
      </c>
      <c r="F76" s="604">
        <v>103549.48</v>
      </c>
      <c r="G76" s="604">
        <v>103549.48</v>
      </c>
      <c r="H76" s="815">
        <f>+G76-58956.53</f>
        <v>44592.95</v>
      </c>
      <c r="I76" s="815">
        <v>44592.95</v>
      </c>
      <c r="J76" s="605">
        <f t="shared" si="15"/>
        <v>0</v>
      </c>
      <c r="K76" s="298">
        <f t="shared" si="2"/>
        <v>1</v>
      </c>
    </row>
    <row r="77" spans="1:11" s="290" customFormat="1" ht="12" x14ac:dyDescent="0.2">
      <c r="A77" s="297">
        <v>32501</v>
      </c>
      <c r="B77" s="231" t="s">
        <v>526</v>
      </c>
      <c r="C77" s="601">
        <v>4999.84</v>
      </c>
      <c r="D77" s="602">
        <v>-4999.84</v>
      </c>
      <c r="E77" s="603">
        <f t="shared" si="16"/>
        <v>0</v>
      </c>
      <c r="F77" s="604">
        <v>0</v>
      </c>
      <c r="G77" s="604">
        <v>0</v>
      </c>
      <c r="H77" s="815">
        <v>0</v>
      </c>
      <c r="I77" s="815">
        <v>0</v>
      </c>
      <c r="J77" s="605">
        <f t="shared" si="15"/>
        <v>0</v>
      </c>
      <c r="K77" s="298" t="e">
        <f t="shared" si="2"/>
        <v>#DIV/0!</v>
      </c>
    </row>
    <row r="78" spans="1:11" s="290" customFormat="1" ht="12" x14ac:dyDescent="0.2">
      <c r="A78" s="297">
        <v>32701</v>
      </c>
      <c r="B78" s="231" t="s">
        <v>527</v>
      </c>
      <c r="C78" s="601">
        <v>1999.83</v>
      </c>
      <c r="D78" s="602">
        <v>3000.17</v>
      </c>
      <c r="E78" s="603">
        <f t="shared" si="16"/>
        <v>5000</v>
      </c>
      <c r="F78" s="604">
        <v>5000</v>
      </c>
      <c r="G78" s="604">
        <v>5000</v>
      </c>
      <c r="H78" s="815">
        <f>+G78-5000</f>
        <v>0</v>
      </c>
      <c r="I78" s="815">
        <v>0</v>
      </c>
      <c r="J78" s="605">
        <f t="shared" si="15"/>
        <v>0</v>
      </c>
      <c r="K78" s="298">
        <f t="shared" ref="K78:K152" si="17">+F78/E78</f>
        <v>1</v>
      </c>
    </row>
    <row r="79" spans="1:11" s="290" customFormat="1" ht="22.5" x14ac:dyDescent="0.2">
      <c r="A79" s="295">
        <v>3300</v>
      </c>
      <c r="B79" s="234" t="s">
        <v>528</v>
      </c>
      <c r="C79" s="598">
        <f>SUM(C80:C86)</f>
        <v>775199.8</v>
      </c>
      <c r="D79" s="598">
        <f>SUM(D80:D86)</f>
        <v>450958.07999999996</v>
      </c>
      <c r="E79" s="598">
        <f t="shared" si="16"/>
        <v>1226157.8799999999</v>
      </c>
      <c r="F79" s="599">
        <f>SUM(F80:F86)</f>
        <v>1226035.3899999999</v>
      </c>
      <c r="G79" s="599">
        <v>1226035.3899999999</v>
      </c>
      <c r="H79" s="814">
        <f t="shared" ref="H79" si="18">SUM(H80:H86)</f>
        <v>441876.54999999993</v>
      </c>
      <c r="I79" s="814">
        <v>441876.54999999993</v>
      </c>
      <c r="J79" s="600">
        <f t="shared" si="15"/>
        <v>122.48999999999069</v>
      </c>
      <c r="K79" s="296">
        <f t="shared" si="17"/>
        <v>0.99990010258711548</v>
      </c>
    </row>
    <row r="80" spans="1:11" s="290" customFormat="1" ht="22.5" x14ac:dyDescent="0.2">
      <c r="A80" s="297">
        <v>33101</v>
      </c>
      <c r="B80" s="231" t="s">
        <v>529</v>
      </c>
      <c r="C80" s="601">
        <v>409999.92</v>
      </c>
      <c r="D80" s="602">
        <f>211756.69-10318.52</f>
        <v>201438.17</v>
      </c>
      <c r="E80" s="603">
        <f t="shared" si="16"/>
        <v>611438.09</v>
      </c>
      <c r="F80" s="604">
        <v>611438.09</v>
      </c>
      <c r="G80" s="604">
        <v>611438.09</v>
      </c>
      <c r="H80" s="815">
        <f>+G80-381758.09</f>
        <v>229679.99999999994</v>
      </c>
      <c r="I80" s="815">
        <v>229679.99999999994</v>
      </c>
      <c r="J80" s="605">
        <f t="shared" si="15"/>
        <v>0</v>
      </c>
      <c r="K80" s="298">
        <f t="shared" si="17"/>
        <v>1</v>
      </c>
    </row>
    <row r="81" spans="1:11" s="290" customFormat="1" ht="22.5" x14ac:dyDescent="0.2">
      <c r="A81" s="297">
        <v>33201</v>
      </c>
      <c r="B81" s="231" t="s">
        <v>530</v>
      </c>
      <c r="C81" s="601">
        <v>24999.88</v>
      </c>
      <c r="D81" s="602">
        <v>-24999.88</v>
      </c>
      <c r="E81" s="603">
        <f t="shared" si="16"/>
        <v>0</v>
      </c>
      <c r="F81" s="604">
        <v>0</v>
      </c>
      <c r="G81" s="604">
        <v>0</v>
      </c>
      <c r="H81" s="815">
        <v>0</v>
      </c>
      <c r="I81" s="815">
        <v>0</v>
      </c>
      <c r="J81" s="605">
        <f t="shared" si="15"/>
        <v>0</v>
      </c>
      <c r="K81" s="298" t="e">
        <f t="shared" si="17"/>
        <v>#DIV/0!</v>
      </c>
    </row>
    <row r="82" spans="1:11" s="290" customFormat="1" ht="12" x14ac:dyDescent="0.2">
      <c r="A82" s="297">
        <v>33301</v>
      </c>
      <c r="B82" s="231" t="s">
        <v>531</v>
      </c>
      <c r="C82" s="601">
        <v>6000</v>
      </c>
      <c r="D82" s="602">
        <f>38919.88-30877.49</f>
        <v>8042.3899999999958</v>
      </c>
      <c r="E82" s="603">
        <f t="shared" si="16"/>
        <v>14042.389999999996</v>
      </c>
      <c r="F82" s="604">
        <v>13920</v>
      </c>
      <c r="G82" s="604">
        <v>13920</v>
      </c>
      <c r="H82" s="815">
        <f>+G82-24824</f>
        <v>-10904</v>
      </c>
      <c r="I82" s="815">
        <v>-10904</v>
      </c>
      <c r="J82" s="605">
        <f t="shared" si="15"/>
        <v>122.38999999999578</v>
      </c>
      <c r="K82" s="298">
        <f t="shared" si="17"/>
        <v>0.99128424719723662</v>
      </c>
    </row>
    <row r="83" spans="1:11" s="290" customFormat="1" ht="11.25" x14ac:dyDescent="0.2">
      <c r="A83" s="297">
        <v>33401</v>
      </c>
      <c r="B83" s="231" t="s">
        <v>532</v>
      </c>
      <c r="C83" s="601">
        <v>0</v>
      </c>
      <c r="D83" s="602"/>
      <c r="E83" s="603">
        <f t="shared" si="16"/>
        <v>0</v>
      </c>
      <c r="F83" s="609"/>
      <c r="G83" s="609"/>
      <c r="H83" s="817">
        <v>0</v>
      </c>
      <c r="I83" s="817">
        <v>0</v>
      </c>
      <c r="J83" s="605">
        <f t="shared" si="15"/>
        <v>0</v>
      </c>
      <c r="K83" s="298" t="e">
        <f>+F85/E83</f>
        <v>#DIV/0!</v>
      </c>
    </row>
    <row r="84" spans="1:11" s="290" customFormat="1" ht="11.25" x14ac:dyDescent="0.2">
      <c r="A84" s="297">
        <v>33603</v>
      </c>
      <c r="B84" s="231" t="s">
        <v>533</v>
      </c>
      <c r="C84" s="601">
        <v>0</v>
      </c>
      <c r="D84" s="602">
        <v>39723.800000000003</v>
      </c>
      <c r="E84" s="603">
        <f t="shared" si="16"/>
        <v>39723.800000000003</v>
      </c>
      <c r="F84" s="609">
        <v>39723.699999999997</v>
      </c>
      <c r="G84" s="609">
        <v>39723.699999999997</v>
      </c>
      <c r="H84" s="817">
        <f>+G84-2073.15</f>
        <v>37650.549999999996</v>
      </c>
      <c r="I84" s="817">
        <v>37650.549999999996</v>
      </c>
      <c r="J84" s="605">
        <f t="shared" si="15"/>
        <v>0.10000000000582077</v>
      </c>
      <c r="K84" s="298">
        <f>+F86/E84</f>
        <v>8.8772977409009197</v>
      </c>
    </row>
    <row r="85" spans="1:11" s="290" customFormat="1" ht="23.25" customHeight="1" x14ac:dyDescent="0.2">
      <c r="A85" s="297">
        <v>33605</v>
      </c>
      <c r="B85" s="231" t="s">
        <v>1371</v>
      </c>
      <c r="C85" s="603">
        <v>30000</v>
      </c>
      <c r="D85" s="602">
        <v>178313.60000000001</v>
      </c>
      <c r="E85" s="603">
        <f t="shared" si="16"/>
        <v>208313.60000000001</v>
      </c>
      <c r="F85" s="604">
        <v>208313.60000000001</v>
      </c>
      <c r="G85" s="604">
        <v>208313.60000000001</v>
      </c>
      <c r="H85" s="815">
        <f>+G85-134513.6</f>
        <v>73800</v>
      </c>
      <c r="I85" s="815">
        <v>73800</v>
      </c>
      <c r="J85" s="605">
        <f t="shared" si="15"/>
        <v>0</v>
      </c>
      <c r="K85" s="298" t="e">
        <f>+#REF!/E85</f>
        <v>#REF!</v>
      </c>
    </row>
    <row r="86" spans="1:11" s="290" customFormat="1" ht="12" x14ac:dyDescent="0.2">
      <c r="A86" s="297">
        <v>33801</v>
      </c>
      <c r="B86" s="231" t="s">
        <v>534</v>
      </c>
      <c r="C86" s="603">
        <v>304200</v>
      </c>
      <c r="D86" s="602">
        <f>64390-15950</f>
        <v>48440</v>
      </c>
      <c r="E86" s="603">
        <f t="shared" si="16"/>
        <v>352640</v>
      </c>
      <c r="F86" s="604">
        <v>352640</v>
      </c>
      <c r="G86" s="604">
        <v>352640</v>
      </c>
      <c r="H86" s="815">
        <f>+G86-240990</f>
        <v>111650</v>
      </c>
      <c r="I86" s="815">
        <v>111650</v>
      </c>
      <c r="J86" s="605">
        <f t="shared" si="15"/>
        <v>0</v>
      </c>
      <c r="K86" s="298" t="e">
        <f>+#REF!/E86</f>
        <v>#REF!</v>
      </c>
    </row>
    <row r="87" spans="1:11" s="290" customFormat="1" ht="22.5" x14ac:dyDescent="0.2">
      <c r="A87" s="295">
        <v>3400</v>
      </c>
      <c r="B87" s="234" t="s">
        <v>535</v>
      </c>
      <c r="C87" s="598">
        <f>SUM(C88:C91)</f>
        <v>292999.84000000003</v>
      </c>
      <c r="D87" s="598">
        <f t="shared" ref="D87:F87" si="19">SUM(D88:D91)</f>
        <v>-153992.42000000001</v>
      </c>
      <c r="E87" s="598">
        <f t="shared" si="16"/>
        <v>139007.42000000001</v>
      </c>
      <c r="F87" s="599">
        <f t="shared" si="19"/>
        <v>138549.19</v>
      </c>
      <c r="G87" s="599">
        <v>138549.19</v>
      </c>
      <c r="H87" s="814">
        <f t="shared" ref="H87" si="20">SUM(H88:H91)</f>
        <v>18048.150000000001</v>
      </c>
      <c r="I87" s="814">
        <v>18048.150000000001</v>
      </c>
      <c r="J87" s="600">
        <f t="shared" si="15"/>
        <v>458.23000000001048</v>
      </c>
      <c r="K87" s="296">
        <f t="shared" si="17"/>
        <v>0.99670355726334603</v>
      </c>
    </row>
    <row r="88" spans="1:11" s="290" customFormat="1" ht="11.25" x14ac:dyDescent="0.2">
      <c r="A88" s="297">
        <v>34101</v>
      </c>
      <c r="B88" s="231" t="s">
        <v>536</v>
      </c>
      <c r="C88" s="601">
        <v>69999.92</v>
      </c>
      <c r="D88" s="602">
        <v>4394.83</v>
      </c>
      <c r="E88" s="603">
        <f t="shared" si="16"/>
        <v>74394.75</v>
      </c>
      <c r="F88" s="607">
        <v>74394.75</v>
      </c>
      <c r="G88" s="607">
        <v>74394.75</v>
      </c>
      <c r="H88" s="816">
        <f>+G88-56346.6</f>
        <v>18048.150000000001</v>
      </c>
      <c r="I88" s="816">
        <v>18048.150000000001</v>
      </c>
      <c r="J88" s="605">
        <f t="shared" si="15"/>
        <v>0</v>
      </c>
      <c r="K88" s="298">
        <f t="shared" si="17"/>
        <v>1</v>
      </c>
    </row>
    <row r="89" spans="1:11" s="290" customFormat="1" ht="11.25" x14ac:dyDescent="0.2">
      <c r="A89" s="297">
        <v>34501</v>
      </c>
      <c r="B89" s="231" t="s">
        <v>537</v>
      </c>
      <c r="C89" s="601">
        <v>219999.92</v>
      </c>
      <c r="D89" s="602">
        <v>-155387.25</v>
      </c>
      <c r="E89" s="603">
        <f t="shared" si="16"/>
        <v>64612.670000000013</v>
      </c>
      <c r="F89" s="607">
        <v>64154.44</v>
      </c>
      <c r="G89" s="607">
        <v>64154.44</v>
      </c>
      <c r="H89" s="816">
        <f>+G89-64154.44</f>
        <v>0</v>
      </c>
      <c r="I89" s="816">
        <v>0</v>
      </c>
      <c r="J89" s="605">
        <f t="shared" si="15"/>
        <v>458.23000000001048</v>
      </c>
      <c r="K89" s="298">
        <f t="shared" si="17"/>
        <v>0.99290804729165327</v>
      </c>
    </row>
    <row r="90" spans="1:11" s="290" customFormat="1" ht="11.25" x14ac:dyDescent="0.2">
      <c r="A90" s="297">
        <v>34701</v>
      </c>
      <c r="B90" s="231" t="s">
        <v>538</v>
      </c>
      <c r="C90" s="601">
        <v>3000</v>
      </c>
      <c r="D90" s="602">
        <v>-3000</v>
      </c>
      <c r="E90" s="603">
        <f t="shared" si="16"/>
        <v>0</v>
      </c>
      <c r="F90" s="607"/>
      <c r="G90" s="607"/>
      <c r="H90" s="816"/>
      <c r="I90" s="816"/>
      <c r="J90" s="605">
        <f t="shared" si="15"/>
        <v>0</v>
      </c>
      <c r="K90" s="298" t="e">
        <f t="shared" si="17"/>
        <v>#DIV/0!</v>
      </c>
    </row>
    <row r="91" spans="1:11" s="290" customFormat="1" ht="11.25" x14ac:dyDescent="0.2">
      <c r="A91" s="297">
        <v>34801</v>
      </c>
      <c r="B91" s="231" t="s">
        <v>539</v>
      </c>
      <c r="C91" s="603"/>
      <c r="D91" s="602"/>
      <c r="E91" s="603">
        <f t="shared" si="16"/>
        <v>0</v>
      </c>
      <c r="F91" s="607"/>
      <c r="G91" s="607"/>
      <c r="H91" s="816"/>
      <c r="I91" s="816"/>
      <c r="J91" s="605">
        <f t="shared" si="15"/>
        <v>0</v>
      </c>
      <c r="K91" s="298" t="e">
        <f t="shared" si="17"/>
        <v>#DIV/0!</v>
      </c>
    </row>
    <row r="92" spans="1:11" s="290" customFormat="1" ht="22.5" x14ac:dyDescent="0.2">
      <c r="A92" s="295">
        <v>3500</v>
      </c>
      <c r="B92" s="234" t="s">
        <v>540</v>
      </c>
      <c r="C92" s="598">
        <f>SUM(C93:C99)</f>
        <v>612998.71</v>
      </c>
      <c r="D92" s="598">
        <f>SUM(D93:D99)</f>
        <v>752.62999999999556</v>
      </c>
      <c r="E92" s="598">
        <f t="shared" si="16"/>
        <v>613751.34</v>
      </c>
      <c r="F92" s="599">
        <f t="shared" ref="F92:H92" si="21">SUM(F93:F99)</f>
        <v>602032.28</v>
      </c>
      <c r="G92" s="599">
        <v>602032.28</v>
      </c>
      <c r="H92" s="814">
        <f t="shared" si="21"/>
        <v>293865.62</v>
      </c>
      <c r="I92" s="814">
        <v>293865.62</v>
      </c>
      <c r="J92" s="600">
        <f t="shared" si="15"/>
        <v>11719.059999999939</v>
      </c>
      <c r="K92" s="296">
        <f t="shared" si="17"/>
        <v>0.9809058502422171</v>
      </c>
    </row>
    <row r="93" spans="1:11" s="290" customFormat="1" ht="11.25" x14ac:dyDescent="0.2">
      <c r="A93" s="297">
        <v>35101</v>
      </c>
      <c r="B93" s="231" t="s">
        <v>541</v>
      </c>
      <c r="C93" s="601">
        <v>139999.88</v>
      </c>
      <c r="D93" s="602">
        <f>47682.68-29873.84</f>
        <v>17808.84</v>
      </c>
      <c r="E93" s="603">
        <f t="shared" si="16"/>
        <v>157808.72</v>
      </c>
      <c r="F93" s="607">
        <v>157808.72</v>
      </c>
      <c r="G93" s="607">
        <v>157808.72</v>
      </c>
      <c r="H93" s="816">
        <f>+G93-59316.6</f>
        <v>98492.12</v>
      </c>
      <c r="I93" s="816">
        <v>98492.12</v>
      </c>
      <c r="J93" s="605">
        <f t="shared" si="15"/>
        <v>0</v>
      </c>
      <c r="K93" s="298">
        <f t="shared" si="17"/>
        <v>1</v>
      </c>
    </row>
    <row r="94" spans="1:11" s="290" customFormat="1" ht="22.5" x14ac:dyDescent="0.2">
      <c r="A94" s="297">
        <v>35201</v>
      </c>
      <c r="B94" s="231" t="s">
        <v>542</v>
      </c>
      <c r="C94" s="601">
        <v>49999.76</v>
      </c>
      <c r="D94" s="602">
        <v>-47494.16</v>
      </c>
      <c r="E94" s="603">
        <f t="shared" si="16"/>
        <v>2505.5999999999985</v>
      </c>
      <c r="F94" s="607">
        <v>2505.6</v>
      </c>
      <c r="G94" s="607">
        <v>2505.6</v>
      </c>
      <c r="H94" s="816">
        <f>+G94-22562</f>
        <v>-20056.400000000001</v>
      </c>
      <c r="I94" s="816">
        <v>-20056.400000000001</v>
      </c>
      <c r="J94" s="605">
        <f t="shared" si="15"/>
        <v>0</v>
      </c>
      <c r="K94" s="298">
        <f t="shared" si="17"/>
        <v>1.0000000000000004</v>
      </c>
    </row>
    <row r="95" spans="1:11" s="290" customFormat="1" ht="11.25" x14ac:dyDescent="0.2">
      <c r="A95" s="297">
        <v>35301</v>
      </c>
      <c r="B95" s="231" t="s">
        <v>543</v>
      </c>
      <c r="C95" s="601">
        <v>3999.88</v>
      </c>
      <c r="D95" s="602">
        <v>-3999.88</v>
      </c>
      <c r="E95" s="603">
        <f t="shared" si="16"/>
        <v>0</v>
      </c>
      <c r="F95" s="607"/>
      <c r="G95" s="607"/>
      <c r="H95" s="816">
        <v>0</v>
      </c>
      <c r="I95" s="816">
        <v>0</v>
      </c>
      <c r="J95" s="605">
        <f t="shared" si="15"/>
        <v>0</v>
      </c>
      <c r="K95" s="298" t="e">
        <f t="shared" si="17"/>
        <v>#DIV/0!</v>
      </c>
    </row>
    <row r="96" spans="1:11" s="290" customFormat="1" ht="22.5" x14ac:dyDescent="0.2">
      <c r="A96" s="297">
        <v>35302</v>
      </c>
      <c r="B96" s="231" t="s">
        <v>544</v>
      </c>
      <c r="C96" s="601">
        <v>7999.76</v>
      </c>
      <c r="D96" s="602">
        <f>192098.97-62113.13</f>
        <v>129985.84</v>
      </c>
      <c r="E96" s="603">
        <f t="shared" si="16"/>
        <v>137985.60000000001</v>
      </c>
      <c r="F96" s="607">
        <v>136485.6</v>
      </c>
      <c r="G96" s="607">
        <v>136485.6</v>
      </c>
      <c r="H96" s="816">
        <f>+G96-63521.6</f>
        <v>72964</v>
      </c>
      <c r="I96" s="816">
        <v>72964</v>
      </c>
      <c r="J96" s="605">
        <f t="shared" si="15"/>
        <v>1500</v>
      </c>
      <c r="K96" s="298">
        <f t="shared" si="17"/>
        <v>0.98912930044874248</v>
      </c>
    </row>
    <row r="97" spans="1:11" s="290" customFormat="1" ht="22.5" x14ac:dyDescent="0.2">
      <c r="A97" s="297">
        <v>35501</v>
      </c>
      <c r="B97" s="231" t="s">
        <v>545</v>
      </c>
      <c r="C97" s="601">
        <v>300999.8</v>
      </c>
      <c r="D97" s="602">
        <f>83441.53-155698.99</f>
        <v>-72257.459999999992</v>
      </c>
      <c r="E97" s="603">
        <f t="shared" si="16"/>
        <v>228742.34</v>
      </c>
      <c r="F97" s="607">
        <v>228416.35</v>
      </c>
      <c r="G97" s="607">
        <v>228416.35</v>
      </c>
      <c r="H97" s="816">
        <f>+G97-78086.46</f>
        <v>150329.89000000001</v>
      </c>
      <c r="I97" s="816">
        <v>150329.89000000001</v>
      </c>
      <c r="J97" s="605">
        <f t="shared" si="15"/>
        <v>325.98999999999069</v>
      </c>
      <c r="K97" s="298">
        <f t="shared" si="17"/>
        <v>0.99857485938108359</v>
      </c>
    </row>
    <row r="98" spans="1:11" s="290" customFormat="1" ht="22.5" x14ac:dyDescent="0.2">
      <c r="A98" s="297">
        <v>35701</v>
      </c>
      <c r="B98" s="231" t="s">
        <v>546</v>
      </c>
      <c r="C98" s="601">
        <v>79999.63</v>
      </c>
      <c r="D98" s="602">
        <f>18616.65-53123.21</f>
        <v>-34506.559999999998</v>
      </c>
      <c r="E98" s="603">
        <f t="shared" si="16"/>
        <v>45493.070000000007</v>
      </c>
      <c r="F98" s="607">
        <v>35600</v>
      </c>
      <c r="G98" s="607">
        <v>35600</v>
      </c>
      <c r="H98" s="816">
        <f>+G98-46632</f>
        <v>-11032</v>
      </c>
      <c r="I98" s="816">
        <v>-11032</v>
      </c>
      <c r="J98" s="605">
        <f t="shared" si="15"/>
        <v>9893.070000000007</v>
      </c>
      <c r="K98" s="298">
        <f t="shared" si="17"/>
        <v>0.7825367687869822</v>
      </c>
    </row>
    <row r="99" spans="1:11" s="290" customFormat="1" ht="11.25" x14ac:dyDescent="0.2">
      <c r="A99" s="297">
        <v>35901</v>
      </c>
      <c r="B99" s="231" t="s">
        <v>547</v>
      </c>
      <c r="C99" s="601">
        <v>30000</v>
      </c>
      <c r="D99" s="602">
        <v>11216.01</v>
      </c>
      <c r="E99" s="603">
        <f t="shared" si="16"/>
        <v>41216.01</v>
      </c>
      <c r="F99" s="607">
        <v>41216.01</v>
      </c>
      <c r="G99" s="607">
        <v>41216.01</v>
      </c>
      <c r="H99" s="816">
        <f>+G99-38048</f>
        <v>3168.010000000002</v>
      </c>
      <c r="I99" s="816">
        <v>3168.010000000002</v>
      </c>
      <c r="J99" s="605">
        <f t="shared" si="15"/>
        <v>0</v>
      </c>
      <c r="K99" s="298">
        <f t="shared" si="17"/>
        <v>1</v>
      </c>
    </row>
    <row r="100" spans="1:11" s="290" customFormat="1" ht="11.25" x14ac:dyDescent="0.2">
      <c r="A100" s="295">
        <v>3600</v>
      </c>
      <c r="B100" s="234" t="s">
        <v>548</v>
      </c>
      <c r="C100" s="598">
        <f>SUM(C101)</f>
        <v>221000</v>
      </c>
      <c r="D100" s="598">
        <f t="shared" ref="D100:H100" si="22">SUM(D101)</f>
        <v>0</v>
      </c>
      <c r="E100" s="598">
        <f t="shared" si="16"/>
        <v>221000</v>
      </c>
      <c r="F100" s="599">
        <f t="shared" si="22"/>
        <v>129000</v>
      </c>
      <c r="G100" s="599">
        <v>129000</v>
      </c>
      <c r="H100" s="814">
        <f t="shared" si="22"/>
        <v>21000</v>
      </c>
      <c r="I100" s="814">
        <v>21000</v>
      </c>
      <c r="J100" s="600">
        <f t="shared" si="15"/>
        <v>92000</v>
      </c>
      <c r="K100" s="296">
        <f t="shared" si="17"/>
        <v>0.58371040723981904</v>
      </c>
    </row>
    <row r="101" spans="1:11" s="290" customFormat="1" ht="33.75" x14ac:dyDescent="0.2">
      <c r="A101" s="297">
        <v>36101</v>
      </c>
      <c r="B101" s="231" t="s">
        <v>549</v>
      </c>
      <c r="C101" s="603">
        <v>221000</v>
      </c>
      <c r="D101" s="602"/>
      <c r="E101" s="603">
        <f t="shared" si="16"/>
        <v>221000</v>
      </c>
      <c r="F101" s="607">
        <v>129000</v>
      </c>
      <c r="G101" s="607">
        <v>129000</v>
      </c>
      <c r="H101" s="816">
        <f>+G101-108000</f>
        <v>21000</v>
      </c>
      <c r="I101" s="816">
        <v>21000</v>
      </c>
      <c r="J101" s="605">
        <f t="shared" si="15"/>
        <v>92000</v>
      </c>
      <c r="K101" s="298">
        <f t="shared" si="17"/>
        <v>0.58371040723981904</v>
      </c>
    </row>
    <row r="102" spans="1:11" s="290" customFormat="1" ht="11.25" x14ac:dyDescent="0.2">
      <c r="A102" s="295">
        <v>3700</v>
      </c>
      <c r="B102" s="234" t="s">
        <v>550</v>
      </c>
      <c r="C102" s="598">
        <f>SUM(C103:C107)</f>
        <v>795799.29999999993</v>
      </c>
      <c r="D102" s="598">
        <f>SUM(D103:D107)</f>
        <v>-290251.86000000004</v>
      </c>
      <c r="E102" s="598">
        <f t="shared" si="16"/>
        <v>505547.43999999989</v>
      </c>
      <c r="F102" s="599">
        <f t="shared" ref="F102" si="23">SUM(F103:F107)</f>
        <v>279531.01</v>
      </c>
      <c r="G102" s="599">
        <v>279531.01</v>
      </c>
      <c r="H102" s="814">
        <f>SUM(H103:H107)</f>
        <v>98490</v>
      </c>
      <c r="I102" s="814">
        <v>98490</v>
      </c>
      <c r="J102" s="600">
        <f t="shared" si="15"/>
        <v>226016.42999999988</v>
      </c>
      <c r="K102" s="296">
        <f t="shared" si="17"/>
        <v>0.55292735732179765</v>
      </c>
    </row>
    <row r="103" spans="1:11" s="290" customFormat="1" ht="11.25" x14ac:dyDescent="0.2">
      <c r="A103" s="297">
        <v>37101</v>
      </c>
      <c r="B103" s="231" t="s">
        <v>551</v>
      </c>
      <c r="C103" s="601">
        <v>32400</v>
      </c>
      <c r="D103" s="602">
        <f>2399-3420</f>
        <v>-1021</v>
      </c>
      <c r="E103" s="603">
        <f t="shared" si="16"/>
        <v>31379</v>
      </c>
      <c r="F103" s="607">
        <v>2399</v>
      </c>
      <c r="G103" s="607">
        <v>2399</v>
      </c>
      <c r="H103" s="816">
        <f>+G103-2399</f>
        <v>0</v>
      </c>
      <c r="I103" s="816">
        <v>0</v>
      </c>
      <c r="J103" s="605">
        <f t="shared" si="15"/>
        <v>28980</v>
      </c>
      <c r="K103" s="298">
        <f t="shared" si="17"/>
        <v>7.6452404474329966E-2</v>
      </c>
    </row>
    <row r="104" spans="1:11" s="290" customFormat="1" ht="11.25" x14ac:dyDescent="0.2">
      <c r="A104" s="297">
        <v>37201</v>
      </c>
      <c r="B104" s="231" t="s">
        <v>552</v>
      </c>
      <c r="C104" s="601">
        <v>4999.83</v>
      </c>
      <c r="D104" s="602">
        <v>-1199.96</v>
      </c>
      <c r="E104" s="603">
        <f t="shared" si="16"/>
        <v>3799.87</v>
      </c>
      <c r="F104" s="607">
        <v>280</v>
      </c>
      <c r="G104" s="607">
        <v>280</v>
      </c>
      <c r="H104" s="816">
        <f>+G104-0</f>
        <v>280</v>
      </c>
      <c r="I104" s="816">
        <v>280</v>
      </c>
      <c r="J104" s="605">
        <f t="shared" si="15"/>
        <v>3519.87</v>
      </c>
      <c r="K104" s="298">
        <f t="shared" si="17"/>
        <v>7.3686731388179078E-2</v>
      </c>
    </row>
    <row r="105" spans="1:11" s="290" customFormat="1" ht="11.25" x14ac:dyDescent="0.2">
      <c r="A105" s="297">
        <v>37501</v>
      </c>
      <c r="B105" s="231" t="s">
        <v>553</v>
      </c>
      <c r="C105" s="601">
        <v>689999.96</v>
      </c>
      <c r="D105" s="602">
        <f>30000-327758</f>
        <v>-297758</v>
      </c>
      <c r="E105" s="603">
        <f t="shared" si="16"/>
        <v>392241.95999999996</v>
      </c>
      <c r="F105" s="607">
        <v>221000</v>
      </c>
      <c r="G105" s="607">
        <v>221000</v>
      </c>
      <c r="H105" s="816">
        <f>+G105-143400</f>
        <v>77600</v>
      </c>
      <c r="I105" s="816">
        <v>77600</v>
      </c>
      <c r="J105" s="605">
        <f t="shared" si="15"/>
        <v>171241.95999999996</v>
      </c>
      <c r="K105" s="298">
        <f t="shared" si="17"/>
        <v>0.56342773730785978</v>
      </c>
    </row>
    <row r="106" spans="1:11" s="290" customFormat="1" ht="11.25" x14ac:dyDescent="0.2">
      <c r="A106" s="297">
        <v>37502</v>
      </c>
      <c r="B106" s="231" t="s">
        <v>554</v>
      </c>
      <c r="C106" s="601">
        <v>60999.73</v>
      </c>
      <c r="D106" s="602">
        <f>23260.09-14552.09</f>
        <v>8708</v>
      </c>
      <c r="E106" s="603">
        <f t="shared" si="16"/>
        <v>69707.73000000001</v>
      </c>
      <c r="F106" s="607">
        <v>50420.01</v>
      </c>
      <c r="G106" s="607">
        <v>50420.01</v>
      </c>
      <c r="H106" s="816">
        <f>+G106-31820.01</f>
        <v>18600.000000000004</v>
      </c>
      <c r="I106" s="816">
        <v>18600.000000000004</v>
      </c>
      <c r="J106" s="605">
        <f t="shared" si="15"/>
        <v>19287.720000000008</v>
      </c>
      <c r="K106" s="298">
        <f t="shared" si="17"/>
        <v>0.72330586579135481</v>
      </c>
    </row>
    <row r="107" spans="1:11" s="290" customFormat="1" ht="11.25" x14ac:dyDescent="0.2">
      <c r="A107" s="297">
        <v>37901</v>
      </c>
      <c r="B107" s="231" t="s">
        <v>555</v>
      </c>
      <c r="C107" s="601">
        <v>7399.78</v>
      </c>
      <c r="D107" s="602">
        <f>2603.04-1583.94</f>
        <v>1019.0999999999999</v>
      </c>
      <c r="E107" s="603">
        <f t="shared" si="16"/>
        <v>8418.8799999999992</v>
      </c>
      <c r="F107" s="607">
        <v>5432</v>
      </c>
      <c r="G107" s="607">
        <v>5432</v>
      </c>
      <c r="H107" s="816">
        <f>+G107-3422</f>
        <v>2010</v>
      </c>
      <c r="I107" s="816">
        <v>2010</v>
      </c>
      <c r="J107" s="605">
        <f t="shared" si="15"/>
        <v>2986.8799999999992</v>
      </c>
      <c r="K107" s="298">
        <f t="shared" si="17"/>
        <v>0.64521646584818892</v>
      </c>
    </row>
    <row r="108" spans="1:11" s="290" customFormat="1" ht="11.25" x14ac:dyDescent="0.2">
      <c r="A108" s="295">
        <v>3800</v>
      </c>
      <c r="B108" s="234" t="s">
        <v>556</v>
      </c>
      <c r="C108" s="598">
        <f>SUM(C109:C110)</f>
        <v>103999.92</v>
      </c>
      <c r="D108" s="598">
        <f>SUM(D109:D110)</f>
        <v>-5746.02</v>
      </c>
      <c r="E108" s="598">
        <f t="shared" si="16"/>
        <v>98253.9</v>
      </c>
      <c r="F108" s="599">
        <f t="shared" ref="F108:H108" si="24">SUM(F109:F110)</f>
        <v>21094.15</v>
      </c>
      <c r="G108" s="599">
        <v>21094.15</v>
      </c>
      <c r="H108" s="814">
        <f t="shared" si="24"/>
        <v>17276.480000000003</v>
      </c>
      <c r="I108" s="814">
        <v>17276.480000000003</v>
      </c>
      <c r="J108" s="600">
        <f t="shared" si="15"/>
        <v>77159.75</v>
      </c>
      <c r="K108" s="296">
        <f t="shared" si="17"/>
        <v>0.21469020568140301</v>
      </c>
    </row>
    <row r="109" spans="1:11" s="290" customFormat="1" ht="11.25" x14ac:dyDescent="0.2">
      <c r="A109" s="297">
        <v>38101</v>
      </c>
      <c r="B109" s="231" t="s">
        <v>557</v>
      </c>
      <c r="C109" s="603">
        <v>85999.92</v>
      </c>
      <c r="D109" s="602"/>
      <c r="E109" s="603">
        <f t="shared" si="16"/>
        <v>85999.92</v>
      </c>
      <c r="F109" s="607">
        <v>18094.150000000001</v>
      </c>
      <c r="G109" s="607">
        <v>18094.150000000001</v>
      </c>
      <c r="H109" s="816">
        <f>+G109-3817.67</f>
        <v>14276.480000000001</v>
      </c>
      <c r="I109" s="816">
        <v>14276.480000000001</v>
      </c>
      <c r="J109" s="605">
        <f t="shared" si="15"/>
        <v>67905.76999999999</v>
      </c>
      <c r="K109" s="298">
        <f t="shared" si="17"/>
        <v>0.21039728874166397</v>
      </c>
    </row>
    <row r="110" spans="1:11" s="290" customFormat="1" ht="11.25" x14ac:dyDescent="0.2">
      <c r="A110" s="297">
        <v>38301</v>
      </c>
      <c r="B110" s="231" t="s">
        <v>558</v>
      </c>
      <c r="C110" s="603">
        <v>18000</v>
      </c>
      <c r="D110" s="602">
        <f>3000-8746.02</f>
        <v>-5746.02</v>
      </c>
      <c r="E110" s="603">
        <f t="shared" si="16"/>
        <v>12253.98</v>
      </c>
      <c r="F110" s="607">
        <v>3000</v>
      </c>
      <c r="G110" s="607">
        <v>3000</v>
      </c>
      <c r="H110" s="816">
        <f>+G110-0</f>
        <v>3000</v>
      </c>
      <c r="I110" s="816">
        <v>3000</v>
      </c>
      <c r="J110" s="605">
        <f t="shared" si="15"/>
        <v>9253.98</v>
      </c>
      <c r="K110" s="298">
        <f t="shared" si="17"/>
        <v>0.24481841817923647</v>
      </c>
    </row>
    <row r="111" spans="1:11" s="290" customFormat="1" ht="11.25" x14ac:dyDescent="0.2">
      <c r="A111" s="295">
        <v>3900</v>
      </c>
      <c r="B111" s="234" t="s">
        <v>559</v>
      </c>
      <c r="C111" s="598">
        <f>SUM(C112:C114)</f>
        <v>4999.8</v>
      </c>
      <c r="D111" s="598">
        <f>SUM(D112:D114)</f>
        <v>4347.2</v>
      </c>
      <c r="E111" s="598">
        <f>+E112+E114</f>
        <v>9347</v>
      </c>
      <c r="F111" s="599">
        <f t="shared" ref="F111:H111" si="25">SUM(F112:F114)</f>
        <v>9347</v>
      </c>
      <c r="G111" s="599">
        <v>9347</v>
      </c>
      <c r="H111" s="814">
        <f t="shared" si="25"/>
        <v>2104</v>
      </c>
      <c r="I111" s="814">
        <v>2104</v>
      </c>
      <c r="J111" s="605">
        <f t="shared" si="15"/>
        <v>0</v>
      </c>
      <c r="K111" s="296">
        <f t="shared" si="17"/>
        <v>1</v>
      </c>
    </row>
    <row r="112" spans="1:11" s="290" customFormat="1" ht="11.25" x14ac:dyDescent="0.2">
      <c r="A112" s="297">
        <v>39201</v>
      </c>
      <c r="B112" s="231" t="s">
        <v>560</v>
      </c>
      <c r="C112" s="603">
        <v>4999.8</v>
      </c>
      <c r="D112" s="602">
        <v>-4999.8</v>
      </c>
      <c r="E112" s="603">
        <f>+C112+D112</f>
        <v>0</v>
      </c>
      <c r="F112" s="607">
        <v>0</v>
      </c>
      <c r="G112" s="607">
        <v>0</v>
      </c>
      <c r="H112" s="816"/>
      <c r="I112" s="816"/>
      <c r="J112" s="605">
        <f t="shared" si="15"/>
        <v>0</v>
      </c>
      <c r="K112" s="298" t="e">
        <f t="shared" si="17"/>
        <v>#DIV/0!</v>
      </c>
    </row>
    <row r="113" spans="1:11" s="290" customFormat="1" ht="11.25" x14ac:dyDescent="0.2">
      <c r="A113" s="297">
        <v>39101</v>
      </c>
      <c r="B113" s="231" t="s">
        <v>561</v>
      </c>
      <c r="C113" s="603">
        <v>0</v>
      </c>
      <c r="D113" s="602">
        <v>0</v>
      </c>
      <c r="E113" s="603">
        <f t="shared" ref="E113:E114" si="26">+C113+D113</f>
        <v>0</v>
      </c>
      <c r="F113" s="607"/>
      <c r="G113" s="607"/>
      <c r="H113" s="816"/>
      <c r="I113" s="816"/>
      <c r="J113" s="605">
        <f t="shared" si="15"/>
        <v>0</v>
      </c>
      <c r="K113" s="298">
        <v>0</v>
      </c>
    </row>
    <row r="114" spans="1:11" s="290" customFormat="1" ht="11.25" x14ac:dyDescent="0.2">
      <c r="A114" s="297">
        <v>39501</v>
      </c>
      <c r="B114" s="231" t="s">
        <v>1334</v>
      </c>
      <c r="C114" s="603">
        <v>0</v>
      </c>
      <c r="D114" s="602">
        <v>9347</v>
      </c>
      <c r="E114" s="603">
        <f t="shared" si="26"/>
        <v>9347</v>
      </c>
      <c r="F114" s="607">
        <v>9347</v>
      </c>
      <c r="G114" s="607">
        <v>9347</v>
      </c>
      <c r="H114" s="816">
        <f>+G114-7243</f>
        <v>2104</v>
      </c>
      <c r="I114" s="816">
        <v>2104</v>
      </c>
      <c r="J114" s="605">
        <f t="shared" si="15"/>
        <v>0</v>
      </c>
      <c r="K114" s="298">
        <f t="shared" si="17"/>
        <v>1</v>
      </c>
    </row>
    <row r="115" spans="1:11" s="290" customFormat="1" ht="11.25" x14ac:dyDescent="0.2">
      <c r="A115" s="295">
        <v>5000</v>
      </c>
      <c r="B115" s="234" t="s">
        <v>562</v>
      </c>
      <c r="C115" s="598">
        <f>+C116+C120</f>
        <v>0</v>
      </c>
      <c r="D115" s="598">
        <f t="shared" ref="D115" si="27">+D116+D120</f>
        <v>59394.32</v>
      </c>
      <c r="E115" s="598">
        <f t="shared" si="16"/>
        <v>59394.32</v>
      </c>
      <c r="F115" s="598">
        <f>+F118+F119</f>
        <v>59394.32</v>
      </c>
      <c r="G115" s="598">
        <v>59394.32</v>
      </c>
      <c r="H115" s="612">
        <f>+H118+H119</f>
        <v>8774.32</v>
      </c>
      <c r="I115" s="612">
        <v>8774.32</v>
      </c>
      <c r="J115" s="600">
        <f t="shared" si="15"/>
        <v>0</v>
      </c>
      <c r="K115" s="296">
        <f t="shared" si="17"/>
        <v>1</v>
      </c>
    </row>
    <row r="116" spans="1:11" s="290" customFormat="1" ht="11.25" x14ac:dyDescent="0.2">
      <c r="A116" s="295">
        <v>5100</v>
      </c>
      <c r="B116" s="234" t="s">
        <v>563</v>
      </c>
      <c r="C116" s="598">
        <f>SUM(C117:C119)</f>
        <v>0</v>
      </c>
      <c r="D116" s="598">
        <f>SUM(D117:D119)</f>
        <v>59394.32</v>
      </c>
      <c r="E116" s="598">
        <f t="shared" si="16"/>
        <v>59394.32</v>
      </c>
      <c r="F116" s="598">
        <f ca="1">+F117+F118+F119</f>
        <v>0</v>
      </c>
      <c r="G116" s="598">
        <v>0</v>
      </c>
      <c r="H116" s="612">
        <v>8774.32</v>
      </c>
      <c r="I116" s="612">
        <v>8774.32</v>
      </c>
      <c r="J116" s="600">
        <f t="shared" ca="1" si="15"/>
        <v>949.93000000715256</v>
      </c>
      <c r="K116" s="296">
        <f ca="1">+F117/E116</f>
        <v>0</v>
      </c>
    </row>
    <row r="117" spans="1:11" s="290" customFormat="1" ht="11.25" x14ac:dyDescent="0.2">
      <c r="A117" s="297">
        <v>51101</v>
      </c>
      <c r="B117" s="231" t="s">
        <v>564</v>
      </c>
      <c r="C117" s="603"/>
      <c r="D117" s="602"/>
      <c r="E117" s="603">
        <f t="shared" si="16"/>
        <v>0</v>
      </c>
      <c r="F117" s="599">
        <f ca="1">SUM(F117:F119)</f>
        <v>0</v>
      </c>
      <c r="G117" s="599">
        <v>0</v>
      </c>
      <c r="H117" s="814">
        <f>+G117-0</f>
        <v>0</v>
      </c>
      <c r="I117" s="814">
        <v>0</v>
      </c>
      <c r="J117" s="605">
        <f t="shared" ca="1" si="15"/>
        <v>949.93000000715256</v>
      </c>
      <c r="K117" s="296"/>
    </row>
    <row r="118" spans="1:11" s="290" customFormat="1" ht="11.25" x14ac:dyDescent="0.2">
      <c r="A118" s="297">
        <v>51501</v>
      </c>
      <c r="B118" s="231" t="s">
        <v>1845</v>
      </c>
      <c r="C118" s="603">
        <v>0</v>
      </c>
      <c r="D118" s="602">
        <v>8774.32</v>
      </c>
      <c r="E118" s="603">
        <f t="shared" si="16"/>
        <v>8774.32</v>
      </c>
      <c r="F118" s="607">
        <v>8774.32</v>
      </c>
      <c r="G118" s="607">
        <v>8774.32</v>
      </c>
      <c r="H118" s="816">
        <f>+G118-0</f>
        <v>8774.32</v>
      </c>
      <c r="I118" s="816">
        <v>8774.32</v>
      </c>
      <c r="J118" s="605">
        <f t="shared" si="15"/>
        <v>0</v>
      </c>
      <c r="K118" s="296">
        <f t="shared" ref="K118" si="28">+F118/E118</f>
        <v>1</v>
      </c>
    </row>
    <row r="119" spans="1:11" s="290" customFormat="1" ht="11.25" x14ac:dyDescent="0.2">
      <c r="A119" s="297">
        <v>51901</v>
      </c>
      <c r="B119" s="231" t="s">
        <v>1372</v>
      </c>
      <c r="C119" s="603">
        <v>0</v>
      </c>
      <c r="D119" s="602">
        <v>50620</v>
      </c>
      <c r="E119" s="603">
        <f t="shared" si="16"/>
        <v>50620</v>
      </c>
      <c r="F119" s="607">
        <v>50620</v>
      </c>
      <c r="G119" s="607">
        <v>50620</v>
      </c>
      <c r="H119" s="816">
        <f>+G119-50620</f>
        <v>0</v>
      </c>
      <c r="I119" s="816">
        <v>0</v>
      </c>
      <c r="J119" s="605">
        <f t="shared" si="15"/>
        <v>0</v>
      </c>
      <c r="K119" s="296">
        <f t="shared" si="17"/>
        <v>1</v>
      </c>
    </row>
    <row r="120" spans="1:11" s="290" customFormat="1" ht="11.25" x14ac:dyDescent="0.2">
      <c r="A120" s="295">
        <v>5200</v>
      </c>
      <c r="B120" s="234" t="s">
        <v>565</v>
      </c>
      <c r="C120" s="598">
        <f>SUM(C121:C121)</f>
        <v>0</v>
      </c>
      <c r="D120" s="598">
        <f>SUM(D121:D121)</f>
        <v>0</v>
      </c>
      <c r="E120" s="598">
        <f t="shared" si="16"/>
        <v>0</v>
      </c>
      <c r="F120" s="599">
        <f t="shared" ref="F120:H120" si="29">SUM(F121:F121)</f>
        <v>0</v>
      </c>
      <c r="G120" s="599">
        <v>0</v>
      </c>
      <c r="H120" s="814">
        <f t="shared" si="29"/>
        <v>0</v>
      </c>
      <c r="I120" s="814">
        <v>0</v>
      </c>
      <c r="J120" s="605">
        <f t="shared" si="15"/>
        <v>0</v>
      </c>
      <c r="K120" s="296">
        <v>0</v>
      </c>
    </row>
    <row r="121" spans="1:11" s="290" customFormat="1" ht="11.25" x14ac:dyDescent="0.2">
      <c r="A121" s="297">
        <v>52301</v>
      </c>
      <c r="B121" s="231" t="s">
        <v>566</v>
      </c>
      <c r="C121" s="603"/>
      <c r="D121" s="602"/>
      <c r="E121" s="603">
        <f t="shared" si="16"/>
        <v>0</v>
      </c>
      <c r="F121" s="599">
        <v>0</v>
      </c>
      <c r="G121" s="599">
        <v>0</v>
      </c>
      <c r="H121" s="814"/>
      <c r="I121" s="814"/>
      <c r="J121" s="605">
        <f t="shared" si="15"/>
        <v>0</v>
      </c>
      <c r="K121" s="298">
        <v>0</v>
      </c>
    </row>
    <row r="122" spans="1:11" s="290" customFormat="1" ht="11.25" x14ac:dyDescent="0.2">
      <c r="A122" s="295">
        <v>6000</v>
      </c>
      <c r="B122" s="234" t="s">
        <v>567</v>
      </c>
      <c r="C122" s="598">
        <f>+C123+C125+C132+C135+C143+C152+C154</f>
        <v>385300414.00000006</v>
      </c>
      <c r="D122" s="598">
        <f>+D125+D132+D135</f>
        <v>422248765.66000003</v>
      </c>
      <c r="E122" s="598">
        <f t="shared" si="16"/>
        <v>807549179.66000009</v>
      </c>
      <c r="F122" s="599">
        <f>+F123+F125+F132+F135+F143+F152+F154</f>
        <v>596935129.30999994</v>
      </c>
      <c r="G122" s="599">
        <v>596935129.30999994</v>
      </c>
      <c r="H122" s="814">
        <f>+H123+H125+H132+H135+H143+H152+H154</f>
        <v>296474953.75999999</v>
      </c>
      <c r="I122" s="814">
        <v>296474953.75999999</v>
      </c>
      <c r="J122" s="600">
        <f t="shared" si="15"/>
        <v>210614050.35000014</v>
      </c>
      <c r="K122" s="296">
        <f t="shared" si="17"/>
        <v>0.73919353067924076</v>
      </c>
    </row>
    <row r="123" spans="1:11" s="290" customFormat="1" ht="11.25" x14ac:dyDescent="0.2">
      <c r="A123" s="302">
        <v>611</v>
      </c>
      <c r="B123" s="234" t="s">
        <v>570</v>
      </c>
      <c r="C123" s="598">
        <f>SUM(C124)</f>
        <v>0</v>
      </c>
      <c r="D123" s="598">
        <f t="shared" ref="D123:H123" si="30">SUM(D124)</f>
        <v>0</v>
      </c>
      <c r="E123" s="598">
        <f t="shared" ref="E123:E130" si="31">+C123+D123</f>
        <v>0</v>
      </c>
      <c r="F123" s="599">
        <f t="shared" si="30"/>
        <v>0</v>
      </c>
      <c r="G123" s="599">
        <v>0</v>
      </c>
      <c r="H123" s="814">
        <f t="shared" si="30"/>
        <v>0</v>
      </c>
      <c r="I123" s="814">
        <v>0</v>
      </c>
      <c r="J123" s="600">
        <f t="shared" si="15"/>
        <v>0</v>
      </c>
      <c r="K123" s="296">
        <v>0</v>
      </c>
    </row>
    <row r="124" spans="1:11" s="290" customFormat="1" ht="11.25" x14ac:dyDescent="0.2">
      <c r="A124" s="228">
        <v>61102</v>
      </c>
      <c r="B124" s="233" t="s">
        <v>571</v>
      </c>
      <c r="C124" s="603"/>
      <c r="D124" s="602"/>
      <c r="E124" s="603">
        <f t="shared" si="31"/>
        <v>0</v>
      </c>
      <c r="F124" s="607"/>
      <c r="G124" s="607"/>
      <c r="H124" s="816"/>
      <c r="I124" s="816"/>
      <c r="J124" s="600"/>
      <c r="K124" s="298">
        <v>0</v>
      </c>
    </row>
    <row r="125" spans="1:11" s="290" customFormat="1" ht="11.25" x14ac:dyDescent="0.2">
      <c r="A125" s="302">
        <v>612</v>
      </c>
      <c r="B125" s="234" t="s">
        <v>572</v>
      </c>
      <c r="C125" s="598">
        <f>SUM(C126:C131)</f>
        <v>0</v>
      </c>
      <c r="D125" s="598">
        <f>SUM(D126:D131)</f>
        <v>396591747.43000001</v>
      </c>
      <c r="E125" s="598">
        <f t="shared" si="31"/>
        <v>396591747.43000001</v>
      </c>
      <c r="F125" s="599">
        <f>SUM(F126:F131)</f>
        <v>355460219.20999998</v>
      </c>
      <c r="G125" s="599">
        <v>355460219.20999998</v>
      </c>
      <c r="H125" s="814">
        <f t="shared" ref="H125" si="32">SUM(H126:H131)</f>
        <v>207974398.14999998</v>
      </c>
      <c r="I125" s="814">
        <v>207974398.14999998</v>
      </c>
      <c r="J125" s="600">
        <f t="shared" si="15"/>
        <v>41131528.220000029</v>
      </c>
      <c r="K125" s="296">
        <f t="shared" ref="K125:K129" si="33">+F125/E125</f>
        <v>0.89628748332122088</v>
      </c>
    </row>
    <row r="126" spans="1:11" s="290" customFormat="1" ht="11.25" x14ac:dyDescent="0.2">
      <c r="A126" s="228">
        <v>61201</v>
      </c>
      <c r="B126" s="231" t="s">
        <v>575</v>
      </c>
      <c r="C126" s="598">
        <v>0</v>
      </c>
      <c r="D126" s="610">
        <v>13952196.42</v>
      </c>
      <c r="E126" s="603">
        <f t="shared" si="31"/>
        <v>13952196.42</v>
      </c>
      <c r="F126" s="599"/>
      <c r="G126" s="599"/>
      <c r="H126" s="814"/>
      <c r="I126" s="814"/>
      <c r="J126" s="605">
        <f t="shared" si="15"/>
        <v>13952196.42</v>
      </c>
      <c r="K126" s="298">
        <f t="shared" si="33"/>
        <v>0</v>
      </c>
    </row>
    <row r="127" spans="1:11" s="290" customFormat="1" ht="11.25" x14ac:dyDescent="0.2">
      <c r="A127" s="228">
        <v>61203</v>
      </c>
      <c r="B127" s="233" t="s">
        <v>586</v>
      </c>
      <c r="C127" s="603">
        <v>0</v>
      </c>
      <c r="D127" s="610">
        <v>33538214.149999999</v>
      </c>
      <c r="E127" s="603">
        <f t="shared" si="31"/>
        <v>33538214.149999999</v>
      </c>
      <c r="F127" s="607">
        <v>24482409.190000001</v>
      </c>
      <c r="G127" s="607">
        <v>24482409.190000001</v>
      </c>
      <c r="H127" s="816">
        <f>+G127-15696273.71</f>
        <v>8786135.4800000004</v>
      </c>
      <c r="I127" s="816">
        <v>8786135.4800000004</v>
      </c>
      <c r="J127" s="605">
        <f t="shared" si="15"/>
        <v>9055804.9599999972</v>
      </c>
      <c r="K127" s="298">
        <f t="shared" si="33"/>
        <v>0.729985475091255</v>
      </c>
    </row>
    <row r="128" spans="1:11" s="290" customFormat="1" ht="45" x14ac:dyDescent="0.2">
      <c r="A128" s="228">
        <v>61211</v>
      </c>
      <c r="B128" s="233" t="s">
        <v>573</v>
      </c>
      <c r="C128" s="603">
        <v>0</v>
      </c>
      <c r="D128" s="610">
        <f>339021818.51-4188.36</f>
        <v>339017630.14999998</v>
      </c>
      <c r="E128" s="603">
        <f t="shared" si="31"/>
        <v>339017630.14999998</v>
      </c>
      <c r="F128" s="607">
        <v>320951443.56999999</v>
      </c>
      <c r="G128" s="607">
        <v>320951443.56999999</v>
      </c>
      <c r="H128" s="816">
        <f>+G128-126471202.59</f>
        <v>194480240.97999999</v>
      </c>
      <c r="I128" s="816">
        <v>194480240.97999999</v>
      </c>
      <c r="J128" s="605">
        <f t="shared" si="15"/>
        <v>18066186.579999983</v>
      </c>
      <c r="K128" s="298">
        <f t="shared" si="33"/>
        <v>0.94671018562661025</v>
      </c>
    </row>
    <row r="129" spans="1:11" s="290" customFormat="1" ht="22.5" x14ac:dyDescent="0.2">
      <c r="A129" s="228">
        <v>61214</v>
      </c>
      <c r="B129" s="233" t="s">
        <v>579</v>
      </c>
      <c r="C129" s="603">
        <v>0</v>
      </c>
      <c r="D129" s="610">
        <v>1227219.82</v>
      </c>
      <c r="E129" s="603">
        <f t="shared" si="31"/>
        <v>1227219.82</v>
      </c>
      <c r="F129" s="607">
        <v>1227219.82</v>
      </c>
      <c r="G129" s="607">
        <v>1227219.82</v>
      </c>
      <c r="H129" s="816">
        <f>+G129-1227219.82</f>
        <v>0</v>
      </c>
      <c r="I129" s="816">
        <v>0</v>
      </c>
      <c r="J129" s="605">
        <f t="shared" si="15"/>
        <v>0</v>
      </c>
      <c r="K129" s="298">
        <f t="shared" si="33"/>
        <v>1</v>
      </c>
    </row>
    <row r="130" spans="1:11" s="290" customFormat="1" ht="22.5" x14ac:dyDescent="0.2">
      <c r="A130" s="228">
        <v>61215</v>
      </c>
      <c r="B130" s="233" t="s">
        <v>580</v>
      </c>
      <c r="C130" s="603"/>
      <c r="D130" s="611">
        <v>1805955.1</v>
      </c>
      <c r="E130" s="603">
        <f t="shared" si="31"/>
        <v>1805955.1</v>
      </c>
      <c r="F130" s="607">
        <v>1805955.09</v>
      </c>
      <c r="G130" s="607">
        <v>1805955.09</v>
      </c>
      <c r="H130" s="816">
        <f>+G130-1239267.64</f>
        <v>566687.45000000019</v>
      </c>
      <c r="I130" s="816">
        <v>566687.45000000019</v>
      </c>
      <c r="J130" s="605">
        <f t="shared" si="15"/>
        <v>1.0000000009313226E-2</v>
      </c>
      <c r="K130" s="298"/>
    </row>
    <row r="131" spans="1:11" s="290" customFormat="1" ht="22.5" x14ac:dyDescent="0.2">
      <c r="A131" s="228">
        <v>61222</v>
      </c>
      <c r="B131" s="233" t="s">
        <v>574</v>
      </c>
      <c r="C131" s="603">
        <v>0</v>
      </c>
      <c r="D131" s="610">
        <v>7050531.79</v>
      </c>
      <c r="E131" s="603">
        <f>+C131+D131</f>
        <v>7050531.79</v>
      </c>
      <c r="F131" s="607">
        <v>6993191.54</v>
      </c>
      <c r="G131" s="607">
        <v>6993191.54</v>
      </c>
      <c r="H131" s="816">
        <f>+G131-2851857.3</f>
        <v>4141334.24</v>
      </c>
      <c r="I131" s="816">
        <v>4141334.24</v>
      </c>
      <c r="J131" s="605">
        <f t="shared" si="15"/>
        <v>57340.25</v>
      </c>
      <c r="K131" s="298">
        <f>+F131/E131</f>
        <v>0.99186724466921383</v>
      </c>
    </row>
    <row r="132" spans="1:11" s="290" customFormat="1" ht="33.75" x14ac:dyDescent="0.2">
      <c r="A132" s="302">
        <v>613</v>
      </c>
      <c r="B132" s="234" t="s">
        <v>592</v>
      </c>
      <c r="C132" s="598">
        <f>SUM(C133:C134)</f>
        <v>0</v>
      </c>
      <c r="D132" s="612">
        <f>SUM(D133:D134)</f>
        <v>1247810.94</v>
      </c>
      <c r="E132" s="598">
        <f t="shared" ref="E132" si="34">+C132+D132</f>
        <v>1247810.94</v>
      </c>
      <c r="F132" s="599">
        <f t="shared" ref="F132" si="35">SUM(F133)</f>
        <v>1180701.69</v>
      </c>
      <c r="G132" s="599">
        <v>1180701.69</v>
      </c>
      <c r="H132" s="814">
        <f>+H133</f>
        <v>1105671.6399999999</v>
      </c>
      <c r="I132" s="814">
        <v>1105671.6399999999</v>
      </c>
      <c r="J132" s="600">
        <f>+J133+J134</f>
        <v>-1180701.69</v>
      </c>
      <c r="K132" s="296">
        <f t="shared" ref="K132" si="36">+F132/E132</f>
        <v>0.94621841510701932</v>
      </c>
    </row>
    <row r="133" spans="1:11" s="290" customFormat="1" ht="22.5" x14ac:dyDescent="0.2">
      <c r="A133" s="228">
        <v>61311</v>
      </c>
      <c r="B133" s="233" t="s">
        <v>593</v>
      </c>
      <c r="C133" s="603">
        <v>0</v>
      </c>
      <c r="D133" s="610">
        <v>1226296.96</v>
      </c>
      <c r="E133" s="603"/>
      <c r="F133" s="607">
        <v>1180701.69</v>
      </c>
      <c r="G133" s="607">
        <v>1180701.69</v>
      </c>
      <c r="H133" s="816">
        <f>+G133-75030.05</f>
        <v>1105671.6399999999</v>
      </c>
      <c r="I133" s="816">
        <v>1105671.6399999999</v>
      </c>
      <c r="J133" s="605">
        <f t="shared" si="15"/>
        <v>-1180701.69</v>
      </c>
      <c r="K133" s="296"/>
    </row>
    <row r="134" spans="1:11" s="290" customFormat="1" ht="11.25" x14ac:dyDescent="0.2">
      <c r="A134" s="228">
        <v>61313</v>
      </c>
      <c r="B134" s="233" t="s">
        <v>587</v>
      </c>
      <c r="C134" s="603">
        <v>0</v>
      </c>
      <c r="D134" s="610">
        <v>21513.98</v>
      </c>
      <c r="E134" s="603"/>
      <c r="F134" s="607">
        <v>0</v>
      </c>
      <c r="G134" s="607">
        <v>0</v>
      </c>
      <c r="H134" s="816"/>
      <c r="I134" s="816"/>
      <c r="J134" s="600">
        <f t="shared" si="15"/>
        <v>0</v>
      </c>
      <c r="K134" s="298"/>
    </row>
    <row r="135" spans="1:11" s="290" customFormat="1" ht="22.5" x14ac:dyDescent="0.2">
      <c r="A135" s="302">
        <v>614</v>
      </c>
      <c r="B135" s="234" t="s">
        <v>568</v>
      </c>
      <c r="C135" s="598">
        <f>SUM(C136:C142)</f>
        <v>262107181.46000001</v>
      </c>
      <c r="D135" s="612">
        <f>SUM(D136:D142)</f>
        <v>24409207.289999995</v>
      </c>
      <c r="E135" s="598">
        <f t="shared" si="16"/>
        <v>286516388.75</v>
      </c>
      <c r="F135" s="599">
        <f t="shared" ref="F135" si="37">SUM(F136:F142)</f>
        <v>180117371.5</v>
      </c>
      <c r="G135" s="599">
        <v>180117371.5</v>
      </c>
      <c r="H135" s="814">
        <f>SUM(H136:H142)</f>
        <v>76870717.719999999</v>
      </c>
      <c r="I135" s="814">
        <v>76870717.719999999</v>
      </c>
      <c r="J135" s="600">
        <f t="shared" si="15"/>
        <v>106399017.25</v>
      </c>
      <c r="K135" s="296">
        <f t="shared" si="17"/>
        <v>0.62864596432269526</v>
      </c>
    </row>
    <row r="136" spans="1:11" s="290" customFormat="1" ht="11.25" x14ac:dyDescent="0.2">
      <c r="A136" s="228">
        <v>61403</v>
      </c>
      <c r="B136" s="233" t="s">
        <v>586</v>
      </c>
      <c r="C136" s="603">
        <v>0</v>
      </c>
      <c r="D136" s="611">
        <v>0</v>
      </c>
      <c r="E136" s="603">
        <f t="shared" si="16"/>
        <v>0</v>
      </c>
      <c r="F136" s="607">
        <v>0</v>
      </c>
      <c r="G136" s="607">
        <v>0</v>
      </c>
      <c r="H136" s="816">
        <v>0</v>
      </c>
      <c r="I136" s="816">
        <v>0</v>
      </c>
      <c r="J136" s="605">
        <f t="shared" si="15"/>
        <v>0</v>
      </c>
      <c r="K136" s="298" t="e">
        <f t="shared" si="17"/>
        <v>#DIV/0!</v>
      </c>
    </row>
    <row r="137" spans="1:11" s="290" customFormat="1" ht="11.25" x14ac:dyDescent="0.2">
      <c r="A137" s="228">
        <v>61416</v>
      </c>
      <c r="B137" s="233" t="s">
        <v>569</v>
      </c>
      <c r="C137" s="603">
        <v>77603781</v>
      </c>
      <c r="D137" s="611">
        <v>2769449.54</v>
      </c>
      <c r="E137" s="603">
        <f t="shared" ref="E137" si="38">+C137+D137</f>
        <v>80373230.540000007</v>
      </c>
      <c r="F137" s="607">
        <v>68285815.140000001</v>
      </c>
      <c r="G137" s="607">
        <v>68285815.140000001</v>
      </c>
      <c r="H137" s="816">
        <f>+G137-59470731.99</f>
        <v>8815083.1499999985</v>
      </c>
      <c r="I137" s="816">
        <v>8815083.1499999985</v>
      </c>
      <c r="J137" s="605">
        <f t="shared" si="15"/>
        <v>12087415.400000006</v>
      </c>
      <c r="K137" s="298">
        <f t="shared" ref="K137" si="39">+F137/E137</f>
        <v>0.84960893921037106</v>
      </c>
    </row>
    <row r="138" spans="1:11" s="290" customFormat="1" ht="11.25" x14ac:dyDescent="0.2">
      <c r="A138" s="228">
        <v>61418</v>
      </c>
      <c r="B138" s="337" t="s">
        <v>1373</v>
      </c>
      <c r="C138" s="603">
        <v>0</v>
      </c>
      <c r="D138" s="611">
        <v>9573435.5399999991</v>
      </c>
      <c r="E138" s="603">
        <f t="shared" si="16"/>
        <v>9573435.5399999991</v>
      </c>
      <c r="F138" s="607">
        <v>9466347.3699999992</v>
      </c>
      <c r="G138" s="607">
        <v>9466347.3699999992</v>
      </c>
      <c r="H138" s="816">
        <f>+G138-4390002.7</f>
        <v>5076344.669999999</v>
      </c>
      <c r="I138" s="816">
        <v>5076344.669999999</v>
      </c>
      <c r="J138" s="605">
        <f t="shared" si="15"/>
        <v>107088.16999999993</v>
      </c>
      <c r="K138" s="298">
        <f t="shared" ref="K138:K139" si="40">+F138/E138</f>
        <v>0.98881402924242179</v>
      </c>
    </row>
    <row r="139" spans="1:11" s="290" customFormat="1" ht="11.25" x14ac:dyDescent="0.2">
      <c r="A139" s="228">
        <v>61422</v>
      </c>
      <c r="B139" s="337" t="s">
        <v>1846</v>
      </c>
      <c r="C139" s="603">
        <v>0</v>
      </c>
      <c r="D139" s="611">
        <v>11898367.189999999</v>
      </c>
      <c r="E139" s="603">
        <f t="shared" si="16"/>
        <v>11898367.189999999</v>
      </c>
      <c r="F139" s="607">
        <v>11898367.189999999</v>
      </c>
      <c r="G139" s="607">
        <v>11898367.189999999</v>
      </c>
      <c r="H139" s="816">
        <f>+G139-0</f>
        <v>11898367.189999999</v>
      </c>
      <c r="I139" s="816">
        <v>11898367.189999999</v>
      </c>
      <c r="J139" s="605">
        <f t="shared" ref="J139:J155" si="41">+E139-F139</f>
        <v>0</v>
      </c>
      <c r="K139" s="298">
        <f t="shared" si="40"/>
        <v>1</v>
      </c>
    </row>
    <row r="140" spans="1:11" s="290" customFormat="1" ht="11.25" x14ac:dyDescent="0.2">
      <c r="A140" s="228">
        <v>61424</v>
      </c>
      <c r="B140" s="290" t="s">
        <v>1335</v>
      </c>
      <c r="C140" s="603">
        <v>0</v>
      </c>
      <c r="D140" s="611">
        <v>167955.02</v>
      </c>
      <c r="E140" s="603">
        <f t="shared" si="16"/>
        <v>167955.02</v>
      </c>
      <c r="F140" s="607">
        <v>160003.44</v>
      </c>
      <c r="G140" s="607">
        <v>160003.44</v>
      </c>
      <c r="H140" s="816">
        <f>+G140-80001.72</f>
        <v>80001.72</v>
      </c>
      <c r="I140" s="816">
        <v>80001.72</v>
      </c>
      <c r="J140" s="605">
        <f t="shared" si="41"/>
        <v>7951.5799999999872</v>
      </c>
      <c r="K140" s="298">
        <f t="shared" ref="K140" si="42">+F140/E140</f>
        <v>0.95265649100574679</v>
      </c>
    </row>
    <row r="141" spans="1:11" s="290" customFormat="1" ht="11.25" x14ac:dyDescent="0.2">
      <c r="A141" s="228">
        <v>61425</v>
      </c>
      <c r="B141" s="233" t="s">
        <v>587</v>
      </c>
      <c r="C141" s="603">
        <v>153003400.46000001</v>
      </c>
      <c r="D141" s="602"/>
      <c r="E141" s="603">
        <f t="shared" si="16"/>
        <v>153003400.46000001</v>
      </c>
      <c r="F141" s="607">
        <v>90306838.359999999</v>
      </c>
      <c r="G141" s="607">
        <v>90306838.359999999</v>
      </c>
      <c r="H141" s="816">
        <f>+G141-39305917.37</f>
        <v>51000920.990000002</v>
      </c>
      <c r="I141" s="816">
        <v>51000920.990000002</v>
      </c>
      <c r="J141" s="605">
        <f t="shared" si="41"/>
        <v>62696562.100000009</v>
      </c>
      <c r="K141" s="298"/>
    </row>
    <row r="142" spans="1:11" s="290" customFormat="1" ht="11.25" x14ac:dyDescent="0.2">
      <c r="A142" s="228">
        <v>61427</v>
      </c>
      <c r="B142" s="233" t="s">
        <v>588</v>
      </c>
      <c r="C142" s="603">
        <v>31500000</v>
      </c>
      <c r="D142" s="602"/>
      <c r="E142" s="603">
        <f t="shared" si="16"/>
        <v>31500000</v>
      </c>
      <c r="F142" s="607"/>
      <c r="G142" s="607"/>
      <c r="H142" s="816"/>
      <c r="I142" s="816"/>
      <c r="J142" s="605">
        <f t="shared" si="41"/>
        <v>31500000</v>
      </c>
      <c r="K142" s="298"/>
    </row>
    <row r="143" spans="1:11" s="290" customFormat="1" ht="11.25" x14ac:dyDescent="0.2">
      <c r="A143" s="302">
        <v>622</v>
      </c>
      <c r="B143" s="234" t="s">
        <v>572</v>
      </c>
      <c r="C143" s="598">
        <f>SUM(C144:C151)</f>
        <v>0</v>
      </c>
      <c r="D143" s="598">
        <f>SUM(D144:D151)</f>
        <v>0</v>
      </c>
      <c r="E143" s="598">
        <f t="shared" si="16"/>
        <v>0</v>
      </c>
      <c r="F143" s="599">
        <f t="shared" ref="F143:H143" si="43">SUM(F144:F151)</f>
        <v>0</v>
      </c>
      <c r="G143" s="599">
        <v>0</v>
      </c>
      <c r="H143" s="814">
        <f t="shared" si="43"/>
        <v>0</v>
      </c>
      <c r="I143" s="814">
        <v>0</v>
      </c>
      <c r="J143" s="600">
        <f t="shared" si="41"/>
        <v>0</v>
      </c>
      <c r="K143" s="296"/>
    </row>
    <row r="144" spans="1:11" s="290" customFormat="1" ht="11.25" x14ac:dyDescent="0.2">
      <c r="A144" s="228">
        <v>62201</v>
      </c>
      <c r="B144" s="233" t="s">
        <v>575</v>
      </c>
      <c r="C144" s="603"/>
      <c r="D144" s="602"/>
      <c r="E144" s="603">
        <f t="shared" si="16"/>
        <v>0</v>
      </c>
      <c r="F144" s="607"/>
      <c r="G144" s="607"/>
      <c r="H144" s="816"/>
      <c r="I144" s="816"/>
      <c r="J144" s="600">
        <f t="shared" si="41"/>
        <v>0</v>
      </c>
      <c r="K144" s="298"/>
    </row>
    <row r="145" spans="1:11" s="290" customFormat="1" ht="11.25" x14ac:dyDescent="0.2">
      <c r="A145" s="228">
        <v>62202</v>
      </c>
      <c r="B145" s="233" t="s">
        <v>576</v>
      </c>
      <c r="C145" s="603"/>
      <c r="D145" s="602"/>
      <c r="E145" s="603">
        <f t="shared" si="16"/>
        <v>0</v>
      </c>
      <c r="F145" s="607"/>
      <c r="G145" s="607"/>
      <c r="H145" s="816"/>
      <c r="I145" s="816"/>
      <c r="J145" s="600">
        <f t="shared" si="41"/>
        <v>0</v>
      </c>
      <c r="K145" s="298"/>
    </row>
    <row r="146" spans="1:11" s="290" customFormat="1" ht="22.5" x14ac:dyDescent="0.2">
      <c r="A146" s="228">
        <v>62211</v>
      </c>
      <c r="B146" s="233" t="s">
        <v>577</v>
      </c>
      <c r="C146" s="603"/>
      <c r="D146" s="602"/>
      <c r="E146" s="603">
        <f t="shared" si="16"/>
        <v>0</v>
      </c>
      <c r="F146" s="607"/>
      <c r="G146" s="607"/>
      <c r="H146" s="816"/>
      <c r="I146" s="816"/>
      <c r="J146" s="600">
        <f t="shared" si="41"/>
        <v>0</v>
      </c>
      <c r="K146" s="298"/>
    </row>
    <row r="147" spans="1:11" s="290" customFormat="1" ht="22.5" x14ac:dyDescent="0.2">
      <c r="A147" s="228">
        <v>62213</v>
      </c>
      <c r="B147" s="233" t="s">
        <v>578</v>
      </c>
      <c r="C147" s="603"/>
      <c r="D147" s="602"/>
      <c r="E147" s="603">
        <f t="shared" si="16"/>
        <v>0</v>
      </c>
      <c r="F147" s="607"/>
      <c r="G147" s="607"/>
      <c r="H147" s="816"/>
      <c r="I147" s="816"/>
      <c r="J147" s="600">
        <f t="shared" si="41"/>
        <v>0</v>
      </c>
      <c r="K147" s="298"/>
    </row>
    <row r="148" spans="1:11" s="290" customFormat="1" ht="22.5" x14ac:dyDescent="0.2">
      <c r="A148" s="228">
        <v>62214</v>
      </c>
      <c r="B148" s="233" t="s">
        <v>579</v>
      </c>
      <c r="C148" s="603"/>
      <c r="D148" s="602"/>
      <c r="E148" s="603">
        <f t="shared" si="16"/>
        <v>0</v>
      </c>
      <c r="F148" s="607"/>
      <c r="G148" s="607"/>
      <c r="H148" s="816"/>
      <c r="I148" s="816"/>
      <c r="J148" s="600">
        <f t="shared" si="41"/>
        <v>0</v>
      </c>
      <c r="K148" s="298"/>
    </row>
    <row r="149" spans="1:11" s="290" customFormat="1" ht="22.5" x14ac:dyDescent="0.2">
      <c r="A149" s="228">
        <v>62215</v>
      </c>
      <c r="B149" s="233" t="s">
        <v>580</v>
      </c>
      <c r="C149" s="603"/>
      <c r="D149" s="602"/>
      <c r="E149" s="603">
        <f t="shared" si="16"/>
        <v>0</v>
      </c>
      <c r="F149" s="607"/>
      <c r="G149" s="607"/>
      <c r="H149" s="816"/>
      <c r="I149" s="816"/>
      <c r="J149" s="600">
        <f t="shared" si="41"/>
        <v>0</v>
      </c>
      <c r="K149" s="298"/>
    </row>
    <row r="150" spans="1:11" s="290" customFormat="1" ht="22.5" x14ac:dyDescent="0.2">
      <c r="A150" s="228">
        <v>62217</v>
      </c>
      <c r="B150" s="233" t="s">
        <v>581</v>
      </c>
      <c r="C150" s="603"/>
      <c r="D150" s="602"/>
      <c r="E150" s="603">
        <f t="shared" si="16"/>
        <v>0</v>
      </c>
      <c r="F150" s="607"/>
      <c r="G150" s="607"/>
      <c r="H150" s="816"/>
      <c r="I150" s="816"/>
      <c r="J150" s="600">
        <f t="shared" si="41"/>
        <v>0</v>
      </c>
      <c r="K150" s="298"/>
    </row>
    <row r="151" spans="1:11" s="290" customFormat="1" ht="11.25" x14ac:dyDescent="0.2">
      <c r="A151" s="228">
        <v>62220</v>
      </c>
      <c r="B151" s="233" t="s">
        <v>582</v>
      </c>
      <c r="C151" s="603"/>
      <c r="D151" s="602"/>
      <c r="E151" s="603">
        <f t="shared" si="16"/>
        <v>0</v>
      </c>
      <c r="F151" s="607"/>
      <c r="G151" s="607"/>
      <c r="H151" s="816"/>
      <c r="I151" s="816"/>
      <c r="J151" s="600">
        <f t="shared" si="41"/>
        <v>0</v>
      </c>
      <c r="K151" s="298"/>
    </row>
    <row r="152" spans="1:11" s="290" customFormat="1" ht="22.5" x14ac:dyDescent="0.2">
      <c r="A152" s="302">
        <v>624</v>
      </c>
      <c r="B152" s="234" t="s">
        <v>589</v>
      </c>
      <c r="C152" s="598">
        <f>SUM(C153)</f>
        <v>50000000</v>
      </c>
      <c r="D152" s="598">
        <f>SUM(D153:D155)</f>
        <v>0</v>
      </c>
      <c r="E152" s="613">
        <f>+C152+D152</f>
        <v>50000000</v>
      </c>
      <c r="F152" s="599">
        <f>SUM(F153)</f>
        <v>0</v>
      </c>
      <c r="G152" s="599">
        <v>0</v>
      </c>
      <c r="H152" s="814">
        <f t="shared" ref="H152" si="44">SUM(H153)</f>
        <v>0</v>
      </c>
      <c r="I152" s="814">
        <v>0</v>
      </c>
      <c r="J152" s="600">
        <f t="shared" si="41"/>
        <v>50000000</v>
      </c>
      <c r="K152" s="306">
        <f t="shared" si="17"/>
        <v>0</v>
      </c>
    </row>
    <row r="153" spans="1:11" s="290" customFormat="1" ht="11.25" x14ac:dyDescent="0.2">
      <c r="A153" s="228">
        <v>62420</v>
      </c>
      <c r="B153" s="233" t="s">
        <v>588</v>
      </c>
      <c r="C153" s="614">
        <v>50000000</v>
      </c>
      <c r="D153" s="614"/>
      <c r="E153" s="614"/>
      <c r="F153" s="614"/>
      <c r="G153" s="614"/>
      <c r="H153" s="818"/>
      <c r="I153" s="818"/>
      <c r="J153" s="600">
        <f t="shared" si="41"/>
        <v>0</v>
      </c>
      <c r="K153" s="305"/>
    </row>
    <row r="154" spans="1:11" s="290" customFormat="1" ht="33.75" x14ac:dyDescent="0.2">
      <c r="A154" s="302">
        <v>632</v>
      </c>
      <c r="B154" s="234" t="s">
        <v>590</v>
      </c>
      <c r="C154" s="598">
        <f>SUM(C155)</f>
        <v>73193232.540000007</v>
      </c>
      <c r="D154" s="598">
        <f>SUM(D155:D157)</f>
        <v>0</v>
      </c>
      <c r="E154" s="613">
        <f>+C154+D154</f>
        <v>73193232.540000007</v>
      </c>
      <c r="F154" s="599">
        <f t="shared" ref="F154" si="45">SUM(F155:F157)</f>
        <v>60176836.909999996</v>
      </c>
      <c r="G154" s="599">
        <v>60176836.909999996</v>
      </c>
      <c r="H154" s="814">
        <f t="shared" ref="H154" si="46">SUM(H155:H157)</f>
        <v>10524166.25</v>
      </c>
      <c r="I154" s="814">
        <v>10524166.25</v>
      </c>
      <c r="J154" s="600">
        <f t="shared" si="41"/>
        <v>13016395.63000001</v>
      </c>
      <c r="K154" s="306">
        <f t="shared" ref="K154" si="47">+F154/E154</f>
        <v>0.8221639463336099</v>
      </c>
    </row>
    <row r="155" spans="1:11" s="290" customFormat="1" ht="22.5" x14ac:dyDescent="0.2">
      <c r="A155" s="228">
        <v>63201</v>
      </c>
      <c r="B155" s="231" t="s">
        <v>590</v>
      </c>
      <c r="C155" s="614">
        <v>73193232.540000007</v>
      </c>
      <c r="D155" s="614">
        <v>0</v>
      </c>
      <c r="E155" s="615">
        <f>+C155+D155</f>
        <v>73193232.540000007</v>
      </c>
      <c r="F155" s="614">
        <v>60176836.909999996</v>
      </c>
      <c r="G155" s="614">
        <v>60176836.909999996</v>
      </c>
      <c r="H155" s="818">
        <f>+G155-49652670.66</f>
        <v>10524166.25</v>
      </c>
      <c r="I155" s="818">
        <v>10524166.25</v>
      </c>
      <c r="J155" s="605">
        <f t="shared" si="41"/>
        <v>13016395.63000001</v>
      </c>
      <c r="K155" s="304">
        <f t="shared" ref="K155" si="48">+F155/E155</f>
        <v>0.8221639463336099</v>
      </c>
    </row>
    <row r="156" spans="1:11" s="290" customFormat="1" ht="11.25" x14ac:dyDescent="0.2">
      <c r="A156" s="303"/>
      <c r="B156" s="232"/>
      <c r="C156" s="615"/>
      <c r="D156" s="615"/>
      <c r="E156" s="615"/>
      <c r="F156" s="614"/>
      <c r="G156" s="614"/>
      <c r="H156" s="818"/>
      <c r="I156" s="614"/>
      <c r="J156" s="614"/>
      <c r="K156" s="304"/>
    </row>
    <row r="157" spans="1:11" s="290" customFormat="1" ht="11.25" x14ac:dyDescent="0.2">
      <c r="A157" s="303"/>
      <c r="B157" s="232"/>
      <c r="C157" s="615"/>
      <c r="D157" s="615"/>
      <c r="E157" s="615"/>
      <c r="F157" s="614"/>
      <c r="G157" s="614"/>
      <c r="H157" s="818"/>
      <c r="I157" s="614"/>
      <c r="J157" s="614"/>
      <c r="K157" s="304"/>
    </row>
    <row r="158" spans="1:11" x14ac:dyDescent="0.25">
      <c r="A158" s="307"/>
      <c r="B158" s="308"/>
      <c r="C158" s="616"/>
      <c r="D158" s="616"/>
      <c r="E158" s="616"/>
      <c r="F158" s="617"/>
      <c r="G158" s="617"/>
      <c r="H158" s="819"/>
      <c r="I158" s="617"/>
      <c r="J158" s="617"/>
      <c r="K158" s="309"/>
    </row>
    <row r="159" spans="1:11" x14ac:dyDescent="0.25">
      <c r="A159" s="310"/>
      <c r="B159" s="311" t="s">
        <v>591</v>
      </c>
      <c r="C159" s="618">
        <f>+C122+C65+C36+C10+C115</f>
        <v>408196119.00000006</v>
      </c>
      <c r="D159" s="618">
        <f>+D122+D65+D36+D10+D115</f>
        <v>425956130.77000004</v>
      </c>
      <c r="E159" s="618">
        <f>+C159+D159</f>
        <v>834152249.7700001</v>
      </c>
      <c r="F159" s="618">
        <f>+F122+F65+F36+F10+F115</f>
        <v>623069039.48000002</v>
      </c>
      <c r="G159" s="618">
        <f>+G122+G65+G36+G10+G115</f>
        <v>623069039.48000002</v>
      </c>
      <c r="H159" s="618">
        <f>+H122+H115+H65+H36+H10</f>
        <v>305448935.77999997</v>
      </c>
      <c r="I159" s="618">
        <f>+I122+I65+I36+I10+I115</f>
        <v>305448935.77999997</v>
      </c>
      <c r="J159" s="619">
        <f>+E159-F159</f>
        <v>211083210.29000008</v>
      </c>
      <c r="K159" s="312">
        <f>+F159/E159</f>
        <v>0.74694882097578486</v>
      </c>
    </row>
    <row r="162" spans="2:4" x14ac:dyDescent="0.25">
      <c r="D162" s="621"/>
    </row>
    <row r="165" spans="2:4" x14ac:dyDescent="0.25">
      <c r="B165" s="721" t="s">
        <v>1834</v>
      </c>
      <c r="C165" s="722" t="s">
        <v>1830</v>
      </c>
    </row>
    <row r="166" spans="2:4" x14ac:dyDescent="0.25">
      <c r="B166" s="721" t="s">
        <v>1831</v>
      </c>
      <c r="C166" s="722" t="s">
        <v>1832</v>
      </c>
    </row>
    <row r="167" spans="2:4" x14ac:dyDescent="0.25">
      <c r="B167" s="724"/>
      <c r="C167" s="723"/>
    </row>
    <row r="168" spans="2:4" x14ac:dyDescent="0.25">
      <c r="B168" s="719" t="s">
        <v>1833</v>
      </c>
      <c r="C168" s="723"/>
    </row>
    <row r="169" spans="2:4" x14ac:dyDescent="0.25">
      <c r="B169" s="720" t="s">
        <v>1835</v>
      </c>
      <c r="C169" s="723"/>
    </row>
  </sheetData>
  <mergeCells count="8">
    <mergeCell ref="A1:K1"/>
    <mergeCell ref="A7:B7"/>
    <mergeCell ref="A8:B8"/>
    <mergeCell ref="A4:K4"/>
    <mergeCell ref="A2:K2"/>
    <mergeCell ref="A3:K3"/>
    <mergeCell ref="A5:K5"/>
    <mergeCell ref="A6:K6"/>
  </mergeCells>
  <pageMargins left="0.27559055118110237" right="0.27559055118110237" top="0.86" bottom="0.38" header="0.31496062992125984" footer="0.37"/>
  <pageSetup scale="7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97"/>
  <sheetViews>
    <sheetView workbookViewId="0">
      <selection activeCell="A3" sqref="A3:J3"/>
    </sheetView>
  </sheetViews>
  <sheetFormatPr baseColWidth="10" defaultRowHeight="15" x14ac:dyDescent="0.25"/>
  <cols>
    <col min="1" max="1" width="6.140625" style="45" customWidth="1"/>
    <col min="2" max="2" width="39.5703125" style="45" bestFit="1" customWidth="1"/>
    <col min="3" max="10" width="13.7109375" style="45" customWidth="1"/>
    <col min="11" max="16384" width="11.42578125" style="45"/>
  </cols>
  <sheetData>
    <row r="1" spans="1:11" s="71" customFormat="1" x14ac:dyDescent="0.25">
      <c r="A1" s="968" t="s">
        <v>167</v>
      </c>
      <c r="B1" s="968"/>
      <c r="C1" s="968"/>
      <c r="D1" s="968"/>
      <c r="E1" s="968"/>
      <c r="F1" s="968"/>
      <c r="G1" s="968"/>
      <c r="H1" s="968"/>
      <c r="I1" s="968"/>
      <c r="J1" s="968"/>
    </row>
    <row r="2" spans="1:11" s="72" customFormat="1" ht="15.75" x14ac:dyDescent="0.25">
      <c r="A2" s="968" t="s">
        <v>157</v>
      </c>
      <c r="B2" s="968"/>
      <c r="C2" s="968"/>
      <c r="D2" s="968"/>
      <c r="E2" s="968"/>
      <c r="F2" s="968"/>
      <c r="G2" s="968"/>
      <c r="H2" s="968"/>
      <c r="I2" s="968"/>
      <c r="J2" s="968"/>
    </row>
    <row r="3" spans="1:11" s="72" customFormat="1" ht="15.75" x14ac:dyDescent="0.25">
      <c r="A3" s="968" t="s">
        <v>340</v>
      </c>
      <c r="B3" s="968"/>
      <c r="C3" s="968"/>
      <c r="D3" s="968"/>
      <c r="E3" s="968"/>
      <c r="F3" s="968"/>
      <c r="G3" s="968"/>
      <c r="H3" s="968"/>
      <c r="I3" s="968"/>
      <c r="J3" s="968"/>
    </row>
    <row r="4" spans="1:11" s="72" customFormat="1" ht="15.75" x14ac:dyDescent="0.25">
      <c r="A4" s="968" t="s">
        <v>599</v>
      </c>
      <c r="B4" s="968"/>
      <c r="C4" s="968"/>
      <c r="D4" s="968"/>
      <c r="E4" s="968"/>
      <c r="F4" s="968"/>
      <c r="G4" s="968"/>
      <c r="H4" s="968"/>
      <c r="I4" s="968"/>
      <c r="J4" s="968"/>
      <c r="K4" s="718"/>
    </row>
    <row r="5" spans="1:11" s="72" customFormat="1" ht="15.75" x14ac:dyDescent="0.25">
      <c r="A5" s="968" t="s">
        <v>1842</v>
      </c>
      <c r="B5" s="968"/>
      <c r="C5" s="968"/>
      <c r="D5" s="968"/>
      <c r="E5" s="968"/>
      <c r="F5" s="968"/>
      <c r="G5" s="968"/>
      <c r="H5" s="968"/>
      <c r="I5" s="968"/>
      <c r="J5" s="968"/>
      <c r="K5" s="968"/>
    </row>
    <row r="6" spans="1:11" s="73" customFormat="1" ht="15.75" thickBot="1" x14ac:dyDescent="0.3">
      <c r="A6" s="969" t="s">
        <v>122</v>
      </c>
      <c r="B6" s="969"/>
      <c r="C6" s="969"/>
      <c r="D6" s="969"/>
      <c r="E6" s="969"/>
      <c r="F6" s="969"/>
      <c r="G6" s="969"/>
      <c r="H6" s="969"/>
      <c r="I6" s="969"/>
      <c r="J6" s="969"/>
    </row>
    <row r="7" spans="1:11" s="113" customFormat="1" ht="53.25" customHeight="1" x14ac:dyDescent="0.25">
      <c r="A7" s="993" t="s">
        <v>113</v>
      </c>
      <c r="B7" s="994"/>
      <c r="C7" s="89" t="s">
        <v>217</v>
      </c>
      <c r="D7" s="112" t="s">
        <v>159</v>
      </c>
      <c r="E7" s="435" t="s">
        <v>218</v>
      </c>
      <c r="F7" s="437" t="s">
        <v>1362</v>
      </c>
      <c r="G7" s="437" t="s">
        <v>1363</v>
      </c>
      <c r="H7" s="140" t="s">
        <v>1364</v>
      </c>
      <c r="I7" s="140" t="s">
        <v>1365</v>
      </c>
      <c r="J7" s="89" t="s">
        <v>337</v>
      </c>
    </row>
    <row r="8" spans="1:11" s="114" customFormat="1" ht="13.5" thickBot="1" x14ac:dyDescent="0.3">
      <c r="A8" s="999"/>
      <c r="B8" s="1000"/>
      <c r="C8" s="91" t="s">
        <v>193</v>
      </c>
      <c r="D8" s="90" t="s">
        <v>194</v>
      </c>
      <c r="E8" s="90" t="s">
        <v>161</v>
      </c>
      <c r="F8" s="438" t="s">
        <v>195</v>
      </c>
      <c r="G8" s="438" t="s">
        <v>196</v>
      </c>
      <c r="H8" s="141" t="s">
        <v>1357</v>
      </c>
      <c r="I8" s="141" t="s">
        <v>1358</v>
      </c>
      <c r="J8" s="90" t="s">
        <v>1366</v>
      </c>
    </row>
    <row r="9" spans="1:11" ht="30" customHeight="1" x14ac:dyDescent="0.25">
      <c r="A9" s="115"/>
      <c r="B9" s="94" t="s">
        <v>341</v>
      </c>
      <c r="C9" s="651">
        <f>+'ETCA-II-09'!C9+'ETCA-II-09'!C10+'ETCA-II-09'!C11</f>
        <v>22895705</v>
      </c>
      <c r="D9" s="651">
        <f>+'ETCA-II-09'!D9+'ETCA-II-09'!D10+'ETCA-II-09'!D11+'ETCA-II-09'!D13</f>
        <v>3707365.1099999989</v>
      </c>
      <c r="E9" s="651">
        <f>+C9+D9</f>
        <v>26603070.109999999</v>
      </c>
      <c r="F9" s="651">
        <f>+'ETCA-II-09'!F9+'ETCA-II-09'!F10+'ETCA-II-09'!F11+'ETCA-II-09'!F13</f>
        <v>26133910.170000002</v>
      </c>
      <c r="G9" s="651">
        <f>+'ETCA-II-09'!G9+'ETCA-II-09'!G10+'ETCA-II-09'!G11+'ETCA-II-09'!G13</f>
        <v>26133910.170000002</v>
      </c>
      <c r="H9" s="651">
        <f>+'ETCA-II-09'!H9+'ETCA-II-09'!H10+'ETCA-II-09'!H11+'ETCA-II-09'!H13</f>
        <v>8973982.0200000014</v>
      </c>
      <c r="I9" s="651">
        <f>+'ETCA-II-09'!I9+'ETCA-II-09'!I10+'ETCA-II-09'!I11+'ETCA-II-09'!I13</f>
        <v>8973982.0200000014</v>
      </c>
      <c r="J9" s="651">
        <f>+E9-F9</f>
        <v>469159.93999999762</v>
      </c>
    </row>
    <row r="10" spans="1:11" ht="30" customHeight="1" x14ac:dyDescent="0.25">
      <c r="A10" s="115"/>
      <c r="B10" s="94"/>
      <c r="C10" s="651"/>
      <c r="D10" s="651"/>
      <c r="E10" s="651"/>
      <c r="F10" s="651"/>
      <c r="G10" s="651"/>
      <c r="H10" s="651"/>
      <c r="I10" s="651"/>
      <c r="J10" s="651"/>
    </row>
    <row r="11" spans="1:11" ht="30" customHeight="1" x14ac:dyDescent="0.25">
      <c r="A11" s="115"/>
      <c r="B11" s="94" t="s">
        <v>342</v>
      </c>
      <c r="C11" s="651">
        <f>+'ETCA-II-09'!C14</f>
        <v>385300414</v>
      </c>
      <c r="D11" s="651">
        <f>+'ETCA-II-09'!D14</f>
        <v>422248765.65999997</v>
      </c>
      <c r="E11" s="651">
        <f>+C11+D11</f>
        <v>807549179.65999997</v>
      </c>
      <c r="F11" s="651">
        <f>+'ETCA-II-09'!F14</f>
        <v>596935129.30999994</v>
      </c>
      <c r="G11" s="651">
        <f>+'ETCA-II-09'!G14</f>
        <v>596935129.30999994</v>
      </c>
      <c r="H11" s="651">
        <f>+'ETCA-II-09'!H14</f>
        <v>296474953.75999993</v>
      </c>
      <c r="I11" s="651">
        <f>+'ETCA-II-09'!I14</f>
        <v>296474953.75999993</v>
      </c>
      <c r="J11" s="651">
        <f>+E11-F11</f>
        <v>210614050.35000002</v>
      </c>
    </row>
    <row r="12" spans="1:11" ht="30" customHeight="1" x14ac:dyDescent="0.25">
      <c r="A12" s="115"/>
      <c r="B12" s="94"/>
      <c r="C12" s="651"/>
      <c r="D12" s="651"/>
      <c r="E12" s="651"/>
      <c r="F12" s="651"/>
      <c r="G12" s="651"/>
      <c r="H12" s="651"/>
      <c r="I12" s="651"/>
      <c r="J12" s="651"/>
    </row>
    <row r="13" spans="1:11" ht="30" customHeight="1" x14ac:dyDescent="0.25">
      <c r="A13" s="115"/>
      <c r="B13" s="94" t="s">
        <v>343</v>
      </c>
      <c r="C13" s="651"/>
      <c r="D13" s="651"/>
      <c r="E13" s="651"/>
      <c r="F13" s="651"/>
      <c r="G13" s="651"/>
      <c r="H13" s="651"/>
      <c r="I13" s="651"/>
      <c r="J13" s="651"/>
    </row>
    <row r="14" spans="1:11" ht="30" customHeight="1" x14ac:dyDescent="0.25">
      <c r="A14" s="115"/>
      <c r="B14" s="94"/>
      <c r="C14" s="651"/>
      <c r="D14" s="651"/>
      <c r="E14" s="651"/>
      <c r="F14" s="651"/>
      <c r="G14" s="651"/>
      <c r="H14" s="651"/>
      <c r="I14" s="651"/>
      <c r="J14" s="651"/>
    </row>
    <row r="15" spans="1:11" ht="30" customHeight="1" x14ac:dyDescent="0.25">
      <c r="A15" s="115"/>
      <c r="B15" s="94" t="s">
        <v>29</v>
      </c>
      <c r="C15" s="651"/>
      <c r="D15" s="651"/>
      <c r="E15" s="651"/>
      <c r="F15" s="651"/>
      <c r="G15" s="651"/>
      <c r="H15" s="651"/>
      <c r="I15" s="651"/>
      <c r="J15" s="651"/>
    </row>
    <row r="16" spans="1:11" ht="30" customHeight="1" x14ac:dyDescent="0.25">
      <c r="A16" s="115"/>
      <c r="B16" s="94"/>
      <c r="C16" s="651"/>
      <c r="D16" s="651"/>
      <c r="E16" s="651"/>
      <c r="F16" s="651"/>
      <c r="G16" s="651"/>
      <c r="H16" s="651"/>
      <c r="I16" s="651"/>
      <c r="J16" s="651"/>
    </row>
    <row r="17" spans="1:10" ht="30" customHeight="1" x14ac:dyDescent="0.25">
      <c r="A17" s="115"/>
      <c r="B17" s="94" t="s">
        <v>35</v>
      </c>
      <c r="C17" s="651"/>
      <c r="D17" s="651"/>
      <c r="E17" s="651"/>
      <c r="F17" s="651"/>
      <c r="G17" s="651"/>
      <c r="H17" s="651"/>
      <c r="I17" s="651"/>
      <c r="J17" s="651"/>
    </row>
    <row r="18" spans="1:10" ht="30" customHeight="1" thickBot="1" x14ac:dyDescent="0.3">
      <c r="A18" s="116"/>
      <c r="B18" s="96"/>
      <c r="C18" s="652"/>
      <c r="D18" s="652"/>
      <c r="E18" s="652"/>
      <c r="F18" s="652"/>
      <c r="G18" s="652"/>
      <c r="H18" s="652"/>
      <c r="I18" s="652"/>
      <c r="J18" s="652"/>
    </row>
    <row r="19" spans="1:10" ht="30" customHeight="1" thickBot="1" x14ac:dyDescent="0.3">
      <c r="A19" s="110"/>
      <c r="B19" s="111" t="s">
        <v>166</v>
      </c>
      <c r="C19" s="652">
        <f>SUM(C9:C18)</f>
        <v>408196119</v>
      </c>
      <c r="D19" s="652">
        <f>SUM(D9:D18)</f>
        <v>425956130.76999998</v>
      </c>
      <c r="E19" s="653">
        <f>+C19+D19</f>
        <v>834152249.76999998</v>
      </c>
      <c r="F19" s="652">
        <f t="shared" ref="F19:I19" si="0">SUM(F9:F18)</f>
        <v>623069039.4799999</v>
      </c>
      <c r="G19" s="652">
        <f t="shared" si="0"/>
        <v>623069039.4799999</v>
      </c>
      <c r="H19" s="652">
        <f t="shared" si="0"/>
        <v>305448935.77999991</v>
      </c>
      <c r="I19" s="652">
        <f t="shared" si="0"/>
        <v>305448935.77999991</v>
      </c>
      <c r="J19" s="653">
        <f>+E19-F19</f>
        <v>211083210.29000008</v>
      </c>
    </row>
    <row r="24" spans="1:10" s="71" customFormat="1" x14ac:dyDescent="0.25">
      <c r="A24" s="968" t="s">
        <v>167</v>
      </c>
      <c r="B24" s="968"/>
      <c r="C24" s="968"/>
      <c r="D24" s="968"/>
      <c r="E24" s="968"/>
      <c r="F24" s="968"/>
      <c r="G24" s="968"/>
      <c r="H24" s="968"/>
      <c r="I24" s="968"/>
      <c r="J24" s="968"/>
    </row>
    <row r="25" spans="1:10" s="72" customFormat="1" ht="15.75" x14ac:dyDescent="0.25">
      <c r="A25" s="968" t="s">
        <v>157</v>
      </c>
      <c r="B25" s="968"/>
      <c r="C25" s="968"/>
      <c r="D25" s="968"/>
      <c r="E25" s="968"/>
      <c r="F25" s="968"/>
      <c r="G25" s="968"/>
      <c r="H25" s="968"/>
      <c r="I25" s="968"/>
      <c r="J25" s="968"/>
    </row>
    <row r="26" spans="1:10" s="72" customFormat="1" ht="15.75" x14ac:dyDescent="0.25">
      <c r="A26" s="968" t="s">
        <v>1374</v>
      </c>
      <c r="B26" s="968"/>
      <c r="C26" s="968"/>
      <c r="D26" s="968"/>
      <c r="E26" s="968"/>
      <c r="F26" s="968"/>
      <c r="G26" s="968"/>
      <c r="H26" s="968"/>
      <c r="I26" s="968"/>
      <c r="J26" s="968"/>
    </row>
    <row r="27" spans="1:10" s="72" customFormat="1" ht="15.75" x14ac:dyDescent="0.25">
      <c r="A27" s="576"/>
      <c r="B27" s="576"/>
      <c r="C27" s="576"/>
      <c r="D27" s="576"/>
      <c r="E27" s="576" t="s">
        <v>1375</v>
      </c>
      <c r="F27" s="576"/>
      <c r="G27" s="576"/>
      <c r="H27" s="576"/>
      <c r="I27" s="576"/>
      <c r="J27" s="576"/>
    </row>
    <row r="28" spans="1:10" s="72" customFormat="1" ht="15.75" x14ac:dyDescent="0.25">
      <c r="A28" s="576"/>
      <c r="B28" s="576"/>
      <c r="C28" s="576"/>
      <c r="D28" s="576"/>
      <c r="E28" s="576" t="s">
        <v>1376</v>
      </c>
      <c r="F28" s="576"/>
      <c r="G28" s="576"/>
      <c r="H28" s="576"/>
      <c r="I28" s="576"/>
      <c r="J28" s="576"/>
    </row>
    <row r="29" spans="1:10" s="72" customFormat="1" ht="15.75" x14ac:dyDescent="0.25">
      <c r="A29" s="968" t="s">
        <v>599</v>
      </c>
      <c r="B29" s="968"/>
      <c r="C29" s="968"/>
      <c r="D29" s="968"/>
      <c r="E29" s="968"/>
      <c r="F29" s="968"/>
      <c r="G29" s="968"/>
      <c r="H29" s="968"/>
      <c r="I29" s="968"/>
      <c r="J29" s="968"/>
    </row>
    <row r="30" spans="1:10" s="72" customFormat="1" ht="15.75" x14ac:dyDescent="0.25">
      <c r="A30" s="968" t="s">
        <v>1842</v>
      </c>
      <c r="B30" s="968"/>
      <c r="C30" s="968"/>
      <c r="D30" s="968"/>
      <c r="E30" s="968"/>
      <c r="F30" s="968"/>
      <c r="G30" s="968"/>
      <c r="H30" s="968"/>
      <c r="I30" s="968"/>
      <c r="J30" s="968"/>
    </row>
    <row r="31" spans="1:10" s="73" customFormat="1" ht="15.75" thickBot="1" x14ac:dyDescent="0.3">
      <c r="A31" s="969" t="s">
        <v>122</v>
      </c>
      <c r="B31" s="969"/>
      <c r="C31" s="969"/>
      <c r="D31" s="969"/>
      <c r="E31" s="969"/>
      <c r="F31" s="969"/>
      <c r="G31" s="969"/>
      <c r="H31" s="969"/>
      <c r="I31" s="969"/>
      <c r="J31" s="969"/>
    </row>
    <row r="32" spans="1:10" s="113" customFormat="1" ht="53.25" customHeight="1" thickBot="1" x14ac:dyDescent="0.3">
      <c r="A32" s="622" t="s">
        <v>1377</v>
      </c>
      <c r="B32" s="623" t="s">
        <v>1378</v>
      </c>
      <c r="C32" s="89" t="s">
        <v>1379</v>
      </c>
      <c r="D32" s="112" t="s">
        <v>1380</v>
      </c>
      <c r="E32" s="1005" t="s">
        <v>1381</v>
      </c>
      <c r="F32" s="1006"/>
      <c r="G32" s="1006"/>
      <c r="H32" s="1006"/>
      <c r="I32" s="1006"/>
      <c r="J32" s="1007"/>
    </row>
    <row r="33" spans="1:10" s="114" customFormat="1" ht="15.75" customHeight="1" thickBot="1" x14ac:dyDescent="0.3">
      <c r="A33" s="624"/>
      <c r="B33" s="625"/>
      <c r="C33" s="91"/>
      <c r="D33" s="90"/>
      <c r="E33" s="626" t="s">
        <v>1382</v>
      </c>
      <c r="F33" s="1014" t="s">
        <v>1383</v>
      </c>
      <c r="G33" s="1015"/>
      <c r="H33" s="626" t="s">
        <v>1384</v>
      </c>
      <c r="I33" s="1008" t="s">
        <v>1385</v>
      </c>
      <c r="J33" s="1009"/>
    </row>
    <row r="34" spans="1:10" s="114" customFormat="1" ht="7.5" customHeight="1" x14ac:dyDescent="0.25">
      <c r="A34" s="627"/>
      <c r="B34" s="628"/>
      <c r="C34" s="120"/>
      <c r="D34" s="120"/>
      <c r="E34" s="120"/>
      <c r="F34" s="1016"/>
      <c r="G34" s="1017"/>
      <c r="H34" s="629"/>
      <c r="I34" s="1018"/>
      <c r="J34" s="1019"/>
    </row>
    <row r="35" spans="1:10" ht="30" customHeight="1" x14ac:dyDescent="0.25">
      <c r="A35" s="630">
        <v>451</v>
      </c>
      <c r="B35" s="631" t="s">
        <v>1386</v>
      </c>
      <c r="C35" s="632">
        <v>4</v>
      </c>
      <c r="D35" s="631"/>
      <c r="E35" s="632" t="s">
        <v>1387</v>
      </c>
      <c r="F35" s="1001" t="s">
        <v>1386</v>
      </c>
      <c r="G35" s="1002"/>
      <c r="H35" s="632" t="s">
        <v>1388</v>
      </c>
      <c r="I35" s="1001" t="s">
        <v>1389</v>
      </c>
      <c r="J35" s="1002"/>
    </row>
    <row r="36" spans="1:10" ht="30" customHeight="1" x14ac:dyDescent="0.25">
      <c r="A36" s="630">
        <v>452</v>
      </c>
      <c r="B36" s="631" t="s">
        <v>1390</v>
      </c>
      <c r="C36" s="632">
        <v>4</v>
      </c>
      <c r="D36" s="631"/>
      <c r="E36" s="632" t="s">
        <v>1391</v>
      </c>
      <c r="F36" s="1001" t="s">
        <v>1390</v>
      </c>
      <c r="G36" s="1002"/>
      <c r="H36" s="632" t="s">
        <v>1388</v>
      </c>
      <c r="I36" s="1001" t="s">
        <v>1389</v>
      </c>
      <c r="J36" s="1002"/>
    </row>
    <row r="37" spans="1:10" ht="30" customHeight="1" x14ac:dyDescent="0.25">
      <c r="A37" s="630">
        <v>459</v>
      </c>
      <c r="B37" s="631" t="s">
        <v>1392</v>
      </c>
      <c r="C37" s="632">
        <v>4</v>
      </c>
      <c r="D37" s="631"/>
      <c r="E37" s="632" t="s">
        <v>1393</v>
      </c>
      <c r="F37" s="1001" t="s">
        <v>1392</v>
      </c>
      <c r="G37" s="1002"/>
      <c r="H37" s="632" t="s">
        <v>1388</v>
      </c>
      <c r="I37" s="1001" t="s">
        <v>1389</v>
      </c>
      <c r="J37" s="1002"/>
    </row>
    <row r="38" spans="1:10" ht="16.5" customHeight="1" x14ac:dyDescent="0.25">
      <c r="A38" s="630"/>
      <c r="B38" s="633" t="s">
        <v>1394</v>
      </c>
      <c r="C38" s="632"/>
      <c r="D38" s="631"/>
      <c r="E38" s="632"/>
      <c r="F38" s="1001"/>
      <c r="G38" s="1002"/>
      <c r="H38" s="632"/>
      <c r="I38" s="1001"/>
      <c r="J38" s="1002"/>
    </row>
    <row r="39" spans="1:10" ht="30" customHeight="1" x14ac:dyDescent="0.25">
      <c r="A39" s="630">
        <v>471</v>
      </c>
      <c r="B39" s="631" t="s">
        <v>1395</v>
      </c>
      <c r="C39" s="632">
        <v>4</v>
      </c>
      <c r="D39" s="631"/>
      <c r="E39" s="632" t="s">
        <v>1396</v>
      </c>
      <c r="F39" s="1001" t="s">
        <v>1395</v>
      </c>
      <c r="G39" s="1002"/>
      <c r="H39" s="632" t="s">
        <v>1388</v>
      </c>
      <c r="I39" s="1001" t="s">
        <v>1389</v>
      </c>
      <c r="J39" s="1002"/>
    </row>
    <row r="40" spans="1:10" ht="15.75" customHeight="1" x14ac:dyDescent="0.25">
      <c r="A40" s="630"/>
      <c r="B40" s="633" t="s">
        <v>1394</v>
      </c>
      <c r="C40" s="632"/>
      <c r="D40" s="631"/>
      <c r="E40" s="632"/>
      <c r="F40" s="1001"/>
      <c r="G40" s="1002"/>
      <c r="H40" s="632"/>
      <c r="I40" s="1001"/>
      <c r="J40" s="1002"/>
    </row>
    <row r="41" spans="1:10" ht="30" customHeight="1" x14ac:dyDescent="0.25">
      <c r="A41" s="630">
        <v>811</v>
      </c>
      <c r="B41" s="631" t="s">
        <v>1397</v>
      </c>
      <c r="C41" s="632">
        <v>5</v>
      </c>
      <c r="D41" s="631"/>
      <c r="E41" s="632" t="s">
        <v>1398</v>
      </c>
      <c r="F41" s="1010" t="s">
        <v>1399</v>
      </c>
      <c r="G41" s="1011"/>
      <c r="H41" s="632" t="s">
        <v>1400</v>
      </c>
      <c r="I41" s="1001" t="s">
        <v>1401</v>
      </c>
      <c r="J41" s="1002"/>
    </row>
    <row r="42" spans="1:10" ht="30" customHeight="1" x14ac:dyDescent="0.25">
      <c r="A42" s="630">
        <v>812</v>
      </c>
      <c r="B42" s="631" t="s">
        <v>1402</v>
      </c>
      <c r="C42" s="632">
        <v>5</v>
      </c>
      <c r="D42" s="631"/>
      <c r="E42" s="632" t="s">
        <v>1398</v>
      </c>
      <c r="F42" s="1010" t="s">
        <v>1399</v>
      </c>
      <c r="G42" s="1011"/>
      <c r="H42" s="632" t="s">
        <v>1400</v>
      </c>
      <c r="I42" s="1001" t="s">
        <v>1401</v>
      </c>
      <c r="J42" s="1002"/>
    </row>
    <row r="43" spans="1:10" ht="30" customHeight="1" x14ac:dyDescent="0.25">
      <c r="A43" s="630">
        <v>813</v>
      </c>
      <c r="B43" s="631" t="s">
        <v>1403</v>
      </c>
      <c r="C43" s="632">
        <v>5</v>
      </c>
      <c r="D43" s="631"/>
      <c r="E43" s="632" t="s">
        <v>1404</v>
      </c>
      <c r="F43" s="1001" t="s">
        <v>1403</v>
      </c>
      <c r="G43" s="1002"/>
      <c r="H43" s="632" t="s">
        <v>1400</v>
      </c>
      <c r="I43" s="1001" t="s">
        <v>1401</v>
      </c>
      <c r="J43" s="1002"/>
    </row>
    <row r="44" spans="1:10" ht="30" customHeight="1" x14ac:dyDescent="0.25">
      <c r="A44" s="630">
        <v>814</v>
      </c>
      <c r="B44" s="631" t="s">
        <v>1405</v>
      </c>
      <c r="C44" s="632">
        <v>5</v>
      </c>
      <c r="D44" s="631"/>
      <c r="E44" s="632" t="s">
        <v>1398</v>
      </c>
      <c r="F44" s="1010" t="s">
        <v>1399</v>
      </c>
      <c r="G44" s="1011"/>
      <c r="H44" s="632" t="s">
        <v>1400</v>
      </c>
      <c r="I44" s="1001" t="s">
        <v>1401</v>
      </c>
      <c r="J44" s="1002"/>
    </row>
    <row r="45" spans="1:10" ht="30" customHeight="1" x14ac:dyDescent="0.25">
      <c r="A45" s="630">
        <v>815</v>
      </c>
      <c r="B45" s="631" t="s">
        <v>1406</v>
      </c>
      <c r="C45" s="632">
        <v>5</v>
      </c>
      <c r="D45" s="631"/>
      <c r="E45" s="632" t="s">
        <v>1398</v>
      </c>
      <c r="F45" s="1010" t="s">
        <v>1399</v>
      </c>
      <c r="G45" s="1011"/>
      <c r="H45" s="632" t="s">
        <v>1400</v>
      </c>
      <c r="I45" s="1001" t="s">
        <v>1401</v>
      </c>
      <c r="J45" s="1002"/>
    </row>
    <row r="46" spans="1:10" ht="30" customHeight="1" thickBot="1" x14ac:dyDescent="0.3">
      <c r="A46" s="634">
        <v>816</v>
      </c>
      <c r="B46" s="111" t="s">
        <v>1407</v>
      </c>
      <c r="C46" s="635">
        <v>5</v>
      </c>
      <c r="D46" s="111"/>
      <c r="E46" s="635" t="s">
        <v>1398</v>
      </c>
      <c r="F46" s="1012" t="s">
        <v>1399</v>
      </c>
      <c r="G46" s="1013"/>
      <c r="H46" s="635" t="s">
        <v>1400</v>
      </c>
      <c r="I46" s="1003" t="s">
        <v>1401</v>
      </c>
      <c r="J46" s="1004"/>
    </row>
    <row r="52" spans="1:10" s="71" customFormat="1" x14ac:dyDescent="0.25">
      <c r="A52" s="968" t="s">
        <v>167</v>
      </c>
      <c r="B52" s="968"/>
      <c r="C52" s="968"/>
      <c r="D52" s="968"/>
      <c r="E52" s="968"/>
      <c r="F52" s="968"/>
      <c r="G52" s="968"/>
      <c r="H52" s="968"/>
      <c r="I52" s="968"/>
      <c r="J52" s="968"/>
    </row>
    <row r="53" spans="1:10" s="72" customFormat="1" ht="15.75" x14ac:dyDescent="0.25">
      <c r="A53" s="968" t="s">
        <v>157</v>
      </c>
      <c r="B53" s="968"/>
      <c r="C53" s="968"/>
      <c r="D53" s="968"/>
      <c r="E53" s="968"/>
      <c r="F53" s="968"/>
      <c r="G53" s="968"/>
      <c r="H53" s="968"/>
      <c r="I53" s="968"/>
      <c r="J53" s="968"/>
    </row>
    <row r="54" spans="1:10" s="72" customFormat="1" ht="15.75" x14ac:dyDescent="0.25">
      <c r="A54" s="968" t="s">
        <v>1374</v>
      </c>
      <c r="B54" s="968"/>
      <c r="C54" s="968"/>
      <c r="D54" s="968"/>
      <c r="E54" s="968"/>
      <c r="F54" s="968"/>
      <c r="G54" s="968"/>
      <c r="H54" s="968"/>
      <c r="I54" s="968"/>
      <c r="J54" s="968"/>
    </row>
    <row r="55" spans="1:10" s="72" customFormat="1" ht="15.75" x14ac:dyDescent="0.25">
      <c r="A55" s="576"/>
      <c r="B55" s="576"/>
      <c r="C55" s="576"/>
      <c r="D55" s="576"/>
      <c r="E55" s="576" t="s">
        <v>1375</v>
      </c>
      <c r="F55" s="576"/>
      <c r="G55" s="576"/>
      <c r="H55" s="576"/>
      <c r="I55" s="576"/>
      <c r="J55" s="576"/>
    </row>
    <row r="56" spans="1:10" s="72" customFormat="1" ht="15.75" x14ac:dyDescent="0.25">
      <c r="A56" s="576"/>
      <c r="B56" s="576"/>
      <c r="C56" s="576"/>
      <c r="D56" s="576"/>
      <c r="E56" s="576" t="s">
        <v>1408</v>
      </c>
      <c r="F56" s="576"/>
      <c r="G56" s="576"/>
      <c r="H56" s="576"/>
      <c r="I56" s="576"/>
      <c r="J56" s="576"/>
    </row>
    <row r="57" spans="1:10" s="72" customFormat="1" ht="15.75" x14ac:dyDescent="0.25">
      <c r="A57" s="968" t="s">
        <v>599</v>
      </c>
      <c r="B57" s="968"/>
      <c r="C57" s="968"/>
      <c r="D57" s="968"/>
      <c r="E57" s="968"/>
      <c r="F57" s="968"/>
      <c r="G57" s="968"/>
      <c r="H57" s="968"/>
      <c r="I57" s="968"/>
      <c r="J57" s="968"/>
    </row>
    <row r="58" spans="1:10" s="72" customFormat="1" ht="15.75" x14ac:dyDescent="0.25">
      <c r="A58" s="968" t="s">
        <v>1842</v>
      </c>
      <c r="B58" s="968"/>
      <c r="C58" s="968"/>
      <c r="D58" s="968"/>
      <c r="E58" s="968"/>
      <c r="F58" s="968"/>
      <c r="G58" s="968"/>
      <c r="H58" s="968"/>
      <c r="I58" s="968"/>
      <c r="J58" s="968"/>
    </row>
    <row r="59" spans="1:10" s="73" customFormat="1" ht="15.75" thickBot="1" x14ac:dyDescent="0.3">
      <c r="A59" s="969" t="s">
        <v>122</v>
      </c>
      <c r="B59" s="969"/>
      <c r="C59" s="969"/>
      <c r="D59" s="969"/>
      <c r="E59" s="969"/>
      <c r="F59" s="969"/>
      <c r="G59" s="969"/>
      <c r="H59" s="969"/>
      <c r="I59" s="969"/>
      <c r="J59" s="969"/>
    </row>
    <row r="60" spans="1:10" s="113" customFormat="1" ht="53.25" customHeight="1" thickBot="1" x14ac:dyDescent="0.3">
      <c r="A60" s="622" t="s">
        <v>1377</v>
      </c>
      <c r="B60" s="623" t="s">
        <v>1378</v>
      </c>
      <c r="C60" s="89" t="s">
        <v>1379</v>
      </c>
      <c r="D60" s="112" t="s">
        <v>1380</v>
      </c>
      <c r="E60" s="1005" t="s">
        <v>1381</v>
      </c>
      <c r="F60" s="1006"/>
      <c r="G60" s="1006"/>
      <c r="H60" s="1006"/>
      <c r="I60" s="1006"/>
      <c r="J60" s="1007"/>
    </row>
    <row r="61" spans="1:10" s="114" customFormat="1" ht="26.25" customHeight="1" thickBot="1" x14ac:dyDescent="0.3">
      <c r="A61" s="624"/>
      <c r="B61" s="625"/>
      <c r="C61" s="91"/>
      <c r="D61" s="90"/>
      <c r="E61" s="626" t="s">
        <v>1409</v>
      </c>
      <c r="F61" s="636" t="s">
        <v>1382</v>
      </c>
      <c r="G61" s="637" t="s">
        <v>1383</v>
      </c>
      <c r="H61" s="626" t="s">
        <v>1384</v>
      </c>
      <c r="I61" s="1008" t="s">
        <v>1385</v>
      </c>
      <c r="J61" s="1009"/>
    </row>
    <row r="62" spans="1:10" s="114" customFormat="1" ht="15.75" customHeight="1" x14ac:dyDescent="0.25">
      <c r="A62" s="627"/>
      <c r="B62" s="628" t="s">
        <v>1394</v>
      </c>
      <c r="C62" s="120"/>
      <c r="D62" s="120"/>
      <c r="E62" s="120"/>
      <c r="F62" s="638"/>
      <c r="G62" s="639"/>
      <c r="H62" s="629"/>
      <c r="I62" s="640"/>
      <c r="J62" s="120"/>
    </row>
    <row r="63" spans="1:10" ht="30" customHeight="1" x14ac:dyDescent="0.25">
      <c r="A63" s="630">
        <v>451</v>
      </c>
      <c r="B63" s="631" t="s">
        <v>1386</v>
      </c>
      <c r="C63" s="632">
        <v>4</v>
      </c>
      <c r="D63" s="631"/>
      <c r="E63" s="632" t="s">
        <v>1410</v>
      </c>
      <c r="F63" s="630" t="s">
        <v>1388</v>
      </c>
      <c r="G63" s="641" t="s">
        <v>1389</v>
      </c>
      <c r="H63" s="632" t="s">
        <v>1411</v>
      </c>
      <c r="I63" s="1001" t="s">
        <v>1412</v>
      </c>
      <c r="J63" s="1002"/>
    </row>
    <row r="64" spans="1:10" ht="30" customHeight="1" x14ac:dyDescent="0.25">
      <c r="A64" s="630">
        <v>451</v>
      </c>
      <c r="B64" s="631" t="s">
        <v>1386</v>
      </c>
      <c r="C64" s="632">
        <v>4</v>
      </c>
      <c r="D64" s="631"/>
      <c r="E64" s="632" t="s">
        <v>1413</v>
      </c>
      <c r="F64" s="630" t="s">
        <v>1388</v>
      </c>
      <c r="G64" s="641" t="s">
        <v>1389</v>
      </c>
      <c r="H64" s="632" t="s">
        <v>1411</v>
      </c>
      <c r="I64" s="1001" t="s">
        <v>1412</v>
      </c>
      <c r="J64" s="1002"/>
    </row>
    <row r="65" spans="1:10" ht="30" customHeight="1" x14ac:dyDescent="0.25">
      <c r="A65" s="630">
        <v>452</v>
      </c>
      <c r="B65" s="631" t="s">
        <v>1390</v>
      </c>
      <c r="C65" s="632">
        <v>4</v>
      </c>
      <c r="D65" s="631"/>
      <c r="E65" s="632" t="s">
        <v>1410</v>
      </c>
      <c r="F65" s="630" t="s">
        <v>1388</v>
      </c>
      <c r="G65" s="641" t="s">
        <v>1389</v>
      </c>
      <c r="H65" s="632" t="s">
        <v>1411</v>
      </c>
      <c r="I65" s="1001" t="s">
        <v>1412</v>
      </c>
      <c r="J65" s="1002"/>
    </row>
    <row r="66" spans="1:10" ht="25.5" customHeight="1" x14ac:dyDescent="0.25">
      <c r="A66" s="630">
        <v>452</v>
      </c>
      <c r="B66" s="631" t="s">
        <v>1390</v>
      </c>
      <c r="C66" s="632">
        <v>4</v>
      </c>
      <c r="D66" s="631"/>
      <c r="E66" s="632" t="s">
        <v>1413</v>
      </c>
      <c r="F66" s="630" t="s">
        <v>1388</v>
      </c>
      <c r="G66" s="641" t="s">
        <v>1389</v>
      </c>
      <c r="H66" s="632" t="s">
        <v>1411</v>
      </c>
      <c r="I66" s="1001" t="s">
        <v>1412</v>
      </c>
      <c r="J66" s="1002"/>
    </row>
    <row r="67" spans="1:10" ht="30" customHeight="1" x14ac:dyDescent="0.25">
      <c r="A67" s="630">
        <v>459</v>
      </c>
      <c r="B67" s="631" t="s">
        <v>1392</v>
      </c>
      <c r="C67" s="632">
        <v>4</v>
      </c>
      <c r="D67" s="631"/>
      <c r="E67" s="632" t="s">
        <v>1410</v>
      </c>
      <c r="F67" s="630" t="s">
        <v>1388</v>
      </c>
      <c r="G67" s="641" t="s">
        <v>1389</v>
      </c>
      <c r="H67" s="632" t="s">
        <v>1411</v>
      </c>
      <c r="I67" s="1001" t="s">
        <v>1412</v>
      </c>
      <c r="J67" s="1002"/>
    </row>
    <row r="68" spans="1:10" ht="30" customHeight="1" x14ac:dyDescent="0.25">
      <c r="A68" s="630">
        <v>459</v>
      </c>
      <c r="B68" s="631" t="s">
        <v>1392</v>
      </c>
      <c r="C68" s="632">
        <v>4</v>
      </c>
      <c r="D68" s="631"/>
      <c r="E68" s="632" t="s">
        <v>1413</v>
      </c>
      <c r="F68" s="630" t="s">
        <v>1388</v>
      </c>
      <c r="G68" s="641" t="s">
        <v>1389</v>
      </c>
      <c r="H68" s="632" t="s">
        <v>1411</v>
      </c>
      <c r="I68" s="1001" t="s">
        <v>1412</v>
      </c>
      <c r="J68" s="1002"/>
    </row>
    <row r="69" spans="1:10" ht="16.5" customHeight="1" x14ac:dyDescent="0.25">
      <c r="A69" s="630"/>
      <c r="B69" s="628" t="s">
        <v>1394</v>
      </c>
      <c r="C69" s="632"/>
      <c r="D69" s="631"/>
      <c r="E69" s="632"/>
      <c r="F69" s="642"/>
      <c r="G69" s="643"/>
      <c r="H69" s="632"/>
      <c r="I69" s="1001"/>
      <c r="J69" s="1002"/>
    </row>
    <row r="70" spans="1:10" ht="24" customHeight="1" x14ac:dyDescent="0.25">
      <c r="A70" s="630">
        <v>471</v>
      </c>
      <c r="B70" s="631" t="s">
        <v>1414</v>
      </c>
      <c r="C70" s="632">
        <v>4</v>
      </c>
      <c r="D70" s="631"/>
      <c r="E70" s="632" t="s">
        <v>1410</v>
      </c>
      <c r="F70" s="642" t="s">
        <v>1388</v>
      </c>
      <c r="G70" s="641" t="s">
        <v>1389</v>
      </c>
      <c r="H70" s="632" t="s">
        <v>1411</v>
      </c>
      <c r="I70" s="1001" t="s">
        <v>1412</v>
      </c>
      <c r="J70" s="1002"/>
    </row>
    <row r="71" spans="1:10" ht="30" customHeight="1" x14ac:dyDescent="0.25">
      <c r="A71" s="630">
        <v>471</v>
      </c>
      <c r="B71" s="631" t="s">
        <v>1414</v>
      </c>
      <c r="C71" s="632">
        <v>4</v>
      </c>
      <c r="D71" s="631"/>
      <c r="E71" s="632" t="s">
        <v>1413</v>
      </c>
      <c r="F71" s="630" t="s">
        <v>1388</v>
      </c>
      <c r="G71" s="641" t="s">
        <v>1389</v>
      </c>
      <c r="H71" s="632" t="s">
        <v>1411</v>
      </c>
      <c r="I71" s="1001" t="s">
        <v>1412</v>
      </c>
      <c r="J71" s="1002"/>
    </row>
    <row r="72" spans="1:10" ht="16.5" customHeight="1" x14ac:dyDescent="0.25">
      <c r="A72" s="630"/>
      <c r="B72" s="628" t="s">
        <v>1394</v>
      </c>
      <c r="C72" s="632"/>
      <c r="D72" s="631"/>
      <c r="E72" s="632"/>
      <c r="F72" s="642"/>
      <c r="G72" s="643"/>
      <c r="H72" s="632"/>
      <c r="I72" s="1001"/>
      <c r="J72" s="1002"/>
    </row>
    <row r="73" spans="1:10" ht="30" customHeight="1" x14ac:dyDescent="0.25">
      <c r="A73" s="630">
        <v>811</v>
      </c>
      <c r="B73" s="631" t="s">
        <v>1415</v>
      </c>
      <c r="C73" s="632">
        <v>5</v>
      </c>
      <c r="D73" s="631"/>
      <c r="E73" s="632" t="s">
        <v>1410</v>
      </c>
      <c r="F73" s="630" t="s">
        <v>1400</v>
      </c>
      <c r="G73" s="641" t="s">
        <v>1416</v>
      </c>
      <c r="H73" s="632" t="s">
        <v>1411</v>
      </c>
      <c r="I73" s="1001" t="s">
        <v>1412</v>
      </c>
      <c r="J73" s="1002"/>
    </row>
    <row r="74" spans="1:10" ht="30" customHeight="1" x14ac:dyDescent="0.25">
      <c r="A74" s="630">
        <v>811</v>
      </c>
      <c r="B74" s="631" t="s">
        <v>1415</v>
      </c>
      <c r="C74" s="632">
        <v>5</v>
      </c>
      <c r="D74" s="631"/>
      <c r="E74" s="632" t="s">
        <v>1413</v>
      </c>
      <c r="F74" s="630" t="s">
        <v>1400</v>
      </c>
      <c r="G74" s="641" t="s">
        <v>1416</v>
      </c>
      <c r="H74" s="632" t="s">
        <v>1411</v>
      </c>
      <c r="I74" s="1001" t="s">
        <v>1412</v>
      </c>
      <c r="J74" s="1002"/>
    </row>
    <row r="75" spans="1:10" ht="30" customHeight="1" x14ac:dyDescent="0.25">
      <c r="A75" s="630">
        <v>812</v>
      </c>
      <c r="B75" s="631" t="s">
        <v>1417</v>
      </c>
      <c r="C75" s="632">
        <v>5</v>
      </c>
      <c r="D75" s="631"/>
      <c r="E75" s="632" t="s">
        <v>1410</v>
      </c>
      <c r="F75" s="630" t="s">
        <v>1400</v>
      </c>
      <c r="G75" s="641" t="s">
        <v>1416</v>
      </c>
      <c r="H75" s="632" t="s">
        <v>1411</v>
      </c>
      <c r="I75" s="1001" t="s">
        <v>1412</v>
      </c>
      <c r="J75" s="1002"/>
    </row>
    <row r="76" spans="1:10" ht="33" customHeight="1" thickBot="1" x14ac:dyDescent="0.3">
      <c r="A76" s="634">
        <v>812</v>
      </c>
      <c r="B76" s="111" t="s">
        <v>1417</v>
      </c>
      <c r="C76" s="635">
        <v>5</v>
      </c>
      <c r="D76" s="111"/>
      <c r="E76" s="635" t="s">
        <v>1413</v>
      </c>
      <c r="F76" s="634" t="s">
        <v>1400</v>
      </c>
      <c r="G76" s="644" t="s">
        <v>1416</v>
      </c>
      <c r="H76" s="635" t="s">
        <v>1411</v>
      </c>
      <c r="I76" s="1003" t="s">
        <v>1412</v>
      </c>
      <c r="J76" s="1004"/>
    </row>
    <row r="77" spans="1:10" ht="6.75" customHeight="1" thickBot="1" x14ac:dyDescent="0.3">
      <c r="A77" s="645"/>
      <c r="B77" s="646"/>
      <c r="C77" s="645"/>
      <c r="D77" s="646"/>
      <c r="E77" s="645"/>
      <c r="F77" s="645"/>
      <c r="G77" s="647"/>
      <c r="H77" s="645"/>
      <c r="I77" s="648"/>
      <c r="J77" s="648"/>
    </row>
    <row r="78" spans="1:10" ht="30" customHeight="1" x14ac:dyDescent="0.25">
      <c r="A78" s="630">
        <v>813</v>
      </c>
      <c r="B78" s="631" t="s">
        <v>1418</v>
      </c>
      <c r="C78" s="632">
        <v>5</v>
      </c>
      <c r="D78" s="631"/>
      <c r="E78" s="632" t="s">
        <v>1410</v>
      </c>
      <c r="F78" s="630" t="s">
        <v>1400</v>
      </c>
      <c r="G78" s="641" t="s">
        <v>1416</v>
      </c>
      <c r="H78" s="632" t="s">
        <v>1411</v>
      </c>
      <c r="I78" s="1001" t="s">
        <v>1412</v>
      </c>
      <c r="J78" s="1002"/>
    </row>
    <row r="79" spans="1:10" ht="30" customHeight="1" x14ac:dyDescent="0.25">
      <c r="A79" s="630">
        <v>813</v>
      </c>
      <c r="B79" s="631" t="s">
        <v>1418</v>
      </c>
      <c r="C79" s="632">
        <v>5</v>
      </c>
      <c r="D79" s="631"/>
      <c r="E79" s="632" t="s">
        <v>1413</v>
      </c>
      <c r="F79" s="630" t="s">
        <v>1400</v>
      </c>
      <c r="G79" s="641" t="s">
        <v>1416</v>
      </c>
      <c r="H79" s="632" t="s">
        <v>1411</v>
      </c>
      <c r="I79" s="1001" t="s">
        <v>1412</v>
      </c>
      <c r="J79" s="1002"/>
    </row>
    <row r="80" spans="1:10" ht="30" customHeight="1" x14ac:dyDescent="0.25">
      <c r="A80" s="630">
        <v>814</v>
      </c>
      <c r="B80" s="631" t="s">
        <v>1419</v>
      </c>
      <c r="C80" s="632">
        <v>5</v>
      </c>
      <c r="D80" s="631"/>
      <c r="E80" s="632" t="s">
        <v>1410</v>
      </c>
      <c r="F80" s="630" t="s">
        <v>1400</v>
      </c>
      <c r="G80" s="641" t="s">
        <v>1416</v>
      </c>
      <c r="H80" s="632" t="s">
        <v>1411</v>
      </c>
      <c r="I80" s="1001" t="s">
        <v>1412</v>
      </c>
      <c r="J80" s="1002"/>
    </row>
    <row r="81" spans="1:10" ht="30" customHeight="1" x14ac:dyDescent="0.25">
      <c r="A81" s="630">
        <v>814</v>
      </c>
      <c r="B81" s="631" t="s">
        <v>1419</v>
      </c>
      <c r="C81" s="632">
        <v>5</v>
      </c>
      <c r="D81" s="631"/>
      <c r="E81" s="632" t="s">
        <v>1413</v>
      </c>
      <c r="F81" s="649" t="s">
        <v>1400</v>
      </c>
      <c r="G81" s="641" t="s">
        <v>1416</v>
      </c>
      <c r="H81" s="632" t="s">
        <v>1411</v>
      </c>
      <c r="I81" s="1001" t="s">
        <v>1412</v>
      </c>
      <c r="J81" s="1002"/>
    </row>
    <row r="82" spans="1:10" ht="30" customHeight="1" x14ac:dyDescent="0.25">
      <c r="A82" s="630">
        <v>815</v>
      </c>
      <c r="B82" s="631" t="s">
        <v>1420</v>
      </c>
      <c r="C82" s="632">
        <v>5</v>
      </c>
      <c r="D82" s="631"/>
      <c r="E82" s="632" t="s">
        <v>1410</v>
      </c>
      <c r="F82" s="649" t="s">
        <v>1400</v>
      </c>
      <c r="G82" s="641" t="s">
        <v>1416</v>
      </c>
      <c r="H82" s="632" t="s">
        <v>1411</v>
      </c>
      <c r="I82" s="1001" t="s">
        <v>1412</v>
      </c>
      <c r="J82" s="1002"/>
    </row>
    <row r="83" spans="1:10" ht="30" customHeight="1" x14ac:dyDescent="0.25">
      <c r="A83" s="630">
        <v>815</v>
      </c>
      <c r="B83" s="631" t="s">
        <v>1420</v>
      </c>
      <c r="C83" s="632">
        <v>5</v>
      </c>
      <c r="D83" s="631"/>
      <c r="E83" s="632" t="s">
        <v>1413</v>
      </c>
      <c r="F83" s="649" t="s">
        <v>1400</v>
      </c>
      <c r="G83" s="641" t="s">
        <v>1416</v>
      </c>
      <c r="H83" s="632" t="s">
        <v>1411</v>
      </c>
      <c r="I83" s="1001" t="s">
        <v>1412</v>
      </c>
      <c r="J83" s="1002"/>
    </row>
    <row r="84" spans="1:10" ht="30" customHeight="1" x14ac:dyDescent="0.25">
      <c r="A84" s="630">
        <v>816</v>
      </c>
      <c r="B84" s="631" t="s">
        <v>1407</v>
      </c>
      <c r="C84" s="632">
        <v>5</v>
      </c>
      <c r="D84" s="631"/>
      <c r="E84" s="632" t="s">
        <v>1410</v>
      </c>
      <c r="F84" s="649" t="s">
        <v>1400</v>
      </c>
      <c r="G84" s="641" t="s">
        <v>1416</v>
      </c>
      <c r="H84" s="632" t="s">
        <v>1411</v>
      </c>
      <c r="I84" s="1001" t="s">
        <v>1412</v>
      </c>
      <c r="J84" s="1002"/>
    </row>
    <row r="85" spans="1:10" ht="30" customHeight="1" thickBot="1" x14ac:dyDescent="0.3">
      <c r="A85" s="634">
        <v>816</v>
      </c>
      <c r="B85" s="111" t="s">
        <v>1407</v>
      </c>
      <c r="C85" s="635">
        <v>5</v>
      </c>
      <c r="D85" s="111"/>
      <c r="E85" s="635" t="s">
        <v>1413</v>
      </c>
      <c r="F85" s="650" t="s">
        <v>1400</v>
      </c>
      <c r="G85" s="644" t="s">
        <v>1416</v>
      </c>
      <c r="H85" s="635" t="s">
        <v>1411</v>
      </c>
      <c r="I85" s="1003" t="s">
        <v>1412</v>
      </c>
      <c r="J85" s="1004"/>
    </row>
    <row r="93" spans="1:10" x14ac:dyDescent="0.2">
      <c r="B93" s="721" t="s">
        <v>1834</v>
      </c>
      <c r="C93" s="722" t="s">
        <v>1830</v>
      </c>
    </row>
    <row r="94" spans="1:10" x14ac:dyDescent="0.2">
      <c r="B94" s="721" t="s">
        <v>1831</v>
      </c>
      <c r="C94" s="722" t="s">
        <v>1832</v>
      </c>
    </row>
    <row r="95" spans="1:10" x14ac:dyDescent="0.2">
      <c r="B95" s="724"/>
      <c r="C95" s="723"/>
    </row>
    <row r="96" spans="1:10" x14ac:dyDescent="0.2">
      <c r="B96" s="719" t="s">
        <v>1833</v>
      </c>
      <c r="C96" s="723"/>
    </row>
    <row r="97" spans="2:3" x14ac:dyDescent="0.2">
      <c r="B97" s="720" t="s">
        <v>1835</v>
      </c>
      <c r="C97" s="723"/>
    </row>
  </sheetData>
  <mergeCells count="73">
    <mergeCell ref="A7:B7"/>
    <mergeCell ref="A8:B8"/>
    <mergeCell ref="A1:J1"/>
    <mergeCell ref="A2:J2"/>
    <mergeCell ref="A3:J3"/>
    <mergeCell ref="A6:J6"/>
    <mergeCell ref="A4:J4"/>
    <mergeCell ref="A5:K5"/>
    <mergeCell ref="A24:J24"/>
    <mergeCell ref="A25:J25"/>
    <mergeCell ref="A26:J26"/>
    <mergeCell ref="A29:J29"/>
    <mergeCell ref="A30:J30"/>
    <mergeCell ref="A31:J31"/>
    <mergeCell ref="E32:J32"/>
    <mergeCell ref="F33:G33"/>
    <mergeCell ref="I33:J33"/>
    <mergeCell ref="F34:G34"/>
    <mergeCell ref="I34:J34"/>
    <mergeCell ref="F35:G35"/>
    <mergeCell ref="I35:J35"/>
    <mergeCell ref="F36:G36"/>
    <mergeCell ref="I36:J36"/>
    <mergeCell ref="F37:G37"/>
    <mergeCell ref="I37:J37"/>
    <mergeCell ref="F38:G38"/>
    <mergeCell ref="I38:J38"/>
    <mergeCell ref="F39:G39"/>
    <mergeCell ref="I39:J39"/>
    <mergeCell ref="F40:G40"/>
    <mergeCell ref="I40:J40"/>
    <mergeCell ref="F41:G41"/>
    <mergeCell ref="I41:J41"/>
    <mergeCell ref="F42:G42"/>
    <mergeCell ref="I42:J42"/>
    <mergeCell ref="F43:G43"/>
    <mergeCell ref="I43:J43"/>
    <mergeCell ref="F44:G44"/>
    <mergeCell ref="I44:J44"/>
    <mergeCell ref="F45:G45"/>
    <mergeCell ref="I45:J45"/>
    <mergeCell ref="F46:G46"/>
    <mergeCell ref="I46:J46"/>
    <mergeCell ref="A52:J52"/>
    <mergeCell ref="A53:J53"/>
    <mergeCell ref="A54:J54"/>
    <mergeCell ref="A57:J57"/>
    <mergeCell ref="A58:J58"/>
    <mergeCell ref="A59:J59"/>
    <mergeCell ref="E60:J60"/>
    <mergeCell ref="I61:J61"/>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78:J78"/>
    <mergeCell ref="I79:J79"/>
    <mergeCell ref="I80:J80"/>
    <mergeCell ref="I81:J81"/>
    <mergeCell ref="I82:J82"/>
    <mergeCell ref="I83:J83"/>
    <mergeCell ref="I84:J84"/>
    <mergeCell ref="I85:J85"/>
  </mergeCells>
  <pageMargins left="0.27559055118110237" right="0.27559055118110237" top="0.19" bottom="0.28000000000000003" header="0.31496062992125984" footer="0.31496062992125984"/>
  <pageSetup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146"/>
  <sheetViews>
    <sheetView topLeftCell="A107" zoomScaleNormal="100" zoomScaleSheetLayoutView="115" workbookViewId="0">
      <selection activeCell="F149" sqref="F149"/>
    </sheetView>
  </sheetViews>
  <sheetFormatPr baseColWidth="10" defaultRowHeight="15" x14ac:dyDescent="0.25"/>
  <cols>
    <col min="1" max="1" width="7.7109375" style="45" customWidth="1"/>
    <col min="2" max="2" width="45.7109375" style="45" customWidth="1"/>
    <col min="3" max="3" width="15.140625" style="45" customWidth="1"/>
    <col min="4" max="4" width="17" style="45" customWidth="1"/>
    <col min="5" max="5" width="16.42578125" style="45" customWidth="1"/>
    <col min="6" max="6" width="15.85546875" style="45" customWidth="1"/>
    <col min="7" max="9" width="15.28515625" style="45" customWidth="1"/>
    <col min="10" max="10" width="15.7109375" style="45" customWidth="1"/>
    <col min="11" max="16384" width="11.42578125" style="45"/>
  </cols>
  <sheetData>
    <row r="1" spans="1:11" s="71" customFormat="1" x14ac:dyDescent="0.25">
      <c r="A1" s="968" t="s">
        <v>167</v>
      </c>
      <c r="B1" s="968"/>
      <c r="C1" s="968"/>
      <c r="D1" s="968"/>
      <c r="E1" s="968"/>
      <c r="F1" s="968"/>
      <c r="G1" s="968"/>
      <c r="H1" s="968"/>
      <c r="I1" s="968"/>
      <c r="J1" s="968"/>
    </row>
    <row r="2" spans="1:11" s="72" customFormat="1" ht="15.75" x14ac:dyDescent="0.25">
      <c r="A2" s="968" t="s">
        <v>157</v>
      </c>
      <c r="B2" s="968"/>
      <c r="C2" s="968"/>
      <c r="D2" s="968"/>
      <c r="E2" s="968"/>
      <c r="F2" s="968"/>
      <c r="G2" s="968"/>
      <c r="H2" s="968"/>
      <c r="I2" s="968"/>
      <c r="J2" s="968"/>
    </row>
    <row r="3" spans="1:11" s="72" customFormat="1" ht="15.75" x14ac:dyDescent="0.25">
      <c r="A3" s="968" t="s">
        <v>346</v>
      </c>
      <c r="B3" s="968"/>
      <c r="C3" s="968"/>
      <c r="D3" s="968"/>
      <c r="E3" s="968"/>
      <c r="F3" s="968"/>
      <c r="G3" s="968"/>
      <c r="H3" s="968"/>
      <c r="I3" s="968"/>
      <c r="J3" s="968"/>
    </row>
    <row r="4" spans="1:11" s="72" customFormat="1" ht="15.75" x14ac:dyDescent="0.25">
      <c r="A4" s="968" t="s">
        <v>599</v>
      </c>
      <c r="B4" s="968"/>
      <c r="C4" s="968"/>
      <c r="D4" s="968"/>
      <c r="E4" s="968"/>
      <c r="F4" s="968"/>
      <c r="G4" s="968"/>
      <c r="H4" s="968"/>
      <c r="I4" s="968"/>
      <c r="J4" s="968"/>
      <c r="K4" s="718"/>
    </row>
    <row r="5" spans="1:11" s="72" customFormat="1" ht="15.75" x14ac:dyDescent="0.25">
      <c r="A5" s="968" t="s">
        <v>2165</v>
      </c>
      <c r="B5" s="968"/>
      <c r="C5" s="968"/>
      <c r="D5" s="968"/>
      <c r="E5" s="968"/>
      <c r="F5" s="968"/>
      <c r="G5" s="968"/>
      <c r="H5" s="968"/>
      <c r="I5" s="968"/>
      <c r="J5" s="968"/>
    </row>
    <row r="6" spans="1:11" s="73" customFormat="1" ht="15.75" thickBot="1" x14ac:dyDescent="0.3">
      <c r="A6" s="969" t="s">
        <v>122</v>
      </c>
      <c r="B6" s="969"/>
      <c r="C6" s="969"/>
      <c r="D6" s="969"/>
      <c r="E6" s="969"/>
      <c r="F6" s="969"/>
      <c r="G6" s="969"/>
      <c r="H6" s="969"/>
      <c r="I6" s="969"/>
      <c r="J6" s="969"/>
    </row>
    <row r="7" spans="1:11" s="113" customFormat="1" ht="53.25" customHeight="1" x14ac:dyDescent="0.25">
      <c r="A7" s="993" t="s">
        <v>346</v>
      </c>
      <c r="B7" s="994"/>
      <c r="C7" s="89" t="s">
        <v>217</v>
      </c>
      <c r="D7" s="112" t="s">
        <v>159</v>
      </c>
      <c r="E7" s="435" t="s">
        <v>218</v>
      </c>
      <c r="F7" s="437" t="s">
        <v>1362</v>
      </c>
      <c r="G7" s="437" t="s">
        <v>1363</v>
      </c>
      <c r="H7" s="140" t="s">
        <v>1364</v>
      </c>
      <c r="I7" s="140" t="s">
        <v>1365</v>
      </c>
      <c r="J7" s="89" t="s">
        <v>337</v>
      </c>
    </row>
    <row r="8" spans="1:11" s="114" customFormat="1" ht="13.5" thickBot="1" x14ac:dyDescent="0.3">
      <c r="A8" s="999"/>
      <c r="B8" s="1000"/>
      <c r="C8" s="91" t="s">
        <v>193</v>
      </c>
      <c r="D8" s="90" t="s">
        <v>194</v>
      </c>
      <c r="E8" s="90" t="s">
        <v>161</v>
      </c>
      <c r="F8" s="438" t="s">
        <v>195</v>
      </c>
      <c r="G8" s="438" t="s">
        <v>196</v>
      </c>
      <c r="H8" s="141" t="s">
        <v>1357</v>
      </c>
      <c r="I8" s="141" t="s">
        <v>1358</v>
      </c>
      <c r="J8" s="90" t="s">
        <v>1366</v>
      </c>
    </row>
    <row r="9" spans="1:11" ht="30" customHeight="1" x14ac:dyDescent="0.25">
      <c r="A9" s="115"/>
      <c r="B9" s="94" t="s">
        <v>594</v>
      </c>
      <c r="C9" s="315">
        <v>3876732.16</v>
      </c>
      <c r="D9" s="315">
        <f>1299466.23-1050756.94</f>
        <v>248709.29000000004</v>
      </c>
      <c r="E9" s="315">
        <f>+C9+D9</f>
        <v>4125441.45</v>
      </c>
      <c r="F9" s="315">
        <v>3767531.53</v>
      </c>
      <c r="G9" s="315">
        <v>3767531.53</v>
      </c>
      <c r="H9" s="315">
        <f>+G9-2738241.17</f>
        <v>1029290.3599999999</v>
      </c>
      <c r="I9" s="315">
        <v>1029290.3599999999</v>
      </c>
      <c r="J9" s="315">
        <f>+E9-F9</f>
        <v>357909.92000000039</v>
      </c>
    </row>
    <row r="10" spans="1:11" ht="30" customHeight="1" x14ac:dyDescent="0.25">
      <c r="A10" s="115"/>
      <c r="B10" s="94" t="s">
        <v>595</v>
      </c>
      <c r="C10" s="315">
        <f>318722312.18+73193232.54</f>
        <v>391915544.72000003</v>
      </c>
      <c r="D10" s="315">
        <f>425165105.41-2499544.34</f>
        <v>422665561.07000005</v>
      </c>
      <c r="E10" s="315">
        <f t="shared" ref="E10:E12" si="0">+C10+D10</f>
        <v>814581105.79000008</v>
      </c>
      <c r="F10" s="315">
        <f>543788618.43+60176836.91</f>
        <v>603965455.33999991</v>
      </c>
      <c r="G10" s="315">
        <f>543788618.43+60176836.91</f>
        <v>603965455.33999991</v>
      </c>
      <c r="H10" s="315">
        <f>+G10-305104389.94</f>
        <v>298861065.39999992</v>
      </c>
      <c r="I10" s="315">
        <v>298861065.39999992</v>
      </c>
      <c r="J10" s="315">
        <f t="shared" ref="J10:J12" si="1">+E10-F10</f>
        <v>210615650.45000017</v>
      </c>
    </row>
    <row r="11" spans="1:11" ht="30" customHeight="1" x14ac:dyDescent="0.25">
      <c r="A11" s="115"/>
      <c r="B11" s="94" t="s">
        <v>596</v>
      </c>
      <c r="C11" s="315">
        <v>7290893.6399999997</v>
      </c>
      <c r="D11" s="315">
        <f>4319008.32-2001746.29</f>
        <v>2317262.0300000003</v>
      </c>
      <c r="E11" s="315">
        <f t="shared" si="0"/>
        <v>9608155.6699999999</v>
      </c>
      <c r="F11" s="315">
        <v>9588326.25</v>
      </c>
      <c r="G11" s="315">
        <v>9588326.25</v>
      </c>
      <c r="H11" s="315">
        <f>+G11-5899805.17</f>
        <v>3688521.08</v>
      </c>
      <c r="I11" s="315">
        <v>3688521.08</v>
      </c>
      <c r="J11" s="315">
        <f t="shared" si="1"/>
        <v>19829.419999999925</v>
      </c>
    </row>
    <row r="12" spans="1:11" ht="30" customHeight="1" x14ac:dyDescent="0.25">
      <c r="A12" s="115"/>
      <c r="B12" s="94" t="s">
        <v>597</v>
      </c>
      <c r="C12" s="315">
        <v>5112948.4800000004</v>
      </c>
      <c r="D12" s="315">
        <f>2276612.42-1552014.04</f>
        <v>724598.37999999989</v>
      </c>
      <c r="E12" s="315">
        <f t="shared" si="0"/>
        <v>5837546.8600000003</v>
      </c>
      <c r="F12" s="315">
        <v>5747726.3600000003</v>
      </c>
      <c r="G12" s="315">
        <v>5747726.3600000003</v>
      </c>
      <c r="H12" s="315">
        <f>+G12-3877667.42</f>
        <v>1870058.9400000004</v>
      </c>
      <c r="I12" s="315">
        <v>1870058.9400000004</v>
      </c>
      <c r="J12" s="315">
        <f t="shared" si="1"/>
        <v>89820.5</v>
      </c>
    </row>
    <row r="13" spans="1:11" ht="30" customHeight="1" x14ac:dyDescent="0.25">
      <c r="A13" s="115"/>
      <c r="B13" s="94"/>
      <c r="C13" s="315"/>
      <c r="D13" s="315"/>
      <c r="E13" s="315"/>
      <c r="F13" s="315"/>
      <c r="G13" s="315"/>
      <c r="H13" s="315"/>
      <c r="I13" s="315"/>
      <c r="J13" s="315"/>
    </row>
    <row r="14" spans="1:11" ht="30" customHeight="1" x14ac:dyDescent="0.25">
      <c r="A14" s="115"/>
      <c r="B14" s="94"/>
      <c r="C14" s="315"/>
      <c r="D14" s="315"/>
      <c r="E14" s="315"/>
      <c r="F14" s="315"/>
      <c r="G14" s="315"/>
      <c r="H14" s="315"/>
      <c r="I14" s="315"/>
      <c r="J14" s="315"/>
    </row>
    <row r="15" spans="1:11" ht="30" customHeight="1" x14ac:dyDescent="0.25">
      <c r="A15" s="115"/>
      <c r="B15" s="94"/>
      <c r="C15" s="315"/>
      <c r="D15" s="315"/>
      <c r="E15" s="315"/>
      <c r="F15" s="315"/>
      <c r="G15" s="315"/>
      <c r="H15" s="315"/>
      <c r="I15" s="315"/>
      <c r="J15" s="315"/>
    </row>
    <row r="16" spans="1:11" ht="30" customHeight="1" x14ac:dyDescent="0.25">
      <c r="A16" s="115"/>
      <c r="B16" s="94"/>
      <c r="C16" s="315"/>
      <c r="D16" s="315"/>
      <c r="E16" s="315"/>
      <c r="F16" s="315"/>
      <c r="G16" s="315"/>
      <c r="H16" s="315"/>
      <c r="I16" s="315"/>
      <c r="J16" s="315"/>
    </row>
    <row r="17" spans="1:10" ht="30" customHeight="1" thickBot="1" x14ac:dyDescent="0.3">
      <c r="A17" s="116"/>
      <c r="B17" s="96"/>
      <c r="C17" s="316"/>
      <c r="D17" s="316"/>
      <c r="E17" s="316"/>
      <c r="F17" s="316"/>
      <c r="G17" s="316"/>
      <c r="H17" s="316"/>
      <c r="I17" s="316"/>
      <c r="J17" s="316"/>
    </row>
    <row r="18" spans="1:10" ht="30" customHeight="1" thickBot="1" x14ac:dyDescent="0.3">
      <c r="A18" s="110"/>
      <c r="B18" s="111" t="s">
        <v>166</v>
      </c>
      <c r="C18" s="316">
        <f>SUM(C9:C17)</f>
        <v>408196119.00000006</v>
      </c>
      <c r="D18" s="316">
        <f>SUM(D9:D17)</f>
        <v>425956130.77000004</v>
      </c>
      <c r="E18" s="317">
        <f t="shared" ref="E18" si="2">+C18+D18</f>
        <v>834152249.7700001</v>
      </c>
      <c r="F18" s="318">
        <f t="shared" ref="F18:I18" si="3">SUM(F9:F17)</f>
        <v>623069039.4799999</v>
      </c>
      <c r="G18" s="318">
        <f t="shared" si="3"/>
        <v>623069039.4799999</v>
      </c>
      <c r="H18" s="318">
        <f t="shared" si="3"/>
        <v>305448935.77999991</v>
      </c>
      <c r="I18" s="318">
        <f t="shared" si="3"/>
        <v>305448935.77999991</v>
      </c>
      <c r="J18" s="318">
        <f>+E18-F18</f>
        <v>211083210.2900002</v>
      </c>
    </row>
    <row r="19" spans="1:10" x14ac:dyDescent="0.25">
      <c r="C19" s="313"/>
      <c r="D19" s="313"/>
      <c r="E19" s="313"/>
      <c r="F19" s="313"/>
      <c r="G19" s="313"/>
      <c r="H19" s="313"/>
      <c r="I19" s="313"/>
      <c r="J19" s="313"/>
    </row>
    <row r="20" spans="1:10" x14ac:dyDescent="0.25">
      <c r="C20" s="313"/>
      <c r="D20" s="313"/>
      <c r="E20" s="313"/>
      <c r="F20" s="313"/>
      <c r="G20" s="314" t="s">
        <v>421</v>
      </c>
      <c r="H20" s="314"/>
      <c r="I20" s="314"/>
      <c r="J20" s="313"/>
    </row>
    <row r="21" spans="1:10" x14ac:dyDescent="0.25">
      <c r="C21" s="313"/>
      <c r="D21" s="313"/>
      <c r="E21" s="313"/>
      <c r="F21" s="313"/>
      <c r="G21" s="313"/>
      <c r="H21" s="313"/>
      <c r="I21" s="313"/>
      <c r="J21" s="313"/>
    </row>
    <row r="22" spans="1:10" s="71" customFormat="1" x14ac:dyDescent="0.25">
      <c r="A22" s="968" t="s">
        <v>167</v>
      </c>
      <c r="B22" s="968"/>
      <c r="C22" s="968"/>
      <c r="D22" s="968"/>
      <c r="E22" s="968"/>
      <c r="F22" s="968"/>
      <c r="G22" s="968"/>
      <c r="H22" s="968"/>
      <c r="I22" s="968"/>
      <c r="J22" s="968"/>
    </row>
    <row r="23" spans="1:10" s="72" customFormat="1" ht="15.75" x14ac:dyDescent="0.25">
      <c r="A23" s="968" t="s">
        <v>157</v>
      </c>
      <c r="B23" s="968"/>
      <c r="C23" s="968"/>
      <c r="D23" s="968"/>
      <c r="E23" s="968"/>
      <c r="F23" s="968"/>
      <c r="G23" s="968"/>
      <c r="H23" s="968"/>
      <c r="I23" s="968"/>
      <c r="J23" s="968"/>
    </row>
    <row r="24" spans="1:10" s="72" customFormat="1" ht="15.75" x14ac:dyDescent="0.25">
      <c r="A24" s="968" t="s">
        <v>350</v>
      </c>
      <c r="B24" s="968"/>
      <c r="C24" s="968"/>
      <c r="D24" s="968"/>
      <c r="E24" s="968"/>
      <c r="F24" s="968"/>
      <c r="G24" s="968"/>
      <c r="H24" s="968"/>
      <c r="I24" s="968"/>
      <c r="J24" s="968"/>
    </row>
    <row r="25" spans="1:10" s="72" customFormat="1" ht="15.75" x14ac:dyDescent="0.25">
      <c r="A25" s="1023" t="s">
        <v>599</v>
      </c>
      <c r="B25" s="1023"/>
      <c r="C25" s="1023"/>
      <c r="D25" s="1023"/>
      <c r="E25" s="1023"/>
      <c r="F25" s="1023"/>
      <c r="G25" s="1023"/>
      <c r="H25" s="1023"/>
      <c r="I25" s="1023"/>
      <c r="J25" s="1023"/>
    </row>
    <row r="26" spans="1:10" s="72" customFormat="1" ht="15.75" x14ac:dyDescent="0.25">
      <c r="A26" s="968" t="s">
        <v>1421</v>
      </c>
      <c r="B26" s="968"/>
      <c r="C26" s="968"/>
      <c r="D26" s="968"/>
      <c r="E26" s="968"/>
      <c r="F26" s="968"/>
      <c r="G26" s="968"/>
      <c r="H26" s="968"/>
      <c r="I26" s="968"/>
      <c r="J26" s="968"/>
    </row>
    <row r="27" spans="1:10" s="73" customFormat="1" x14ac:dyDescent="0.25">
      <c r="A27" s="1020" t="s">
        <v>122</v>
      </c>
      <c r="B27" s="1020"/>
      <c r="C27" s="1020"/>
      <c r="D27" s="1020"/>
      <c r="E27" s="1020"/>
      <c r="F27" s="1020"/>
      <c r="G27" s="1020"/>
      <c r="H27" s="1020"/>
      <c r="I27" s="1020"/>
      <c r="J27" s="1020"/>
    </row>
    <row r="28" spans="1:10" ht="15.75" thickBot="1" x14ac:dyDescent="0.3"/>
    <row r="29" spans="1:10" s="113" customFormat="1" ht="53.25" customHeight="1" x14ac:dyDescent="0.25">
      <c r="A29" s="993" t="s">
        <v>350</v>
      </c>
      <c r="B29" s="994"/>
      <c r="C29" s="89" t="s">
        <v>217</v>
      </c>
      <c r="D29" s="112" t="s">
        <v>159</v>
      </c>
      <c r="E29" s="435" t="s">
        <v>218</v>
      </c>
      <c r="F29" s="140" t="s">
        <v>329</v>
      </c>
      <c r="G29" s="140" t="s">
        <v>330</v>
      </c>
      <c r="H29" s="140" t="s">
        <v>1364</v>
      </c>
      <c r="I29" s="140" t="s">
        <v>1365</v>
      </c>
      <c r="J29" s="89" t="s">
        <v>337</v>
      </c>
    </row>
    <row r="30" spans="1:10" s="114" customFormat="1" ht="13.5" thickBot="1" x14ac:dyDescent="0.3">
      <c r="A30" s="999"/>
      <c r="B30" s="1000"/>
      <c r="C30" s="91" t="s">
        <v>193</v>
      </c>
      <c r="D30" s="90" t="s">
        <v>194</v>
      </c>
      <c r="E30" s="90" t="s">
        <v>161</v>
      </c>
      <c r="F30" s="141" t="s">
        <v>195</v>
      </c>
      <c r="G30" s="141" t="s">
        <v>196</v>
      </c>
      <c r="H30" s="141" t="s">
        <v>1357</v>
      </c>
      <c r="I30" s="141" t="s">
        <v>1358</v>
      </c>
      <c r="J30" s="90" t="s">
        <v>336</v>
      </c>
    </row>
    <row r="31" spans="1:10" ht="30" customHeight="1" x14ac:dyDescent="0.25">
      <c r="A31" s="115"/>
      <c r="B31" s="94"/>
      <c r="C31" s="92"/>
      <c r="D31" s="92"/>
      <c r="E31" s="92"/>
      <c r="F31" s="92"/>
      <c r="G31" s="92"/>
      <c r="H31" s="92"/>
      <c r="I31" s="92"/>
      <c r="J31" s="92"/>
    </row>
    <row r="32" spans="1:10" ht="30" customHeight="1" x14ac:dyDescent="0.25">
      <c r="A32" s="115"/>
      <c r="B32" s="94" t="s">
        <v>385</v>
      </c>
      <c r="C32" s="92"/>
      <c r="D32" s="92"/>
      <c r="E32" s="92"/>
      <c r="F32" s="92"/>
      <c r="G32" s="92"/>
      <c r="H32" s="92"/>
      <c r="I32" s="92"/>
      <c r="J32" s="92"/>
    </row>
    <row r="33" spans="1:10" ht="30" customHeight="1" x14ac:dyDescent="0.25">
      <c r="A33" s="115"/>
      <c r="B33" s="94" t="s">
        <v>351</v>
      </c>
      <c r="C33" s="92"/>
      <c r="D33" s="92"/>
      <c r="E33" s="92"/>
      <c r="F33" s="92"/>
      <c r="G33" s="92"/>
      <c r="H33" s="92"/>
      <c r="I33" s="92"/>
      <c r="J33" s="92"/>
    </row>
    <row r="34" spans="1:10" ht="30" customHeight="1" x14ac:dyDescent="0.25">
      <c r="A34" s="115"/>
      <c r="B34" s="94" t="s">
        <v>352</v>
      </c>
      <c r="C34" s="92"/>
      <c r="D34" s="92"/>
      <c r="E34" s="92"/>
      <c r="F34" s="92"/>
      <c r="G34" s="92"/>
      <c r="H34" s="92"/>
      <c r="I34" s="92"/>
      <c r="J34" s="92"/>
    </row>
    <row r="35" spans="1:10" ht="30" customHeight="1" x14ac:dyDescent="0.25">
      <c r="A35" s="115"/>
      <c r="B35" s="94" t="s">
        <v>353</v>
      </c>
      <c r="C35" s="92"/>
      <c r="D35" s="92"/>
      <c r="E35" s="92"/>
      <c r="F35" s="92"/>
      <c r="G35" s="92"/>
      <c r="H35" s="92"/>
      <c r="I35" s="92"/>
      <c r="J35" s="92"/>
    </row>
    <row r="36" spans="1:10" ht="30" customHeight="1" x14ac:dyDescent="0.25">
      <c r="A36" s="115"/>
      <c r="B36" s="94" t="s">
        <v>354</v>
      </c>
      <c r="C36" s="331">
        <v>408196119.00000006</v>
      </c>
      <c r="D36" s="315">
        <v>425956130.77000004</v>
      </c>
      <c r="E36" s="332">
        <f>+C36+D36</f>
        <v>834152249.7700001</v>
      </c>
      <c r="F36" s="315">
        <v>623069039.4799999</v>
      </c>
      <c r="G36" s="315">
        <v>623069039.4799999</v>
      </c>
      <c r="H36" s="315">
        <v>305448935.77999991</v>
      </c>
      <c r="I36" s="315">
        <v>305448935.77999991</v>
      </c>
      <c r="J36" s="332">
        <f>+E36-F36</f>
        <v>211083210.2900002</v>
      </c>
    </row>
    <row r="37" spans="1:10" ht="30" customHeight="1" x14ac:dyDescent="0.25">
      <c r="A37" s="115"/>
      <c r="B37" s="94"/>
      <c r="C37" s="92"/>
      <c r="D37" s="92"/>
      <c r="E37" s="92"/>
      <c r="F37" s="92"/>
      <c r="G37" s="92"/>
      <c r="H37" s="92"/>
      <c r="I37" s="92"/>
      <c r="J37" s="92"/>
    </row>
    <row r="38" spans="1:10" ht="30" customHeight="1" x14ac:dyDescent="0.25">
      <c r="A38" s="115"/>
      <c r="B38" s="94"/>
      <c r="C38" s="92"/>
      <c r="D38" s="92"/>
      <c r="E38" s="92"/>
      <c r="F38" s="92"/>
      <c r="G38" s="92"/>
      <c r="H38" s="92"/>
      <c r="I38" s="92"/>
      <c r="J38" s="92"/>
    </row>
    <row r="39" spans="1:10" ht="30" customHeight="1" thickBot="1" x14ac:dyDescent="0.3">
      <c r="A39" s="116"/>
      <c r="B39" s="96"/>
      <c r="C39" s="97"/>
      <c r="D39" s="97"/>
      <c r="E39" s="97"/>
      <c r="F39" s="97"/>
      <c r="G39" s="97"/>
      <c r="H39" s="97"/>
      <c r="I39" s="97"/>
      <c r="J39" s="97"/>
    </row>
    <row r="40" spans="1:10" s="486" customFormat="1" ht="30" customHeight="1" thickBot="1" x14ac:dyDescent="0.3">
      <c r="A40" s="110"/>
      <c r="B40" s="111" t="s">
        <v>166</v>
      </c>
      <c r="C40" s="477">
        <f>SUM(C36:C39)</f>
        <v>408196119.00000006</v>
      </c>
      <c r="D40" s="477">
        <f t="shared" ref="D40:J40" si="4">SUM(D36:D39)</f>
        <v>425956130.77000004</v>
      </c>
      <c r="E40" s="477">
        <f t="shared" si="4"/>
        <v>834152249.7700001</v>
      </c>
      <c r="F40" s="477">
        <f t="shared" si="4"/>
        <v>623069039.4799999</v>
      </c>
      <c r="G40" s="477">
        <f t="shared" si="4"/>
        <v>623069039.4799999</v>
      </c>
      <c r="H40" s="477">
        <f t="shared" si="4"/>
        <v>305448935.77999991</v>
      </c>
      <c r="I40" s="477">
        <f t="shared" si="4"/>
        <v>305448935.77999991</v>
      </c>
      <c r="J40" s="477">
        <f t="shared" si="4"/>
        <v>211083210.2900002</v>
      </c>
    </row>
    <row r="43" spans="1:10" x14ac:dyDescent="0.25">
      <c r="G43" s="202" t="s">
        <v>422</v>
      </c>
      <c r="H43" s="202"/>
      <c r="I43" s="202"/>
    </row>
    <row r="46" spans="1:10" x14ac:dyDescent="0.25">
      <c r="A46" s="968" t="s">
        <v>167</v>
      </c>
      <c r="B46" s="968"/>
      <c r="C46" s="968"/>
      <c r="D46" s="968"/>
      <c r="E46" s="968"/>
      <c r="F46" s="968"/>
      <c r="G46" s="968"/>
      <c r="H46" s="968"/>
      <c r="I46" s="968"/>
      <c r="J46" s="968"/>
    </row>
    <row r="47" spans="1:10" x14ac:dyDescent="0.25">
      <c r="A47" s="968" t="s">
        <v>157</v>
      </c>
      <c r="B47" s="968"/>
      <c r="C47" s="968"/>
      <c r="D47" s="968"/>
      <c r="E47" s="968"/>
      <c r="F47" s="968"/>
      <c r="G47" s="968"/>
      <c r="H47" s="968"/>
      <c r="I47" s="968"/>
      <c r="J47" s="968"/>
    </row>
    <row r="48" spans="1:10" x14ac:dyDescent="0.25">
      <c r="A48" s="968" t="s">
        <v>355</v>
      </c>
      <c r="B48" s="968"/>
      <c r="C48" s="968"/>
      <c r="D48" s="968"/>
      <c r="E48" s="968"/>
      <c r="F48" s="968"/>
      <c r="G48" s="968"/>
      <c r="H48" s="968"/>
      <c r="I48" s="968"/>
      <c r="J48" s="968"/>
    </row>
    <row r="49" spans="1:10" x14ac:dyDescent="0.25">
      <c r="A49" s="1023" t="s">
        <v>599</v>
      </c>
      <c r="B49" s="1023"/>
      <c r="C49" s="1023"/>
      <c r="D49" s="1023"/>
      <c r="E49" s="1023"/>
      <c r="F49" s="1023"/>
      <c r="G49" s="1023"/>
      <c r="H49" s="1023"/>
      <c r="I49" s="1023"/>
      <c r="J49" s="1023"/>
    </row>
    <row r="50" spans="1:10" x14ac:dyDescent="0.25">
      <c r="A50" s="968" t="s">
        <v>1421</v>
      </c>
      <c r="B50" s="968"/>
      <c r="C50" s="968"/>
      <c r="D50" s="968"/>
      <c r="E50" s="968"/>
      <c r="F50" s="968"/>
      <c r="G50" s="968"/>
      <c r="H50" s="968"/>
      <c r="I50" s="968"/>
      <c r="J50" s="968"/>
    </row>
    <row r="51" spans="1:10" x14ac:dyDescent="0.25">
      <c r="A51" s="1020" t="s">
        <v>122</v>
      </c>
      <c r="B51" s="1020"/>
      <c r="C51" s="1020"/>
      <c r="D51" s="1020"/>
      <c r="E51" s="1020"/>
      <c r="F51" s="1020"/>
      <c r="G51" s="1020"/>
      <c r="H51" s="1020"/>
      <c r="I51" s="1020"/>
      <c r="J51" s="1020"/>
    </row>
    <row r="52" spans="1:10" ht="4.5" customHeight="1" thickBot="1" x14ac:dyDescent="0.3"/>
    <row r="53" spans="1:10" ht="38.25" x14ac:dyDescent="0.25">
      <c r="A53" s="993" t="s">
        <v>113</v>
      </c>
      <c r="B53" s="994"/>
      <c r="C53" s="89" t="s">
        <v>217</v>
      </c>
      <c r="D53" s="112" t="s">
        <v>159</v>
      </c>
      <c r="E53" s="435" t="s">
        <v>218</v>
      </c>
      <c r="F53" s="140" t="s">
        <v>329</v>
      </c>
      <c r="G53" s="140" t="s">
        <v>330</v>
      </c>
      <c r="H53" s="140" t="s">
        <v>1364</v>
      </c>
      <c r="I53" s="140" t="s">
        <v>1365</v>
      </c>
      <c r="J53" s="89" t="s">
        <v>337</v>
      </c>
    </row>
    <row r="54" spans="1:10" ht="15.75" thickBot="1" x14ac:dyDescent="0.3">
      <c r="A54" s="999"/>
      <c r="B54" s="1000"/>
      <c r="C54" s="91" t="s">
        <v>193</v>
      </c>
      <c r="D54" s="90" t="s">
        <v>194</v>
      </c>
      <c r="E54" s="90" t="s">
        <v>161</v>
      </c>
      <c r="F54" s="141" t="s">
        <v>195</v>
      </c>
      <c r="G54" s="141" t="s">
        <v>196</v>
      </c>
      <c r="H54" s="141" t="s">
        <v>1357</v>
      </c>
      <c r="I54" s="141" t="s">
        <v>1358</v>
      </c>
      <c r="J54" s="90" t="s">
        <v>336</v>
      </c>
    </row>
    <row r="55" spans="1:10" ht="4.5" customHeight="1" x14ac:dyDescent="0.25">
      <c r="A55" s="115"/>
      <c r="B55" s="94"/>
      <c r="C55" s="92"/>
      <c r="D55" s="92"/>
      <c r="E55" s="92"/>
      <c r="F55" s="92"/>
      <c r="G55" s="92"/>
      <c r="H55" s="92"/>
      <c r="I55" s="92"/>
      <c r="J55" s="92"/>
    </row>
    <row r="56" spans="1:10" ht="12" customHeight="1" x14ac:dyDescent="0.25">
      <c r="A56" s="203" t="s">
        <v>356</v>
      </c>
      <c r="B56" s="204"/>
      <c r="C56" s="92"/>
      <c r="D56" s="92"/>
      <c r="E56" s="92"/>
      <c r="F56" s="92"/>
      <c r="G56" s="92"/>
      <c r="H56" s="92"/>
      <c r="I56" s="92"/>
      <c r="J56" s="92"/>
    </row>
    <row r="57" spans="1:10" ht="12" customHeight="1" x14ac:dyDescent="0.25">
      <c r="A57" s="203"/>
      <c r="B57" s="204" t="s">
        <v>357</v>
      </c>
      <c r="C57" s="92"/>
      <c r="D57" s="92"/>
      <c r="E57" s="92"/>
      <c r="F57" s="92"/>
      <c r="G57" s="92"/>
      <c r="H57" s="92"/>
      <c r="I57" s="92"/>
      <c r="J57" s="92"/>
    </row>
    <row r="58" spans="1:10" ht="12" customHeight="1" x14ac:dyDescent="0.25">
      <c r="A58" s="203"/>
      <c r="B58" s="204" t="s">
        <v>358</v>
      </c>
      <c r="C58" s="92"/>
      <c r="D58" s="92"/>
      <c r="E58" s="92"/>
      <c r="F58" s="92"/>
      <c r="G58" s="92"/>
      <c r="H58" s="92"/>
      <c r="I58" s="92"/>
      <c r="J58" s="92"/>
    </row>
    <row r="59" spans="1:10" ht="12" customHeight="1" x14ac:dyDescent="0.25">
      <c r="A59" s="203"/>
      <c r="B59" s="204" t="s">
        <v>360</v>
      </c>
      <c r="C59" s="92"/>
      <c r="D59" s="92"/>
      <c r="E59" s="92"/>
      <c r="F59" s="92"/>
      <c r="G59" s="92"/>
      <c r="H59" s="92"/>
      <c r="I59" s="92"/>
      <c r="J59" s="92"/>
    </row>
    <row r="60" spans="1:10" ht="12" customHeight="1" x14ac:dyDescent="0.25">
      <c r="A60" s="203"/>
      <c r="B60" s="204" t="s">
        <v>359</v>
      </c>
      <c r="C60" s="92"/>
      <c r="D60" s="92"/>
      <c r="E60" s="92"/>
      <c r="F60" s="92"/>
      <c r="G60" s="92"/>
      <c r="H60" s="92"/>
      <c r="I60" s="92"/>
      <c r="J60" s="92"/>
    </row>
    <row r="61" spans="1:10" ht="12" customHeight="1" x14ac:dyDescent="0.25">
      <c r="A61" s="203"/>
      <c r="B61" s="204" t="s">
        <v>361</v>
      </c>
      <c r="C61" s="92"/>
      <c r="D61" s="92"/>
      <c r="E61" s="92"/>
      <c r="F61" s="92"/>
      <c r="G61" s="92"/>
      <c r="H61" s="92"/>
      <c r="I61" s="92"/>
      <c r="J61" s="92"/>
    </row>
    <row r="62" spans="1:10" ht="12" customHeight="1" x14ac:dyDescent="0.25">
      <c r="A62" s="203"/>
      <c r="B62" s="204" t="s">
        <v>362</v>
      </c>
      <c r="C62" s="92"/>
      <c r="D62" s="92"/>
      <c r="E62" s="92"/>
      <c r="F62" s="92"/>
      <c r="G62" s="92"/>
      <c r="H62" s="92"/>
      <c r="I62" s="92"/>
      <c r="J62" s="92"/>
    </row>
    <row r="63" spans="1:10" ht="12" customHeight="1" x14ac:dyDescent="0.25">
      <c r="A63" s="203"/>
      <c r="B63" s="204" t="s">
        <v>363</v>
      </c>
      <c r="C63" s="92"/>
      <c r="D63" s="92"/>
      <c r="E63" s="92"/>
      <c r="F63" s="92"/>
      <c r="G63" s="92"/>
      <c r="H63" s="92"/>
      <c r="I63" s="92"/>
      <c r="J63" s="92"/>
    </row>
    <row r="64" spans="1:10" ht="12" customHeight="1" x14ac:dyDescent="0.25">
      <c r="A64" s="203"/>
      <c r="B64" s="204" t="s">
        <v>364</v>
      </c>
      <c r="C64" s="92"/>
      <c r="D64" s="92"/>
      <c r="E64" s="92"/>
      <c r="F64" s="92"/>
      <c r="G64" s="92"/>
      <c r="H64" s="92"/>
      <c r="I64" s="92"/>
      <c r="J64" s="92"/>
    </row>
    <row r="65" spans="1:10" ht="5.25" customHeight="1" x14ac:dyDescent="0.25">
      <c r="A65" s="203"/>
      <c r="B65" s="204"/>
      <c r="C65" s="92"/>
      <c r="D65" s="92"/>
      <c r="E65" s="92"/>
      <c r="F65" s="92"/>
      <c r="G65" s="92"/>
      <c r="H65" s="92"/>
      <c r="I65" s="92"/>
      <c r="J65" s="92"/>
    </row>
    <row r="66" spans="1:10" ht="12" customHeight="1" x14ac:dyDescent="0.25">
      <c r="A66" s="1021" t="s">
        <v>365</v>
      </c>
      <c r="B66" s="1022"/>
      <c r="C66" s="92"/>
      <c r="D66" s="92"/>
      <c r="E66" s="92"/>
      <c r="F66" s="92"/>
      <c r="G66" s="92"/>
      <c r="H66" s="92"/>
      <c r="I66" s="92"/>
      <c r="J66" s="92"/>
    </row>
    <row r="67" spans="1:10" ht="12" customHeight="1" x14ac:dyDescent="0.25">
      <c r="A67" s="203"/>
      <c r="B67" s="204" t="s">
        <v>366</v>
      </c>
      <c r="C67" s="92"/>
      <c r="D67" s="92"/>
      <c r="E67" s="92"/>
      <c r="F67" s="92"/>
      <c r="G67" s="92"/>
      <c r="H67" s="92"/>
      <c r="I67" s="92"/>
      <c r="J67" s="92"/>
    </row>
    <row r="68" spans="1:10" ht="12" customHeight="1" x14ac:dyDescent="0.25">
      <c r="A68" s="203"/>
      <c r="B68" s="204" t="s">
        <v>367</v>
      </c>
      <c r="C68" s="92"/>
      <c r="D68" s="92"/>
      <c r="E68" s="92"/>
      <c r="F68" s="92"/>
      <c r="G68" s="92"/>
      <c r="H68" s="92"/>
      <c r="I68" s="92"/>
      <c r="J68" s="92"/>
    </row>
    <row r="69" spans="1:10" ht="12" customHeight="1" x14ac:dyDescent="0.25">
      <c r="A69" s="203"/>
      <c r="B69" s="204" t="s">
        <v>368</v>
      </c>
      <c r="C69" s="92"/>
      <c r="D69" s="92"/>
      <c r="E69" s="92"/>
      <c r="F69" s="92"/>
      <c r="G69" s="92"/>
      <c r="H69" s="92"/>
      <c r="I69" s="92"/>
      <c r="J69" s="92"/>
    </row>
    <row r="70" spans="1:10" ht="12" customHeight="1" x14ac:dyDescent="0.25">
      <c r="A70" s="203"/>
      <c r="B70" s="204" t="s">
        <v>369</v>
      </c>
      <c r="C70" s="490">
        <v>408196119.00000006</v>
      </c>
      <c r="D70" s="332">
        <v>425956130.77000004</v>
      </c>
      <c r="E70" s="332">
        <v>834152249.7700001</v>
      </c>
      <c r="F70" s="332">
        <v>623069039.4799999</v>
      </c>
      <c r="G70" s="332">
        <v>623069039.4799999</v>
      </c>
      <c r="H70" s="332">
        <v>305448935.77999991</v>
      </c>
      <c r="I70" s="332">
        <v>305448935.77999991</v>
      </c>
      <c r="J70" s="332">
        <v>211083210.2900002</v>
      </c>
    </row>
    <row r="71" spans="1:10" ht="12" customHeight="1" x14ac:dyDescent="0.25">
      <c r="A71" s="203"/>
      <c r="B71" s="204" t="s">
        <v>370</v>
      </c>
      <c r="C71" s="92"/>
      <c r="D71" s="92"/>
      <c r="E71" s="92"/>
      <c r="F71" s="92"/>
      <c r="G71" s="92"/>
      <c r="H71" s="92"/>
      <c r="I71" s="92"/>
      <c r="J71" s="92"/>
    </row>
    <row r="72" spans="1:10" ht="12" customHeight="1" x14ac:dyDescent="0.25">
      <c r="A72" s="203"/>
      <c r="B72" s="204" t="s">
        <v>371</v>
      </c>
      <c r="C72" s="92"/>
      <c r="D72" s="92"/>
      <c r="E72" s="92"/>
      <c r="F72" s="92"/>
      <c r="G72" s="92"/>
      <c r="H72" s="92"/>
      <c r="I72" s="92"/>
      <c r="J72" s="92"/>
    </row>
    <row r="73" spans="1:10" ht="12" customHeight="1" x14ac:dyDescent="0.25">
      <c r="A73" s="203"/>
      <c r="B73" s="204" t="s">
        <v>372</v>
      </c>
      <c r="C73" s="92"/>
      <c r="D73" s="92"/>
      <c r="E73" s="92"/>
      <c r="F73" s="92"/>
      <c r="G73" s="92"/>
      <c r="H73" s="92"/>
      <c r="I73" s="92"/>
      <c r="J73" s="92"/>
    </row>
    <row r="74" spans="1:10" ht="3" customHeight="1" x14ac:dyDescent="0.25">
      <c r="A74" s="203"/>
      <c r="B74" s="204"/>
      <c r="C74" s="92"/>
      <c r="D74" s="92"/>
      <c r="E74" s="92"/>
      <c r="F74" s="92"/>
      <c r="G74" s="92"/>
      <c r="H74" s="92"/>
      <c r="I74" s="92"/>
      <c r="J74" s="92"/>
    </row>
    <row r="75" spans="1:10" ht="12" customHeight="1" x14ac:dyDescent="0.25">
      <c r="A75" s="1021" t="s">
        <v>373</v>
      </c>
      <c r="B75" s="1022"/>
      <c r="C75" s="92"/>
      <c r="D75" s="92"/>
      <c r="E75" s="92"/>
      <c r="F75" s="92"/>
      <c r="G75" s="92"/>
      <c r="H75" s="92"/>
      <c r="I75" s="92"/>
      <c r="J75" s="92"/>
    </row>
    <row r="76" spans="1:10" ht="12" customHeight="1" x14ac:dyDescent="0.25">
      <c r="A76" s="203"/>
      <c r="B76" s="204" t="s">
        <v>374</v>
      </c>
      <c r="C76" s="92"/>
      <c r="D76" s="92"/>
      <c r="E76" s="92"/>
      <c r="F76" s="92"/>
      <c r="G76" s="92"/>
      <c r="H76" s="92"/>
      <c r="I76" s="92"/>
      <c r="J76" s="92"/>
    </row>
    <row r="77" spans="1:10" ht="12" customHeight="1" x14ac:dyDescent="0.25">
      <c r="A77" s="203"/>
      <c r="B77" s="204" t="s">
        <v>375</v>
      </c>
      <c r="C77" s="92"/>
      <c r="D77" s="92"/>
      <c r="E77" s="92"/>
      <c r="F77" s="92"/>
      <c r="G77" s="92"/>
      <c r="H77" s="92"/>
      <c r="I77" s="92"/>
      <c r="J77" s="92"/>
    </row>
    <row r="78" spans="1:10" ht="12" customHeight="1" x14ac:dyDescent="0.25">
      <c r="A78" s="203"/>
      <c r="B78" s="204" t="s">
        <v>426</v>
      </c>
      <c r="C78" s="92"/>
      <c r="D78" s="92"/>
      <c r="E78" s="92"/>
      <c r="F78" s="92"/>
      <c r="G78" s="92"/>
      <c r="H78" s="92"/>
      <c r="I78" s="92"/>
      <c r="J78" s="92"/>
    </row>
    <row r="79" spans="1:10" ht="12" customHeight="1" x14ac:dyDescent="0.25">
      <c r="A79" s="203"/>
      <c r="B79" s="204" t="s">
        <v>386</v>
      </c>
      <c r="C79" s="92"/>
      <c r="D79" s="92"/>
      <c r="E79" s="92"/>
      <c r="F79" s="92"/>
      <c r="G79" s="92"/>
      <c r="H79" s="92"/>
      <c r="I79" s="92"/>
      <c r="J79" s="92"/>
    </row>
    <row r="80" spans="1:10" ht="12" customHeight="1" x14ac:dyDescent="0.25">
      <c r="A80" s="203"/>
      <c r="B80" s="204" t="s">
        <v>376</v>
      </c>
      <c r="C80" s="92"/>
      <c r="D80" s="92"/>
      <c r="E80" s="92"/>
      <c r="F80" s="92"/>
      <c r="G80" s="92"/>
      <c r="H80" s="92"/>
      <c r="I80" s="92"/>
      <c r="J80" s="92"/>
    </row>
    <row r="81" spans="1:10" ht="12" customHeight="1" x14ac:dyDescent="0.25">
      <c r="A81" s="203"/>
      <c r="B81" s="204" t="s">
        <v>427</v>
      </c>
      <c r="C81" s="92"/>
      <c r="D81" s="92"/>
      <c r="E81" s="92"/>
      <c r="F81" s="92"/>
      <c r="G81" s="92"/>
      <c r="H81" s="92"/>
      <c r="I81" s="92"/>
      <c r="J81" s="92"/>
    </row>
    <row r="82" spans="1:10" ht="12" customHeight="1" x14ac:dyDescent="0.25">
      <c r="A82" s="203"/>
      <c r="B82" s="204" t="s">
        <v>377</v>
      </c>
      <c r="C82" s="92"/>
      <c r="D82" s="92"/>
      <c r="E82" s="92"/>
      <c r="F82" s="92"/>
      <c r="G82" s="92"/>
      <c r="H82" s="92"/>
      <c r="I82" s="92"/>
      <c r="J82" s="92"/>
    </row>
    <row r="83" spans="1:10" ht="12" customHeight="1" x14ac:dyDescent="0.25">
      <c r="A83" s="203"/>
      <c r="B83" s="204" t="s">
        <v>378</v>
      </c>
      <c r="C83" s="92"/>
      <c r="D83" s="92"/>
      <c r="E83" s="92"/>
      <c r="F83" s="92"/>
      <c r="G83" s="92"/>
      <c r="H83" s="92"/>
      <c r="I83" s="92"/>
      <c r="J83" s="92"/>
    </row>
    <row r="84" spans="1:10" ht="12" customHeight="1" x14ac:dyDescent="0.25">
      <c r="A84" s="203"/>
      <c r="B84" s="204" t="s">
        <v>379</v>
      </c>
      <c r="C84" s="92"/>
      <c r="D84" s="92"/>
      <c r="E84" s="92"/>
      <c r="F84" s="92"/>
      <c r="G84" s="92"/>
      <c r="H84" s="92"/>
      <c r="I84" s="92"/>
      <c r="J84" s="92"/>
    </row>
    <row r="85" spans="1:10" ht="3" customHeight="1" x14ac:dyDescent="0.25">
      <c r="A85" s="203"/>
      <c r="B85" s="204"/>
      <c r="C85" s="92"/>
      <c r="D85" s="92"/>
      <c r="E85" s="92"/>
      <c r="F85" s="92"/>
      <c r="G85" s="92"/>
      <c r="H85" s="92"/>
      <c r="I85" s="92"/>
      <c r="J85" s="92"/>
    </row>
    <row r="86" spans="1:10" ht="12" customHeight="1" x14ac:dyDescent="0.25">
      <c r="A86" s="1021" t="s">
        <v>380</v>
      </c>
      <c r="B86" s="1022"/>
      <c r="C86" s="92"/>
      <c r="D86" s="92"/>
      <c r="E86" s="92"/>
      <c r="F86" s="92"/>
      <c r="G86" s="92"/>
      <c r="H86" s="92"/>
      <c r="I86" s="92"/>
      <c r="J86" s="92"/>
    </row>
    <row r="87" spans="1:10" ht="12" customHeight="1" x14ac:dyDescent="0.25">
      <c r="A87" s="203"/>
      <c r="B87" s="205" t="s">
        <v>381</v>
      </c>
      <c r="C87" s="92"/>
      <c r="D87" s="92"/>
      <c r="E87" s="92"/>
      <c r="F87" s="92"/>
      <c r="G87" s="92"/>
      <c r="H87" s="92"/>
      <c r="I87" s="92"/>
      <c r="J87" s="92"/>
    </row>
    <row r="88" spans="1:10" ht="25.5" customHeight="1" x14ac:dyDescent="0.25">
      <c r="A88" s="203"/>
      <c r="B88" s="205" t="s">
        <v>382</v>
      </c>
      <c r="C88" s="92"/>
      <c r="D88" s="92"/>
      <c r="E88" s="92"/>
      <c r="F88" s="92"/>
      <c r="G88" s="92"/>
      <c r="H88" s="92"/>
      <c r="I88" s="92"/>
      <c r="J88" s="92"/>
    </row>
    <row r="89" spans="1:10" ht="12" customHeight="1" x14ac:dyDescent="0.25">
      <c r="A89" s="203"/>
      <c r="B89" s="204" t="s">
        <v>383</v>
      </c>
      <c r="C89" s="92"/>
      <c r="D89" s="92"/>
      <c r="E89" s="92"/>
      <c r="F89" s="92"/>
      <c r="G89" s="92"/>
      <c r="H89" s="92"/>
      <c r="I89" s="92"/>
      <c r="J89" s="92"/>
    </row>
    <row r="90" spans="1:10" ht="12" customHeight="1" thickBot="1" x14ac:dyDescent="0.3">
      <c r="A90" s="203"/>
      <c r="B90" s="204" t="s">
        <v>384</v>
      </c>
      <c r="C90" s="92"/>
      <c r="D90" s="92"/>
      <c r="E90" s="92"/>
      <c r="F90" s="92"/>
      <c r="G90" s="92"/>
      <c r="H90" s="92"/>
      <c r="I90" s="92"/>
      <c r="J90" s="92"/>
    </row>
    <row r="91" spans="1:10" s="486" customFormat="1" ht="13.5" thickBot="1" x14ac:dyDescent="0.3">
      <c r="A91" s="487"/>
      <c r="B91" s="488" t="s">
        <v>166</v>
      </c>
      <c r="C91" s="489">
        <f>SUM(C70:C90)</f>
        <v>408196119.00000006</v>
      </c>
      <c r="D91" s="489">
        <f t="shared" ref="D91:J91" si="5">SUM(D70:D90)</f>
        <v>425956130.77000004</v>
      </c>
      <c r="E91" s="489">
        <f t="shared" si="5"/>
        <v>834152249.7700001</v>
      </c>
      <c r="F91" s="489">
        <f t="shared" si="5"/>
        <v>623069039.4799999</v>
      </c>
      <c r="G91" s="489">
        <f t="shared" si="5"/>
        <v>623069039.4799999</v>
      </c>
      <c r="H91" s="489">
        <f t="shared" si="5"/>
        <v>305448935.77999991</v>
      </c>
      <c r="I91" s="489">
        <f t="shared" si="5"/>
        <v>305448935.77999991</v>
      </c>
      <c r="J91" s="489">
        <f t="shared" si="5"/>
        <v>211083210.2900002</v>
      </c>
    </row>
    <row r="93" spans="1:10" x14ac:dyDescent="0.25">
      <c r="G93" s="202" t="s">
        <v>420</v>
      </c>
      <c r="H93" s="202"/>
      <c r="I93" s="202"/>
    </row>
    <row r="94" spans="1:10" x14ac:dyDescent="0.25">
      <c r="A94" s="968" t="s">
        <v>167</v>
      </c>
      <c r="B94" s="968"/>
      <c r="C94" s="968"/>
      <c r="D94" s="968"/>
      <c r="E94" s="968"/>
      <c r="F94" s="968"/>
      <c r="G94" s="968"/>
      <c r="H94" s="968"/>
      <c r="I94" s="968"/>
      <c r="J94" s="968"/>
    </row>
    <row r="95" spans="1:10" x14ac:dyDescent="0.25">
      <c r="A95" s="968" t="s">
        <v>388</v>
      </c>
      <c r="B95" s="968"/>
      <c r="C95" s="968"/>
      <c r="D95" s="968"/>
      <c r="E95" s="968"/>
      <c r="F95" s="968"/>
      <c r="G95" s="968"/>
      <c r="H95" s="968"/>
      <c r="I95" s="968"/>
      <c r="J95" s="968"/>
    </row>
    <row r="96" spans="1:10" x14ac:dyDescent="0.25">
      <c r="A96" s="1023" t="s">
        <v>599</v>
      </c>
      <c r="B96" s="1023"/>
      <c r="C96" s="1023"/>
      <c r="D96" s="1023"/>
      <c r="E96" s="1023"/>
      <c r="F96" s="1023"/>
      <c r="G96" s="1023"/>
      <c r="H96" s="1023"/>
      <c r="I96" s="1023"/>
      <c r="J96" s="1023"/>
    </row>
    <row r="97" spans="1:10" x14ac:dyDescent="0.25">
      <c r="A97" s="968" t="s">
        <v>1421</v>
      </c>
      <c r="B97" s="968"/>
      <c r="C97" s="968"/>
      <c r="D97" s="968"/>
      <c r="E97" s="968"/>
      <c r="F97" s="968"/>
      <c r="G97" s="968"/>
      <c r="H97" s="968"/>
      <c r="I97" s="968"/>
      <c r="J97" s="968"/>
    </row>
    <row r="98" spans="1:10" x14ac:dyDescent="0.25">
      <c r="A98" s="1020" t="s">
        <v>122</v>
      </c>
      <c r="B98" s="1020"/>
      <c r="C98" s="1020"/>
      <c r="D98" s="1020"/>
      <c r="E98" s="1020"/>
      <c r="F98" s="1020"/>
      <c r="G98" s="1020"/>
      <c r="H98" s="1020"/>
      <c r="I98" s="1020"/>
      <c r="J98" s="1020"/>
    </row>
    <row r="99" spans="1:10" ht="6" customHeight="1" thickBot="1" x14ac:dyDescent="0.3"/>
    <row r="100" spans="1:10" ht="38.25" x14ac:dyDescent="0.25">
      <c r="A100" s="993" t="s">
        <v>113</v>
      </c>
      <c r="B100" s="994"/>
      <c r="C100" s="89" t="s">
        <v>217</v>
      </c>
      <c r="D100" s="112" t="s">
        <v>159</v>
      </c>
      <c r="E100" s="435" t="s">
        <v>218</v>
      </c>
      <c r="F100" s="140" t="s">
        <v>329</v>
      </c>
      <c r="G100" s="140" t="s">
        <v>330</v>
      </c>
      <c r="H100" s="140" t="s">
        <v>1364</v>
      </c>
      <c r="I100" s="140" t="s">
        <v>1365</v>
      </c>
      <c r="J100" s="89" t="s">
        <v>337</v>
      </c>
    </row>
    <row r="101" spans="1:10" ht="15.75" thickBot="1" x14ac:dyDescent="0.3">
      <c r="A101" s="999"/>
      <c r="B101" s="1000"/>
      <c r="C101" s="91" t="s">
        <v>193</v>
      </c>
      <c r="D101" s="90" t="s">
        <v>194</v>
      </c>
      <c r="E101" s="90" t="s">
        <v>161</v>
      </c>
      <c r="F101" s="141" t="s">
        <v>195</v>
      </c>
      <c r="G101" s="141" t="s">
        <v>196</v>
      </c>
      <c r="H101" s="141" t="s">
        <v>1357</v>
      </c>
      <c r="I101" s="141" t="s">
        <v>1358</v>
      </c>
      <c r="J101" s="90" t="s">
        <v>336</v>
      </c>
    </row>
    <row r="102" spans="1:10" ht="4.5" customHeight="1" x14ac:dyDescent="0.25">
      <c r="A102" s="115"/>
      <c r="B102" s="94"/>
      <c r="C102" s="92"/>
      <c r="D102" s="92"/>
      <c r="E102" s="92"/>
      <c r="F102" s="92"/>
      <c r="G102" s="92"/>
      <c r="H102" s="92"/>
      <c r="I102" s="92"/>
      <c r="J102" s="92"/>
    </row>
    <row r="103" spans="1:10" x14ac:dyDescent="0.25">
      <c r="A103" s="203" t="s">
        <v>387</v>
      </c>
      <c r="B103" s="204"/>
      <c r="C103" s="92"/>
      <c r="D103" s="92"/>
      <c r="E103" s="92"/>
      <c r="F103" s="92"/>
      <c r="G103" s="92"/>
      <c r="H103" s="92"/>
      <c r="I103" s="92"/>
      <c r="J103" s="92"/>
    </row>
    <row r="104" spans="1:10" ht="13.5" customHeight="1" x14ac:dyDescent="0.25">
      <c r="A104" s="208" t="s">
        <v>389</v>
      </c>
      <c r="B104" s="209"/>
      <c r="C104" s="212"/>
      <c r="D104" s="212"/>
      <c r="E104" s="212"/>
      <c r="F104" s="212"/>
      <c r="G104" s="212"/>
      <c r="H104" s="212"/>
      <c r="I104" s="212"/>
      <c r="J104" s="212"/>
    </row>
    <row r="105" spans="1:10" ht="14.25" customHeight="1" x14ac:dyDescent="0.25">
      <c r="A105" s="210"/>
      <c r="B105" s="209" t="s">
        <v>390</v>
      </c>
      <c r="C105" s="212"/>
      <c r="D105" s="212"/>
      <c r="E105" s="212"/>
      <c r="F105" s="212"/>
      <c r="G105" s="212"/>
      <c r="H105" s="212"/>
      <c r="I105" s="212"/>
      <c r="J105" s="212"/>
    </row>
    <row r="106" spans="1:10" ht="14.25" customHeight="1" x14ac:dyDescent="0.25">
      <c r="A106" s="210"/>
      <c r="B106" s="209" t="s">
        <v>391</v>
      </c>
      <c r="C106" s="92"/>
      <c r="D106" s="92"/>
      <c r="E106" s="92"/>
      <c r="F106" s="92"/>
      <c r="G106" s="92"/>
      <c r="H106" s="92"/>
      <c r="I106" s="92"/>
      <c r="J106" s="92"/>
    </row>
    <row r="107" spans="1:10" ht="14.25" customHeight="1" x14ac:dyDescent="0.25">
      <c r="A107" s="210"/>
      <c r="B107" s="209" t="s">
        <v>392</v>
      </c>
      <c r="C107" s="92"/>
      <c r="D107" s="92"/>
      <c r="E107" s="92"/>
      <c r="F107" s="92"/>
      <c r="G107" s="92"/>
      <c r="H107" s="92"/>
      <c r="I107" s="92"/>
      <c r="J107" s="92"/>
    </row>
    <row r="108" spans="1:10" ht="12.75" customHeight="1" x14ac:dyDescent="0.25">
      <c r="A108" s="208" t="s">
        <v>393</v>
      </c>
      <c r="B108" s="209"/>
      <c r="C108" s="212"/>
      <c r="D108" s="212"/>
      <c r="E108" s="212"/>
      <c r="F108" s="212"/>
      <c r="G108" s="212"/>
      <c r="H108" s="212"/>
      <c r="I108" s="212"/>
      <c r="J108" s="212"/>
    </row>
    <row r="109" spans="1:10" ht="13.5" customHeight="1" x14ac:dyDescent="0.25">
      <c r="A109" s="210"/>
      <c r="B109" s="209" t="s">
        <v>394</v>
      </c>
      <c r="C109" s="212"/>
      <c r="D109" s="212"/>
      <c r="E109" s="212"/>
      <c r="F109" s="212"/>
      <c r="G109" s="212"/>
      <c r="H109" s="212"/>
      <c r="I109" s="212"/>
      <c r="J109" s="212"/>
    </row>
    <row r="110" spans="1:10" ht="13.5" customHeight="1" x14ac:dyDescent="0.25">
      <c r="A110" s="210"/>
      <c r="B110" s="209" t="s">
        <v>395</v>
      </c>
      <c r="C110" s="92"/>
      <c r="D110" s="92"/>
      <c r="E110" s="92"/>
      <c r="F110" s="92"/>
      <c r="G110" s="92"/>
      <c r="H110" s="92"/>
      <c r="I110" s="92"/>
      <c r="J110" s="92"/>
    </row>
    <row r="111" spans="1:10" ht="13.5" customHeight="1" x14ac:dyDescent="0.25">
      <c r="A111" s="210"/>
      <c r="B111" s="209" t="s">
        <v>396</v>
      </c>
      <c r="C111" s="330">
        <f>+C9+C10+C12</f>
        <v>400905225.36000007</v>
      </c>
      <c r="D111" s="330">
        <f t="shared" ref="D111:J111" si="6">+D9+D10+D12</f>
        <v>423638868.74000007</v>
      </c>
      <c r="E111" s="330">
        <f t="shared" si="6"/>
        <v>824544094.10000014</v>
      </c>
      <c r="F111" s="330">
        <f t="shared" si="6"/>
        <v>613480713.2299999</v>
      </c>
      <c r="G111" s="330">
        <f t="shared" si="6"/>
        <v>613480713.2299999</v>
      </c>
      <c r="H111" s="330">
        <f t="shared" si="6"/>
        <v>301760414.69999993</v>
      </c>
      <c r="I111" s="330">
        <f t="shared" si="6"/>
        <v>301760414.69999993</v>
      </c>
      <c r="J111" s="330">
        <f t="shared" si="6"/>
        <v>211063380.87000015</v>
      </c>
    </row>
    <row r="112" spans="1:10" ht="13.5" customHeight="1" x14ac:dyDescent="0.25">
      <c r="A112" s="210"/>
      <c r="B112" s="209" t="s">
        <v>397</v>
      </c>
      <c r="C112" s="92"/>
      <c r="D112" s="92"/>
      <c r="E112" s="92"/>
      <c r="F112" s="92"/>
      <c r="G112" s="92"/>
      <c r="H112" s="92"/>
      <c r="I112" s="92"/>
      <c r="J112" s="92"/>
    </row>
    <row r="113" spans="1:10" ht="13.5" customHeight="1" x14ac:dyDescent="0.25">
      <c r="A113" s="210"/>
      <c r="B113" s="209" t="s">
        <v>398</v>
      </c>
      <c r="C113" s="92"/>
      <c r="D113" s="92"/>
      <c r="E113" s="92"/>
      <c r="F113" s="92"/>
      <c r="G113" s="92"/>
      <c r="H113" s="92"/>
      <c r="I113" s="92"/>
      <c r="J113" s="92"/>
    </row>
    <row r="114" spans="1:10" ht="13.5" customHeight="1" x14ac:dyDescent="0.25">
      <c r="A114" s="210"/>
      <c r="B114" s="209" t="s">
        <v>399</v>
      </c>
      <c r="C114" s="92"/>
      <c r="D114" s="92"/>
      <c r="E114" s="92"/>
      <c r="F114" s="92"/>
      <c r="G114" s="92"/>
      <c r="H114" s="92"/>
      <c r="I114" s="92"/>
      <c r="J114" s="92"/>
    </row>
    <row r="115" spans="1:10" ht="13.5" customHeight="1" x14ac:dyDescent="0.25">
      <c r="A115" s="210"/>
      <c r="B115" s="209" t="s">
        <v>400</v>
      </c>
      <c r="C115" s="92"/>
      <c r="D115" s="92"/>
      <c r="E115" s="92"/>
      <c r="F115" s="92"/>
      <c r="G115" s="92"/>
      <c r="H115" s="92"/>
      <c r="I115" s="92"/>
      <c r="J115" s="92"/>
    </row>
    <row r="116" spans="1:10" ht="13.5" customHeight="1" x14ac:dyDescent="0.25">
      <c r="A116" s="210"/>
      <c r="B116" s="209" t="s">
        <v>401</v>
      </c>
      <c r="C116" s="92"/>
      <c r="D116" s="92"/>
      <c r="E116" s="92"/>
      <c r="F116" s="92"/>
      <c r="G116" s="92"/>
      <c r="H116" s="92"/>
      <c r="I116" s="92"/>
      <c r="J116" s="92"/>
    </row>
    <row r="117" spans="1:10" ht="12.75" customHeight="1" x14ac:dyDescent="0.25">
      <c r="A117" s="208" t="s">
        <v>402</v>
      </c>
      <c r="B117" s="209"/>
      <c r="C117" s="212"/>
      <c r="D117" s="212"/>
      <c r="E117" s="212"/>
      <c r="F117" s="212"/>
      <c r="G117" s="212"/>
      <c r="H117" s="212"/>
      <c r="I117" s="212"/>
      <c r="J117" s="212"/>
    </row>
    <row r="118" spans="1:10" ht="13.5" customHeight="1" x14ac:dyDescent="0.25">
      <c r="A118" s="210"/>
      <c r="B118" s="209" t="s">
        <v>403</v>
      </c>
      <c r="C118" s="330">
        <f>+C11</f>
        <v>7290893.6399999997</v>
      </c>
      <c r="D118" s="330">
        <f t="shared" ref="D118:J118" si="7">+D11</f>
        <v>2317262.0300000003</v>
      </c>
      <c r="E118" s="330">
        <f t="shared" si="7"/>
        <v>9608155.6699999999</v>
      </c>
      <c r="F118" s="330">
        <f t="shared" si="7"/>
        <v>9588326.25</v>
      </c>
      <c r="G118" s="330">
        <f t="shared" si="7"/>
        <v>9588326.25</v>
      </c>
      <c r="H118" s="330">
        <f t="shared" si="7"/>
        <v>3688521.08</v>
      </c>
      <c r="I118" s="330">
        <f t="shared" si="7"/>
        <v>3688521.08</v>
      </c>
      <c r="J118" s="330">
        <f t="shared" si="7"/>
        <v>19829.419999999925</v>
      </c>
    </row>
    <row r="119" spans="1:10" ht="13.5" customHeight="1" x14ac:dyDescent="0.25">
      <c r="A119" s="210"/>
      <c r="B119" s="209" t="s">
        <v>404</v>
      </c>
      <c r="C119" s="92"/>
      <c r="D119" s="92"/>
      <c r="E119" s="92"/>
      <c r="F119" s="92"/>
      <c r="G119" s="92"/>
      <c r="H119" s="92"/>
      <c r="I119" s="92"/>
      <c r="J119" s="92"/>
    </row>
    <row r="120" spans="1:10" ht="13.5" customHeight="1" x14ac:dyDescent="0.25">
      <c r="A120" s="210"/>
      <c r="B120" s="209" t="s">
        <v>405</v>
      </c>
      <c r="C120" s="92"/>
      <c r="D120" s="92"/>
      <c r="E120" s="92"/>
      <c r="F120" s="92"/>
      <c r="G120" s="92"/>
      <c r="H120" s="92"/>
      <c r="I120" s="92"/>
      <c r="J120" s="92"/>
    </row>
    <row r="121" spans="1:10" ht="11.25" customHeight="1" x14ac:dyDescent="0.25">
      <c r="A121" s="208" t="s">
        <v>406</v>
      </c>
      <c r="B121" s="209"/>
      <c r="C121" s="212"/>
      <c r="D121" s="212"/>
      <c r="E121" s="212"/>
      <c r="F121" s="212"/>
      <c r="G121" s="212"/>
      <c r="H121" s="212"/>
      <c r="I121" s="212"/>
      <c r="J121" s="212"/>
    </row>
    <row r="122" spans="1:10" ht="13.5" customHeight="1" x14ac:dyDescent="0.25">
      <c r="A122" s="210"/>
      <c r="B122" s="209" t="s">
        <v>407</v>
      </c>
      <c r="C122" s="92"/>
      <c r="D122" s="92"/>
      <c r="E122" s="92"/>
      <c r="F122" s="92"/>
      <c r="G122" s="92"/>
      <c r="H122" s="92"/>
      <c r="I122" s="92"/>
      <c r="J122" s="92"/>
    </row>
    <row r="123" spans="1:10" ht="13.5" customHeight="1" x14ac:dyDescent="0.25">
      <c r="A123" s="210"/>
      <c r="B123" s="209" t="s">
        <v>408</v>
      </c>
      <c r="C123" s="92"/>
      <c r="D123" s="92"/>
      <c r="E123" s="92"/>
      <c r="F123" s="92"/>
      <c r="G123" s="92"/>
      <c r="H123" s="92"/>
      <c r="I123" s="92"/>
      <c r="J123" s="92"/>
    </row>
    <row r="124" spans="1:10" ht="12.75" customHeight="1" x14ac:dyDescent="0.25">
      <c r="A124" s="208" t="s">
        <v>409</v>
      </c>
      <c r="B124" s="209"/>
      <c r="C124" s="212"/>
      <c r="D124" s="212"/>
      <c r="E124" s="212"/>
      <c r="F124" s="212"/>
      <c r="G124" s="212"/>
      <c r="H124" s="212"/>
      <c r="I124" s="212"/>
      <c r="J124" s="212"/>
    </row>
    <row r="125" spans="1:10" ht="13.5" customHeight="1" x14ac:dyDescent="0.25">
      <c r="A125" s="210"/>
      <c r="B125" s="209" t="s">
        <v>410</v>
      </c>
      <c r="C125" s="92"/>
      <c r="D125" s="92"/>
      <c r="E125" s="92"/>
      <c r="F125" s="92"/>
      <c r="G125" s="92"/>
      <c r="H125" s="92"/>
      <c r="I125" s="92"/>
      <c r="J125" s="92"/>
    </row>
    <row r="126" spans="1:10" ht="13.5" customHeight="1" x14ac:dyDescent="0.25">
      <c r="A126" s="210"/>
      <c r="B126" s="209" t="s">
        <v>411</v>
      </c>
      <c r="C126" s="92"/>
      <c r="D126" s="92"/>
      <c r="E126" s="92"/>
      <c r="F126" s="92"/>
      <c r="G126" s="92"/>
      <c r="H126" s="92"/>
      <c r="I126" s="92"/>
      <c r="J126" s="92"/>
    </row>
    <row r="127" spans="1:10" ht="13.5" customHeight="1" x14ac:dyDescent="0.25">
      <c r="A127" s="210"/>
      <c r="B127" s="209" t="s">
        <v>412</v>
      </c>
      <c r="C127" s="92"/>
      <c r="D127" s="92"/>
      <c r="E127" s="92"/>
      <c r="F127" s="92"/>
      <c r="G127" s="92"/>
      <c r="H127" s="92"/>
      <c r="I127" s="92"/>
      <c r="J127" s="92"/>
    </row>
    <row r="128" spans="1:10" ht="13.5" customHeight="1" x14ac:dyDescent="0.25">
      <c r="A128" s="210"/>
      <c r="B128" s="209" t="s">
        <v>413</v>
      </c>
      <c r="C128" s="92"/>
      <c r="D128" s="92"/>
      <c r="E128" s="92"/>
      <c r="F128" s="92"/>
      <c r="G128" s="92"/>
      <c r="H128" s="92"/>
      <c r="I128" s="92"/>
      <c r="J128" s="92"/>
    </row>
    <row r="129" spans="1:10" x14ac:dyDescent="0.25">
      <c r="A129" s="208" t="s">
        <v>414</v>
      </c>
      <c r="B129" s="209"/>
      <c r="C129" s="212"/>
      <c r="D129" s="212"/>
      <c r="E129" s="212"/>
      <c r="F129" s="212"/>
      <c r="G129" s="212"/>
      <c r="H129" s="212"/>
      <c r="I129" s="212"/>
      <c r="J129" s="212"/>
    </row>
    <row r="130" spans="1:10" ht="12.75" customHeight="1" x14ac:dyDescent="0.25">
      <c r="A130" s="210"/>
      <c r="B130" s="209" t="s">
        <v>415</v>
      </c>
      <c r="C130" s="92"/>
      <c r="D130" s="92"/>
      <c r="E130" s="92"/>
      <c r="F130" s="92"/>
      <c r="G130" s="92"/>
      <c r="H130" s="92"/>
      <c r="I130" s="92"/>
      <c r="J130" s="92"/>
    </row>
    <row r="131" spans="1:10" x14ac:dyDescent="0.25">
      <c r="A131" s="208" t="s">
        <v>416</v>
      </c>
      <c r="B131" s="209"/>
      <c r="C131" s="212"/>
      <c r="D131" s="212"/>
      <c r="E131" s="212"/>
      <c r="F131" s="212"/>
      <c r="G131" s="212"/>
      <c r="H131" s="212"/>
      <c r="I131" s="212"/>
      <c r="J131" s="212"/>
    </row>
    <row r="132" spans="1:10" x14ac:dyDescent="0.25">
      <c r="A132" s="208" t="s">
        <v>417</v>
      </c>
      <c r="B132" s="209"/>
      <c r="C132" s="212"/>
      <c r="D132" s="212"/>
      <c r="E132" s="212"/>
      <c r="F132" s="212"/>
      <c r="G132" s="212"/>
      <c r="H132" s="212"/>
      <c r="I132" s="212"/>
      <c r="J132" s="212"/>
    </row>
    <row r="133" spans="1:10" ht="15.75" thickBot="1" x14ac:dyDescent="0.3">
      <c r="A133" s="208" t="s">
        <v>418</v>
      </c>
      <c r="B133" s="209"/>
      <c r="C133" s="212"/>
      <c r="D133" s="212"/>
      <c r="E133" s="212"/>
      <c r="F133" s="212"/>
      <c r="G133" s="212"/>
      <c r="H133" s="212"/>
      <c r="I133" s="212"/>
      <c r="J133" s="212"/>
    </row>
    <row r="134" spans="1:10" ht="15.75" thickBot="1" x14ac:dyDescent="0.3">
      <c r="A134" s="206"/>
      <c r="B134" s="207" t="s">
        <v>166</v>
      </c>
      <c r="C134" s="333">
        <f>SUM(C109:C130)</f>
        <v>408196119.00000006</v>
      </c>
      <c r="D134" s="333">
        <f>SUM(D109:D130)</f>
        <v>425956130.77000004</v>
      </c>
      <c r="E134" s="333">
        <f>+C134+D134</f>
        <v>834152249.7700001</v>
      </c>
      <c r="F134" s="333">
        <f t="shared" ref="F134:I134" si="8">SUM(F109:F130)</f>
        <v>623069039.4799999</v>
      </c>
      <c r="G134" s="333">
        <f t="shared" si="8"/>
        <v>623069039.4799999</v>
      </c>
      <c r="H134" s="333">
        <f t="shared" si="8"/>
        <v>305448935.77999991</v>
      </c>
      <c r="I134" s="333">
        <f t="shared" si="8"/>
        <v>305448935.77999991</v>
      </c>
      <c r="J134" s="333">
        <f>+E134-F134</f>
        <v>211083210.2900002</v>
      </c>
    </row>
    <row r="136" spans="1:10" x14ac:dyDescent="0.25">
      <c r="G136" s="202" t="s">
        <v>419</v>
      </c>
      <c r="H136" s="202"/>
      <c r="I136" s="202"/>
    </row>
    <row r="142" spans="1:10" x14ac:dyDescent="0.2">
      <c r="B142" s="721" t="s">
        <v>1834</v>
      </c>
      <c r="C142" s="722" t="s">
        <v>1830</v>
      </c>
    </row>
    <row r="143" spans="1:10" x14ac:dyDescent="0.2">
      <c r="B143" s="721" t="s">
        <v>1831</v>
      </c>
      <c r="C143" s="722" t="s">
        <v>1832</v>
      </c>
    </row>
    <row r="144" spans="1:10" x14ac:dyDescent="0.2">
      <c r="B144" s="724"/>
      <c r="C144" s="723"/>
    </row>
    <row r="145" spans="2:3" x14ac:dyDescent="0.2">
      <c r="B145" s="719" t="s">
        <v>1833</v>
      </c>
      <c r="C145" s="723"/>
    </row>
    <row r="146" spans="2:3" x14ac:dyDescent="0.2">
      <c r="B146" s="720" t="s">
        <v>1835</v>
      </c>
      <c r="C146" s="723"/>
    </row>
  </sheetData>
  <mergeCells count="34">
    <mergeCell ref="A7:B7"/>
    <mergeCell ref="A8:B8"/>
    <mergeCell ref="A1:J1"/>
    <mergeCell ref="A2:J2"/>
    <mergeCell ref="A3:J3"/>
    <mergeCell ref="A5:J5"/>
    <mergeCell ref="A6:J6"/>
    <mergeCell ref="A4:J4"/>
    <mergeCell ref="A29:B29"/>
    <mergeCell ref="A30:B30"/>
    <mergeCell ref="A22:J22"/>
    <mergeCell ref="A23:J23"/>
    <mergeCell ref="A24:J24"/>
    <mergeCell ref="A25:J25"/>
    <mergeCell ref="A26:J26"/>
    <mergeCell ref="A27:J27"/>
    <mergeCell ref="A54:B54"/>
    <mergeCell ref="A46:J46"/>
    <mergeCell ref="A47:J47"/>
    <mergeCell ref="A66:B66"/>
    <mergeCell ref="A75:B75"/>
    <mergeCell ref="A48:J48"/>
    <mergeCell ref="A49:J49"/>
    <mergeCell ref="A50:J50"/>
    <mergeCell ref="A51:J51"/>
    <mergeCell ref="A53:B53"/>
    <mergeCell ref="A97:J97"/>
    <mergeCell ref="A98:J98"/>
    <mergeCell ref="A100:B100"/>
    <mergeCell ref="A101:B101"/>
    <mergeCell ref="A86:B86"/>
    <mergeCell ref="A94:J94"/>
    <mergeCell ref="A95:J95"/>
    <mergeCell ref="A96:J96"/>
  </mergeCells>
  <pageMargins left="0.55118110236220474" right="0.27559055118110237" top="0.19685039370078741" bottom="0.43307086614173229" header="0.31496062992125984" footer="0.31496062992125984"/>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D51"/>
  <sheetViews>
    <sheetView topLeftCell="A19" workbookViewId="0">
      <selection activeCell="B44" sqref="B44"/>
    </sheetView>
  </sheetViews>
  <sheetFormatPr baseColWidth="10" defaultRowHeight="14.25" x14ac:dyDescent="0.25"/>
  <cols>
    <col min="1" max="1" width="1.42578125" style="40" customWidth="1"/>
    <col min="2" max="2" width="51.7109375" style="40" customWidth="1"/>
    <col min="3" max="3" width="30.85546875" style="40" customWidth="1"/>
    <col min="4" max="4" width="32.7109375" style="40" customWidth="1"/>
    <col min="5" max="16384" width="11.42578125" style="40"/>
  </cols>
  <sheetData>
    <row r="1" spans="1:4" s="71" customFormat="1" ht="15" x14ac:dyDescent="0.25">
      <c r="A1" s="968" t="s">
        <v>167</v>
      </c>
      <c r="B1" s="968"/>
      <c r="C1" s="968"/>
      <c r="D1" s="968"/>
    </row>
    <row r="2" spans="1:4" s="72" customFormat="1" ht="15.75" x14ac:dyDescent="0.25">
      <c r="A2" s="968" t="s">
        <v>267</v>
      </c>
      <c r="B2" s="968"/>
      <c r="C2" s="968"/>
      <c r="D2" s="968"/>
    </row>
    <row r="3" spans="1:4" s="72" customFormat="1" ht="15.75" x14ac:dyDescent="0.25">
      <c r="A3" s="968" t="s">
        <v>599</v>
      </c>
      <c r="B3" s="968"/>
      <c r="C3" s="968"/>
      <c r="D3" s="968"/>
    </row>
    <row r="4" spans="1:4" s="72" customFormat="1" ht="15.75" x14ac:dyDescent="0.25">
      <c r="A4" s="968" t="s">
        <v>1840</v>
      </c>
      <c r="B4" s="968"/>
      <c r="C4" s="968"/>
      <c r="D4" s="968"/>
    </row>
    <row r="5" spans="1:4" s="73" customFormat="1" ht="15.75" thickBot="1" x14ac:dyDescent="0.3">
      <c r="A5" s="969" t="s">
        <v>122</v>
      </c>
      <c r="B5" s="969"/>
      <c r="C5" s="969"/>
      <c r="D5" s="969"/>
    </row>
    <row r="6" spans="1:4" s="69" customFormat="1" ht="27" customHeight="1" thickBot="1" x14ac:dyDescent="0.3">
      <c r="A6" s="997" t="s">
        <v>268</v>
      </c>
      <c r="B6" s="998"/>
      <c r="C6" s="160"/>
      <c r="D6" s="825">
        <v>623069039.48000002</v>
      </c>
    </row>
    <row r="7" spans="1:4" s="163" customFormat="1" ht="9.75" customHeight="1" x14ac:dyDescent="0.25">
      <c r="A7" s="161"/>
      <c r="B7" s="161"/>
      <c r="C7" s="162"/>
      <c r="D7" s="162"/>
    </row>
    <row r="8" spans="1:4" s="163" customFormat="1" ht="17.25" customHeight="1" thickBot="1" x14ac:dyDescent="0.3">
      <c r="A8" s="165" t="s">
        <v>263</v>
      </c>
      <c r="B8" s="165"/>
      <c r="C8" s="166"/>
      <c r="D8" s="166"/>
    </row>
    <row r="9" spans="1:4" ht="20.100000000000001" customHeight="1" thickBot="1" x14ac:dyDescent="0.3">
      <c r="A9" s="167" t="s">
        <v>269</v>
      </c>
      <c r="B9" s="168"/>
      <c r="C9" s="169"/>
      <c r="D9" s="320">
        <f>SUM(C10:C28)</f>
        <v>596994523.63</v>
      </c>
    </row>
    <row r="10" spans="1:4" ht="20.100000000000001" customHeight="1" x14ac:dyDescent="0.25">
      <c r="A10" s="79"/>
      <c r="B10" s="82" t="s">
        <v>272</v>
      </c>
      <c r="C10" s="327">
        <v>59394.32</v>
      </c>
      <c r="D10" s="76"/>
    </row>
    <row r="11" spans="1:4" ht="33" customHeight="1" x14ac:dyDescent="0.25">
      <c r="A11" s="79"/>
      <c r="B11" s="82" t="s">
        <v>273</v>
      </c>
      <c r="C11" s="158"/>
      <c r="D11" s="76"/>
    </row>
    <row r="12" spans="1:4" ht="20.100000000000001" customHeight="1" x14ac:dyDescent="0.25">
      <c r="A12" s="81"/>
      <c r="B12" s="82" t="s">
        <v>274</v>
      </c>
      <c r="C12" s="158"/>
      <c r="D12" s="76"/>
    </row>
    <row r="13" spans="1:4" ht="20.100000000000001" customHeight="1" x14ac:dyDescent="0.25">
      <c r="A13" s="81"/>
      <c r="B13" s="82" t="s">
        <v>275</v>
      </c>
      <c r="C13" s="158"/>
      <c r="D13" s="76"/>
    </row>
    <row r="14" spans="1:4" ht="20.100000000000001" customHeight="1" x14ac:dyDescent="0.25">
      <c r="A14" s="81"/>
      <c r="B14" s="82" t="s">
        <v>276</v>
      </c>
      <c r="C14" s="158"/>
      <c r="D14" s="76"/>
    </row>
    <row r="15" spans="1:4" ht="20.100000000000001" customHeight="1" x14ac:dyDescent="0.25">
      <c r="A15" s="81"/>
      <c r="B15" s="82" t="s">
        <v>277</v>
      </c>
      <c r="C15" s="158"/>
      <c r="D15" s="76"/>
    </row>
    <row r="16" spans="1:4" ht="20.100000000000001" customHeight="1" x14ac:dyDescent="0.25">
      <c r="A16" s="81"/>
      <c r="B16" s="82" t="s">
        <v>278</v>
      </c>
      <c r="C16" s="158"/>
      <c r="D16" s="76"/>
    </row>
    <row r="17" spans="1:4" ht="20.100000000000001" customHeight="1" x14ac:dyDescent="0.25">
      <c r="A17" s="81"/>
      <c r="B17" s="82" t="s">
        <v>279</v>
      </c>
      <c r="C17" s="327"/>
      <c r="D17" s="76"/>
    </row>
    <row r="18" spans="1:4" ht="20.100000000000001" customHeight="1" x14ac:dyDescent="0.25">
      <c r="A18" s="81"/>
      <c r="B18" s="82" t="s">
        <v>280</v>
      </c>
      <c r="C18" s="158"/>
      <c r="D18" s="76"/>
    </row>
    <row r="19" spans="1:4" ht="20.100000000000001" customHeight="1" x14ac:dyDescent="0.25">
      <c r="A19" s="81"/>
      <c r="B19" s="82" t="s">
        <v>281</v>
      </c>
      <c r="C19" s="158"/>
      <c r="D19" s="76"/>
    </row>
    <row r="20" spans="1:4" ht="20.100000000000001" customHeight="1" x14ac:dyDescent="0.25">
      <c r="A20" s="81"/>
      <c r="B20" s="82" t="s">
        <v>282</v>
      </c>
      <c r="C20" s="158"/>
      <c r="D20" s="76"/>
    </row>
    <row r="21" spans="1:4" ht="20.100000000000001" customHeight="1" x14ac:dyDescent="0.25">
      <c r="A21" s="81"/>
      <c r="B21" s="82" t="s">
        <v>283</v>
      </c>
      <c r="C21" s="158"/>
      <c r="D21" s="76"/>
    </row>
    <row r="22" spans="1:4" ht="20.100000000000001" customHeight="1" x14ac:dyDescent="0.25">
      <c r="A22" s="81"/>
      <c r="B22" s="82" t="s">
        <v>284</v>
      </c>
      <c r="C22" s="158"/>
      <c r="D22" s="76"/>
    </row>
    <row r="23" spans="1:4" ht="20.100000000000001" customHeight="1" x14ac:dyDescent="0.25">
      <c r="A23" s="81"/>
      <c r="B23" s="82" t="s">
        <v>285</v>
      </c>
      <c r="C23" s="158"/>
      <c r="D23" s="76"/>
    </row>
    <row r="24" spans="1:4" ht="20.100000000000001" customHeight="1" x14ac:dyDescent="0.25">
      <c r="A24" s="81"/>
      <c r="B24" s="82" t="s">
        <v>286</v>
      </c>
      <c r="C24" s="158"/>
      <c r="D24" s="76"/>
    </row>
    <row r="25" spans="1:4" ht="20.100000000000001" customHeight="1" x14ac:dyDescent="0.25">
      <c r="A25" s="81"/>
      <c r="B25" s="82" t="s">
        <v>288</v>
      </c>
      <c r="C25" s="158"/>
      <c r="D25" s="76"/>
    </row>
    <row r="26" spans="1:4" ht="20.100000000000001" customHeight="1" x14ac:dyDescent="0.25">
      <c r="A26" s="77" t="s">
        <v>289</v>
      </c>
      <c r="B26" s="82"/>
      <c r="C26" s="327">
        <v>596935129.30999994</v>
      </c>
      <c r="D26" s="76"/>
    </row>
    <row r="27" spans="1:4" ht="7.5" customHeight="1" x14ac:dyDescent="0.25">
      <c r="A27" s="81"/>
      <c r="B27" s="82"/>
      <c r="C27" s="158"/>
      <c r="D27" s="76"/>
    </row>
    <row r="28" spans="1:4" ht="20.100000000000001" customHeight="1" thickBot="1" x14ac:dyDescent="0.3">
      <c r="A28" s="164" t="s">
        <v>252</v>
      </c>
      <c r="B28" s="80"/>
      <c r="C28" s="158"/>
      <c r="D28" s="76"/>
    </row>
    <row r="29" spans="1:4" ht="20.100000000000001" customHeight="1" thickBot="1" x14ac:dyDescent="0.3">
      <c r="A29" s="167" t="s">
        <v>270</v>
      </c>
      <c r="B29" s="168"/>
      <c r="C29" s="169"/>
      <c r="D29" s="288">
        <f>+C30+C36</f>
        <v>155489698.21000001</v>
      </c>
    </row>
    <row r="30" spans="1:4" ht="20.100000000000001" customHeight="1" x14ac:dyDescent="0.25">
      <c r="A30" s="81"/>
      <c r="B30" s="82" t="s">
        <v>290</v>
      </c>
      <c r="C30" s="338">
        <v>345118.69</v>
      </c>
      <c r="D30" s="76"/>
    </row>
    <row r="31" spans="1:4" ht="20.100000000000001" customHeight="1" x14ac:dyDescent="0.25">
      <c r="A31" s="81"/>
      <c r="B31" s="82" t="s">
        <v>46</v>
      </c>
      <c r="C31" s="338">
        <v>0</v>
      </c>
      <c r="D31" s="76"/>
    </row>
    <row r="32" spans="1:4" ht="20.100000000000001" customHeight="1" x14ac:dyDescent="0.25">
      <c r="A32" s="81"/>
      <c r="B32" s="82" t="s">
        <v>291</v>
      </c>
      <c r="C32" s="158"/>
      <c r="D32" s="76"/>
    </row>
    <row r="33" spans="1:4" ht="25.5" customHeight="1" x14ac:dyDescent="0.25">
      <c r="A33" s="81"/>
      <c r="B33" s="82" t="s">
        <v>292</v>
      </c>
      <c r="C33" s="158"/>
      <c r="D33" s="76"/>
    </row>
    <row r="34" spans="1:4" ht="20.100000000000001" customHeight="1" x14ac:dyDescent="0.25">
      <c r="A34" s="81"/>
      <c r="B34" s="82" t="s">
        <v>293</v>
      </c>
      <c r="C34" s="158"/>
      <c r="D34" s="76"/>
    </row>
    <row r="35" spans="1:4" ht="20.100000000000001" customHeight="1" x14ac:dyDescent="0.25">
      <c r="A35" s="81"/>
      <c r="B35" s="82" t="s">
        <v>294</v>
      </c>
      <c r="C35" s="158"/>
      <c r="D35" s="76"/>
    </row>
    <row r="36" spans="1:4" ht="20.100000000000001" customHeight="1" x14ac:dyDescent="0.25">
      <c r="A36" s="77" t="s">
        <v>295</v>
      </c>
      <c r="B36" s="82"/>
      <c r="C36" s="338">
        <v>155144579.52000001</v>
      </c>
      <c r="D36" s="76"/>
    </row>
    <row r="37" spans="1:4" ht="20.100000000000001" customHeight="1" thickBot="1" x14ac:dyDescent="0.3">
      <c r="A37" s="81"/>
      <c r="B37" s="82"/>
      <c r="C37" s="76"/>
      <c r="D37" s="76"/>
    </row>
    <row r="38" spans="1:4" ht="26.25" customHeight="1" thickBot="1" x14ac:dyDescent="0.3">
      <c r="A38" s="172" t="s">
        <v>296</v>
      </c>
      <c r="B38" s="173"/>
      <c r="C38" s="174"/>
      <c r="D38" s="289">
        <f>+D6-D9+D29</f>
        <v>181564214.06000003</v>
      </c>
    </row>
    <row r="47" spans="1:4" x14ac:dyDescent="0.2">
      <c r="B47" s="721" t="s">
        <v>1834</v>
      </c>
      <c r="C47" s="722" t="s">
        <v>1830</v>
      </c>
    </row>
    <row r="48" spans="1:4" x14ac:dyDescent="0.2">
      <c r="B48" s="721" t="s">
        <v>1831</v>
      </c>
      <c r="C48" s="722" t="s">
        <v>1832</v>
      </c>
    </row>
    <row r="49" spans="2:3" x14ac:dyDescent="0.2">
      <c r="B49" s="724"/>
      <c r="C49" s="723"/>
    </row>
    <row r="50" spans="2:3" x14ac:dyDescent="0.2">
      <c r="B50" s="719" t="s">
        <v>1833</v>
      </c>
      <c r="C50" s="723"/>
    </row>
    <row r="51" spans="2:3" x14ac:dyDescent="0.2">
      <c r="B51" s="720" t="s">
        <v>1835</v>
      </c>
      <c r="C51" s="723"/>
    </row>
  </sheetData>
  <mergeCells count="6">
    <mergeCell ref="A6:B6"/>
    <mergeCell ref="A1:D1"/>
    <mergeCell ref="A3:D3"/>
    <mergeCell ref="A2:D2"/>
    <mergeCell ref="A4:D4"/>
    <mergeCell ref="A5:D5"/>
  </mergeCells>
  <pageMargins left="0.23622047244094491" right="0.15748031496062992" top="0.74803149606299213" bottom="0.74803149606299213" header="0.31496062992125984" footer="0.31496062992125984"/>
  <pageSetup scale="7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46"/>
  <sheetViews>
    <sheetView topLeftCell="A24" workbookViewId="0">
      <selection activeCell="B1" sqref="A1:E46"/>
    </sheetView>
  </sheetViews>
  <sheetFormatPr baseColWidth="10" defaultRowHeight="14.25" x14ac:dyDescent="0.2"/>
  <cols>
    <col min="1" max="1" width="4.28515625" style="56" customWidth="1"/>
    <col min="2" max="2" width="41.5703125" style="8" customWidth="1"/>
    <col min="3" max="3" width="26.7109375" style="8" customWidth="1"/>
    <col min="4" max="4" width="14.7109375" style="8" customWidth="1"/>
    <col min="5" max="5" width="21.28515625" style="8" customWidth="1"/>
    <col min="6" max="16384" width="11.42578125" style="8"/>
  </cols>
  <sheetData>
    <row r="1" spans="1:5" ht="15" x14ac:dyDescent="0.25">
      <c r="C1" s="151" t="s">
        <v>167</v>
      </c>
      <c r="E1" s="130" t="s">
        <v>429</v>
      </c>
    </row>
    <row r="2" spans="1:5" ht="15.75" x14ac:dyDescent="0.25">
      <c r="A2" s="1027" t="s">
        <v>227</v>
      </c>
      <c r="B2" s="1027"/>
      <c r="C2" s="1027"/>
      <c r="D2" s="1027"/>
      <c r="E2" s="1027"/>
    </row>
    <row r="3" spans="1:5" ht="15" x14ac:dyDescent="0.2">
      <c r="C3" s="319" t="s">
        <v>599</v>
      </c>
    </row>
    <row r="4" spans="1:5" ht="15.75" x14ac:dyDescent="0.25">
      <c r="B4" s="132"/>
      <c r="C4" s="577" t="s">
        <v>1369</v>
      </c>
      <c r="D4" s="132"/>
      <c r="E4" s="132"/>
    </row>
    <row r="5" spans="1:5" ht="15.75" x14ac:dyDescent="0.25">
      <c r="A5" s="35"/>
      <c r="B5" s="35"/>
      <c r="C5" s="178" t="s">
        <v>297</v>
      </c>
      <c r="D5" s="36"/>
      <c r="E5" s="152"/>
    </row>
    <row r="6" spans="1:5" ht="6.75" customHeight="1" thickBot="1" x14ac:dyDescent="0.25"/>
    <row r="7" spans="1:5" s="131" customFormat="1" ht="30" customHeight="1" x14ac:dyDescent="0.25">
      <c r="A7" s="1028" t="s">
        <v>221</v>
      </c>
      <c r="B7" s="1029"/>
      <c r="C7" s="147" t="s">
        <v>222</v>
      </c>
      <c r="D7" s="148" t="s">
        <v>223</v>
      </c>
      <c r="E7" s="149" t="s">
        <v>175</v>
      </c>
    </row>
    <row r="8" spans="1:5" s="131" customFormat="1" ht="30" customHeight="1" thickBot="1" x14ac:dyDescent="0.3">
      <c r="A8" s="1030"/>
      <c r="B8" s="1031"/>
      <c r="C8" s="150" t="s">
        <v>224</v>
      </c>
      <c r="D8" s="150" t="s">
        <v>225</v>
      </c>
      <c r="E8" s="154" t="s">
        <v>226</v>
      </c>
    </row>
    <row r="9" spans="1:5" s="131" customFormat="1" ht="21" customHeight="1" x14ac:dyDescent="0.25">
      <c r="A9" s="1032" t="s">
        <v>228</v>
      </c>
      <c r="B9" s="1033"/>
      <c r="C9" s="1033"/>
      <c r="D9" s="1033"/>
      <c r="E9" s="1034"/>
    </row>
    <row r="10" spans="1:5" s="131" customFormat="1" ht="20.25" customHeight="1" x14ac:dyDescent="0.25">
      <c r="A10" s="144">
        <v>1</v>
      </c>
      <c r="B10" s="145"/>
      <c r="C10" s="153"/>
      <c r="D10" s="145"/>
      <c r="E10" s="146"/>
    </row>
    <row r="11" spans="1:5" s="131" customFormat="1" ht="20.25" customHeight="1" x14ac:dyDescent="0.25">
      <c r="A11" s="144">
        <v>2</v>
      </c>
      <c r="B11" s="145"/>
      <c r="C11" s="153"/>
      <c r="D11" s="145"/>
      <c r="E11" s="146"/>
    </row>
    <row r="12" spans="1:5" s="131" customFormat="1" ht="20.25" customHeight="1" x14ac:dyDescent="0.25">
      <c r="A12" s="144">
        <v>3</v>
      </c>
      <c r="B12" s="145"/>
      <c r="C12" s="153"/>
      <c r="D12" s="145"/>
      <c r="E12" s="146"/>
    </row>
    <row r="13" spans="1:5" s="131" customFormat="1" ht="20.25" customHeight="1" x14ac:dyDescent="0.25">
      <c r="A13" s="144">
        <v>4</v>
      </c>
      <c r="B13" s="145"/>
      <c r="C13" s="153"/>
      <c r="D13" s="145"/>
      <c r="E13" s="146"/>
    </row>
    <row r="14" spans="1:5" s="131" customFormat="1" ht="20.25" customHeight="1" x14ac:dyDescent="0.25">
      <c r="A14" s="144">
        <v>5</v>
      </c>
      <c r="B14" s="145"/>
      <c r="C14" s="153"/>
      <c r="D14" s="145"/>
      <c r="E14" s="146"/>
    </row>
    <row r="15" spans="1:5" s="131" customFormat="1" ht="20.25" customHeight="1" x14ac:dyDescent="0.25">
      <c r="A15" s="144">
        <v>6</v>
      </c>
      <c r="B15" s="145"/>
      <c r="C15" s="153"/>
      <c r="D15" s="145"/>
      <c r="E15" s="146"/>
    </row>
    <row r="16" spans="1:5" s="131" customFormat="1" ht="20.25" customHeight="1" x14ac:dyDescent="1.6">
      <c r="A16" s="144">
        <v>7</v>
      </c>
      <c r="B16" s="145"/>
      <c r="C16" s="321" t="s">
        <v>598</v>
      </c>
      <c r="D16" s="145"/>
      <c r="E16" s="146"/>
    </row>
    <row r="17" spans="1:5" s="131" customFormat="1" ht="20.25" customHeight="1" x14ac:dyDescent="0.25">
      <c r="A17" s="144">
        <v>8</v>
      </c>
      <c r="B17" s="145"/>
      <c r="C17" s="153"/>
      <c r="D17" s="145"/>
      <c r="E17" s="146"/>
    </row>
    <row r="18" spans="1:5" s="131" customFormat="1" ht="20.25" customHeight="1" x14ac:dyDescent="0.25">
      <c r="A18" s="144">
        <v>9</v>
      </c>
      <c r="B18" s="145"/>
      <c r="C18" s="153"/>
      <c r="D18" s="145"/>
      <c r="E18" s="146"/>
    </row>
    <row r="19" spans="1:5" s="131" customFormat="1" ht="20.25" customHeight="1" x14ac:dyDescent="0.25">
      <c r="A19" s="144">
        <v>10</v>
      </c>
      <c r="B19" s="145"/>
      <c r="C19" s="153"/>
      <c r="D19" s="145"/>
      <c r="E19" s="146"/>
    </row>
    <row r="20" spans="1:5" s="131" customFormat="1" ht="20.25" customHeight="1" x14ac:dyDescent="0.25">
      <c r="A20" s="144"/>
      <c r="B20" s="145" t="s">
        <v>229</v>
      </c>
      <c r="C20" s="153"/>
      <c r="D20" s="145"/>
      <c r="E20" s="146"/>
    </row>
    <row r="21" spans="1:5" s="131" customFormat="1" ht="20.25" customHeight="1" x14ac:dyDescent="0.25">
      <c r="A21" s="144"/>
      <c r="B21" s="145"/>
      <c r="C21" s="153"/>
      <c r="D21" s="145"/>
      <c r="E21" s="146"/>
    </row>
    <row r="22" spans="1:5" s="131" customFormat="1" ht="21" customHeight="1" x14ac:dyDescent="0.25">
      <c r="A22" s="1024" t="s">
        <v>230</v>
      </c>
      <c r="B22" s="1025"/>
      <c r="C22" s="1025"/>
      <c r="D22" s="1025"/>
      <c r="E22" s="1026"/>
    </row>
    <row r="23" spans="1:5" s="131" customFormat="1" ht="20.25" customHeight="1" x14ac:dyDescent="0.25">
      <c r="A23" s="144">
        <v>1</v>
      </c>
      <c r="B23" s="145"/>
      <c r="C23" s="153"/>
      <c r="D23" s="145"/>
      <c r="E23" s="146"/>
    </row>
    <row r="24" spans="1:5" s="131" customFormat="1" ht="20.25" customHeight="1" x14ac:dyDescent="0.25">
      <c r="A24" s="144">
        <v>2</v>
      </c>
      <c r="B24" s="145"/>
      <c r="C24" s="153"/>
      <c r="D24" s="145"/>
      <c r="E24" s="146"/>
    </row>
    <row r="25" spans="1:5" s="131" customFormat="1" ht="20.25" customHeight="1" x14ac:dyDescent="0.25">
      <c r="A25" s="144">
        <v>3</v>
      </c>
      <c r="B25" s="145"/>
      <c r="C25" s="153"/>
      <c r="D25" s="145"/>
      <c r="E25" s="146"/>
    </row>
    <row r="26" spans="1:5" s="131" customFormat="1" ht="20.25" customHeight="1" x14ac:dyDescent="0.25">
      <c r="A26" s="144">
        <v>4</v>
      </c>
      <c r="B26" s="145"/>
      <c r="C26" s="153"/>
      <c r="D26" s="145"/>
      <c r="E26" s="146"/>
    </row>
    <row r="27" spans="1:5" s="131" customFormat="1" ht="20.25" customHeight="1" x14ac:dyDescent="0.25">
      <c r="A27" s="144">
        <v>5</v>
      </c>
      <c r="B27" s="145"/>
      <c r="C27" s="153"/>
      <c r="D27" s="145"/>
      <c r="E27" s="146"/>
    </row>
    <row r="28" spans="1:5" s="131" customFormat="1" ht="20.25" customHeight="1" x14ac:dyDescent="0.25">
      <c r="A28" s="144">
        <v>6</v>
      </c>
      <c r="B28" s="145"/>
      <c r="C28" s="153"/>
      <c r="D28" s="145"/>
      <c r="E28" s="146"/>
    </row>
    <row r="29" spans="1:5" s="131" customFormat="1" ht="20.25" customHeight="1" x14ac:dyDescent="0.25">
      <c r="A29" s="144">
        <v>7</v>
      </c>
      <c r="B29" s="145"/>
      <c r="C29" s="153"/>
      <c r="D29" s="145"/>
      <c r="E29" s="146"/>
    </row>
    <row r="30" spans="1:5" s="131" customFormat="1" ht="20.25" customHeight="1" x14ac:dyDescent="0.25">
      <c r="A30" s="144">
        <v>8</v>
      </c>
      <c r="B30" s="145"/>
      <c r="C30" s="153"/>
      <c r="D30" s="145"/>
      <c r="E30" s="146"/>
    </row>
    <row r="31" spans="1:5" s="131" customFormat="1" ht="20.25" customHeight="1" x14ac:dyDescent="0.25">
      <c r="A31" s="144">
        <v>9</v>
      </c>
      <c r="B31" s="145"/>
      <c r="C31" s="153"/>
      <c r="D31" s="145"/>
      <c r="E31" s="146"/>
    </row>
    <row r="32" spans="1:5" s="131" customFormat="1" ht="20.25" customHeight="1" x14ac:dyDescent="0.25">
      <c r="A32" s="144">
        <v>10</v>
      </c>
      <c r="B32" s="145"/>
      <c r="C32" s="153"/>
      <c r="D32" s="145"/>
      <c r="E32" s="146"/>
    </row>
    <row r="33" spans="1:10" s="53" customFormat="1" ht="39.950000000000003" customHeight="1" x14ac:dyDescent="0.2">
      <c r="A33" s="144"/>
      <c r="B33" s="121" t="s">
        <v>231</v>
      </c>
      <c r="C33" s="123"/>
      <c r="D33" s="122"/>
      <c r="E33" s="124"/>
    </row>
    <row r="34" spans="1:10" s="53" customFormat="1" ht="39.950000000000003" customHeight="1" thickBot="1" x14ac:dyDescent="0.25">
      <c r="A34" s="144"/>
      <c r="B34" s="121"/>
      <c r="C34" s="123"/>
      <c r="D34" s="122"/>
      <c r="E34" s="124"/>
    </row>
    <row r="35" spans="1:10" ht="30" customHeight="1" thickBot="1" x14ac:dyDescent="0.25">
      <c r="A35" s="133"/>
      <c r="B35" s="126" t="s">
        <v>232</v>
      </c>
      <c r="C35" s="127"/>
      <c r="D35" s="128"/>
      <c r="E35" s="129"/>
    </row>
    <row r="36" spans="1:10" x14ac:dyDescent="0.2">
      <c r="J36" s="37"/>
    </row>
    <row r="42" spans="1:10" x14ac:dyDescent="0.2">
      <c r="B42" s="721" t="s">
        <v>1834</v>
      </c>
      <c r="C42" s="722" t="s">
        <v>1830</v>
      </c>
    </row>
    <row r="43" spans="1:10" x14ac:dyDescent="0.2">
      <c r="B43" s="721" t="s">
        <v>1831</v>
      </c>
      <c r="C43" s="722" t="s">
        <v>1832</v>
      </c>
    </row>
    <row r="44" spans="1:10" x14ac:dyDescent="0.2">
      <c r="B44" s="724"/>
      <c r="C44" s="723"/>
    </row>
    <row r="45" spans="1:10" x14ac:dyDescent="0.2">
      <c r="B45" s="719" t="s">
        <v>1833</v>
      </c>
      <c r="C45" s="723"/>
    </row>
    <row r="46" spans="1:10" x14ac:dyDescent="0.2">
      <c r="B46" s="720" t="s">
        <v>1835</v>
      </c>
      <c r="C46" s="723"/>
    </row>
  </sheetData>
  <mergeCells count="4">
    <mergeCell ref="A22:E22"/>
    <mergeCell ref="A2:E2"/>
    <mergeCell ref="A7:B8"/>
    <mergeCell ref="A9:E9"/>
  </mergeCells>
  <printOptions horizontalCentered="1"/>
  <pageMargins left="0.31496062992125984" right="0.43307086614173229" top="0.59" bottom="0.39" header="0.31496062992125984" footer="0.31496062992125984"/>
  <pageSetup scale="7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7"/>
  <sheetViews>
    <sheetView topLeftCell="A24" workbookViewId="0">
      <selection activeCell="D34" sqref="D34"/>
    </sheetView>
  </sheetViews>
  <sheetFormatPr baseColWidth="10" defaultRowHeight="14.25" x14ac:dyDescent="0.2"/>
  <cols>
    <col min="1" max="1" width="4.85546875" style="56" customWidth="1"/>
    <col min="2" max="2" width="52" style="8" customWidth="1"/>
    <col min="3" max="4" width="34.42578125" style="8" customWidth="1"/>
    <col min="5" max="16384" width="11.42578125" style="8"/>
  </cols>
  <sheetData>
    <row r="1" spans="1:4" ht="15" x14ac:dyDescent="0.25">
      <c r="C1" s="151" t="s">
        <v>167</v>
      </c>
      <c r="D1" s="130" t="s">
        <v>430</v>
      </c>
    </row>
    <row r="2" spans="1:4" ht="15.75" x14ac:dyDescent="0.25">
      <c r="A2" s="1027" t="s">
        <v>233</v>
      </c>
      <c r="B2" s="1027"/>
      <c r="C2" s="1027"/>
      <c r="D2" s="1027"/>
    </row>
    <row r="3" spans="1:4" ht="15" x14ac:dyDescent="0.2">
      <c r="C3" s="319" t="s">
        <v>599</v>
      </c>
    </row>
    <row r="4" spans="1:4" ht="15.75" x14ac:dyDescent="0.25">
      <c r="B4" s="132"/>
      <c r="C4" s="577" t="s">
        <v>1369</v>
      </c>
      <c r="D4" s="132"/>
    </row>
    <row r="5" spans="1:4" ht="15.75" x14ac:dyDescent="0.25">
      <c r="A5" s="132"/>
      <c r="B5" s="132"/>
      <c r="C5" s="178" t="s">
        <v>297</v>
      </c>
      <c r="D5" s="152"/>
    </row>
    <row r="6" spans="1:4" ht="6.75" customHeight="1" thickBot="1" x14ac:dyDescent="0.25"/>
    <row r="7" spans="1:4" s="131" customFormat="1" ht="30" customHeight="1" x14ac:dyDescent="0.25">
      <c r="A7" s="1028" t="s">
        <v>221</v>
      </c>
      <c r="B7" s="1029"/>
      <c r="C7" s="1035" t="s">
        <v>185</v>
      </c>
      <c r="D7" s="1037" t="s">
        <v>234</v>
      </c>
    </row>
    <row r="8" spans="1:4" s="131" customFormat="1" ht="4.5" customHeight="1" thickBot="1" x14ac:dyDescent="0.3">
      <c r="A8" s="1030"/>
      <c r="B8" s="1031"/>
      <c r="C8" s="1036"/>
      <c r="D8" s="1038"/>
    </row>
    <row r="9" spans="1:4" s="131" customFormat="1" ht="21" customHeight="1" x14ac:dyDescent="0.25">
      <c r="A9" s="1032" t="s">
        <v>228</v>
      </c>
      <c r="B9" s="1033"/>
      <c r="C9" s="1033"/>
      <c r="D9" s="1034"/>
    </row>
    <row r="10" spans="1:4" s="131" customFormat="1" ht="20.25" customHeight="1" x14ac:dyDescent="0.25">
      <c r="A10" s="144">
        <v>1</v>
      </c>
      <c r="B10" s="145"/>
      <c r="C10" s="153"/>
      <c r="D10" s="146"/>
    </row>
    <row r="11" spans="1:4" s="131" customFormat="1" ht="20.25" customHeight="1" x14ac:dyDescent="0.25">
      <c r="A11" s="144">
        <v>2</v>
      </c>
      <c r="B11" s="145"/>
      <c r="C11" s="153"/>
      <c r="D11" s="146"/>
    </row>
    <row r="12" spans="1:4" s="131" customFormat="1" ht="20.25" customHeight="1" x14ac:dyDescent="0.25">
      <c r="A12" s="144">
        <v>3</v>
      </c>
      <c r="B12" s="145"/>
      <c r="C12" s="153"/>
      <c r="D12" s="146"/>
    </row>
    <row r="13" spans="1:4" s="131" customFormat="1" ht="20.25" customHeight="1" x14ac:dyDescent="0.25">
      <c r="A13" s="144">
        <v>4</v>
      </c>
      <c r="B13" s="145"/>
      <c r="C13" s="153"/>
      <c r="D13" s="146"/>
    </row>
    <row r="14" spans="1:4" s="131" customFormat="1" ht="20.25" customHeight="1" x14ac:dyDescent="0.25">
      <c r="A14" s="144">
        <v>5</v>
      </c>
      <c r="B14" s="145"/>
      <c r="C14" s="153"/>
      <c r="D14" s="146"/>
    </row>
    <row r="15" spans="1:4" s="131" customFormat="1" ht="20.25" customHeight="1" x14ac:dyDescent="0.25">
      <c r="A15" s="144">
        <v>6</v>
      </c>
      <c r="B15" s="145"/>
      <c r="C15" s="153"/>
      <c r="D15" s="146"/>
    </row>
    <row r="16" spans="1:4" s="131" customFormat="1" ht="20.25" customHeight="1" x14ac:dyDescent="0.25">
      <c r="A16" s="144">
        <v>7</v>
      </c>
      <c r="B16" s="145"/>
      <c r="C16" s="153"/>
      <c r="D16" s="146"/>
    </row>
    <row r="17" spans="1:4" s="131" customFormat="1" ht="20.25" customHeight="1" x14ac:dyDescent="0.25">
      <c r="A17" s="144">
        <v>8</v>
      </c>
      <c r="B17" s="145"/>
      <c r="C17" s="153"/>
      <c r="D17" s="146"/>
    </row>
    <row r="18" spans="1:4" s="131" customFormat="1" ht="20.25" customHeight="1" x14ac:dyDescent="0.25">
      <c r="A18" s="144">
        <v>9</v>
      </c>
      <c r="B18" s="145"/>
      <c r="C18" s="153"/>
      <c r="D18" s="146"/>
    </row>
    <row r="19" spans="1:4" s="131" customFormat="1" ht="20.25" customHeight="1" x14ac:dyDescent="0.25">
      <c r="A19" s="144">
        <v>10</v>
      </c>
      <c r="B19" s="145"/>
      <c r="C19" s="153"/>
      <c r="D19" s="146"/>
    </row>
    <row r="20" spans="1:4" s="131" customFormat="1" ht="20.25" customHeight="1" x14ac:dyDescent="0.25">
      <c r="A20" s="144"/>
      <c r="B20" s="145" t="s">
        <v>235</v>
      </c>
      <c r="C20" s="153"/>
      <c r="D20" s="146"/>
    </row>
    <row r="21" spans="1:4" s="131" customFormat="1" ht="20.25" customHeight="1" x14ac:dyDescent="0.25">
      <c r="A21" s="144"/>
      <c r="B21" s="145"/>
      <c r="C21" s="153"/>
      <c r="D21" s="146"/>
    </row>
    <row r="22" spans="1:4" s="131" customFormat="1" ht="21" customHeight="1" x14ac:dyDescent="0.25">
      <c r="A22" s="1024" t="s">
        <v>230</v>
      </c>
      <c r="B22" s="1025"/>
      <c r="C22" s="1025"/>
      <c r="D22" s="1026"/>
    </row>
    <row r="23" spans="1:4" s="131" customFormat="1" ht="20.25" customHeight="1" x14ac:dyDescent="0.25">
      <c r="A23" s="144">
        <v>1</v>
      </c>
      <c r="B23" s="145"/>
      <c r="C23" s="153"/>
      <c r="D23" s="146"/>
    </row>
    <row r="24" spans="1:4" s="131" customFormat="1" ht="20.25" customHeight="1" x14ac:dyDescent="0.25">
      <c r="A24" s="144">
        <v>2</v>
      </c>
      <c r="B24" s="145"/>
      <c r="C24" s="153"/>
      <c r="D24" s="146"/>
    </row>
    <row r="25" spans="1:4" s="131" customFormat="1" ht="20.25" customHeight="1" x14ac:dyDescent="0.25">
      <c r="A25" s="144">
        <v>3</v>
      </c>
      <c r="B25" s="145"/>
      <c r="C25" s="153"/>
      <c r="D25" s="146"/>
    </row>
    <row r="26" spans="1:4" s="131" customFormat="1" ht="20.25" customHeight="1" x14ac:dyDescent="0.25">
      <c r="A26" s="144">
        <v>4</v>
      </c>
      <c r="B26" s="145"/>
      <c r="C26" s="153"/>
      <c r="D26" s="146"/>
    </row>
    <row r="27" spans="1:4" s="131" customFormat="1" ht="20.25" customHeight="1" x14ac:dyDescent="0.25">
      <c r="A27" s="144">
        <v>5</v>
      </c>
      <c r="B27" s="145"/>
      <c r="C27" s="153"/>
      <c r="D27" s="146"/>
    </row>
    <row r="28" spans="1:4" s="131" customFormat="1" ht="20.25" customHeight="1" x14ac:dyDescent="0.25">
      <c r="A28" s="144">
        <v>6</v>
      </c>
      <c r="B28" s="145"/>
      <c r="C28" s="153"/>
      <c r="D28" s="146"/>
    </row>
    <row r="29" spans="1:4" s="131" customFormat="1" ht="20.25" customHeight="1" x14ac:dyDescent="0.25">
      <c r="A29" s="144">
        <v>7</v>
      </c>
      <c r="B29" s="145"/>
      <c r="C29" s="153"/>
      <c r="D29" s="146"/>
    </row>
    <row r="30" spans="1:4" s="131" customFormat="1" ht="20.25" customHeight="1" x14ac:dyDescent="0.25">
      <c r="A30" s="144">
        <v>8</v>
      </c>
      <c r="B30" s="145"/>
      <c r="C30" s="153"/>
      <c r="D30" s="146"/>
    </row>
    <row r="31" spans="1:4" s="131" customFormat="1" ht="20.25" customHeight="1" x14ac:dyDescent="0.25">
      <c r="A31" s="144">
        <v>9</v>
      </c>
      <c r="B31" s="145"/>
      <c r="C31" s="153"/>
      <c r="D31" s="146"/>
    </row>
    <row r="32" spans="1:4" s="131" customFormat="1" ht="20.25" customHeight="1" x14ac:dyDescent="0.25">
      <c r="A32" s="144">
        <v>10</v>
      </c>
      <c r="B32" s="145"/>
      <c r="C32" s="153"/>
      <c r="D32" s="146"/>
    </row>
    <row r="33" spans="1:9" s="53" customFormat="1" ht="39.950000000000003" customHeight="1" x14ac:dyDescent="0.2">
      <c r="A33" s="144"/>
      <c r="B33" s="121" t="s">
        <v>236</v>
      </c>
      <c r="C33" s="123"/>
      <c r="D33" s="124"/>
    </row>
    <row r="34" spans="1:9" s="53" customFormat="1" ht="39.950000000000003" customHeight="1" thickBot="1" x14ac:dyDescent="0.25">
      <c r="A34" s="144"/>
      <c r="B34" s="121"/>
      <c r="C34" s="123"/>
      <c r="D34" s="124"/>
    </row>
    <row r="35" spans="1:9" ht="30" customHeight="1" thickBot="1" x14ac:dyDescent="0.25">
      <c r="A35" s="133"/>
      <c r="B35" s="126" t="s">
        <v>232</v>
      </c>
      <c r="C35" s="127"/>
      <c r="D35" s="129"/>
    </row>
    <row r="36" spans="1:9" x14ac:dyDescent="0.2">
      <c r="I36" s="37"/>
    </row>
    <row r="43" spans="1:9" x14ac:dyDescent="0.2">
      <c r="B43" s="721" t="s">
        <v>1834</v>
      </c>
      <c r="C43" s="722" t="s">
        <v>1830</v>
      </c>
    </row>
    <row r="44" spans="1:9" x14ac:dyDescent="0.2">
      <c r="B44" s="721" t="s">
        <v>1831</v>
      </c>
      <c r="C44" s="722" t="s">
        <v>1832</v>
      </c>
    </row>
    <row r="45" spans="1:9" x14ac:dyDescent="0.2">
      <c r="B45" s="724"/>
      <c r="C45" s="723"/>
    </row>
    <row r="46" spans="1:9" x14ac:dyDescent="0.2">
      <c r="B46" s="719" t="s">
        <v>1833</v>
      </c>
      <c r="C46" s="723"/>
    </row>
    <row r="47" spans="1:9" x14ac:dyDescent="0.2">
      <c r="B47" s="720" t="s">
        <v>1835</v>
      </c>
      <c r="C47" s="723"/>
    </row>
  </sheetData>
  <mergeCells count="6">
    <mergeCell ref="A2:D2"/>
    <mergeCell ref="A7:B8"/>
    <mergeCell ref="A9:D9"/>
    <mergeCell ref="A22:D22"/>
    <mergeCell ref="C7:C8"/>
    <mergeCell ref="D7:D8"/>
  </mergeCells>
  <printOptions horizontalCentered="1"/>
  <pageMargins left="0.34" right="0.22" top="0.56000000000000005" bottom="0.36" header="0.31496062992125984" footer="0.31496062992125984"/>
  <pageSetup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J41"/>
  <sheetViews>
    <sheetView topLeftCell="A14" zoomScaleNormal="100" workbookViewId="0">
      <selection activeCell="B1" sqref="A1:E41"/>
    </sheetView>
  </sheetViews>
  <sheetFormatPr baseColWidth="10" defaultRowHeight="14.25" x14ac:dyDescent="0.2"/>
  <cols>
    <col min="1" max="1" width="4.28515625" style="56" customWidth="1"/>
    <col min="2" max="2" width="52" style="8" customWidth="1"/>
    <col min="3" max="5" width="21.85546875" style="8" customWidth="1"/>
    <col min="6" max="16384" width="11.42578125" style="8"/>
  </cols>
  <sheetData>
    <row r="1" spans="1:5" ht="15" x14ac:dyDescent="0.25">
      <c r="C1" s="151" t="s">
        <v>167</v>
      </c>
      <c r="D1" s="151"/>
      <c r="E1" s="130" t="s">
        <v>431</v>
      </c>
    </row>
    <row r="2" spans="1:5" ht="15.75" x14ac:dyDescent="0.25">
      <c r="A2" s="1027" t="s">
        <v>328</v>
      </c>
      <c r="B2" s="1027"/>
      <c r="C2" s="1027"/>
      <c r="D2" s="1027"/>
      <c r="E2" s="1027"/>
    </row>
    <row r="3" spans="1:5" ht="15" x14ac:dyDescent="0.25">
      <c r="C3" s="436" t="s">
        <v>599</v>
      </c>
      <c r="D3" s="151"/>
    </row>
    <row r="4" spans="1:5" ht="15.75" x14ac:dyDescent="0.25">
      <c r="B4" s="132"/>
      <c r="C4" s="824" t="s">
        <v>1840</v>
      </c>
      <c r="D4" s="132"/>
      <c r="E4" s="132"/>
    </row>
    <row r="5" spans="1:5" ht="15.75" x14ac:dyDescent="0.25">
      <c r="A5" s="132"/>
      <c r="B5" s="132"/>
      <c r="C5" s="178" t="s">
        <v>297</v>
      </c>
      <c r="D5" s="132"/>
      <c r="E5" s="152"/>
    </row>
    <row r="6" spans="1:5" ht="6.75" customHeight="1" thickBot="1" x14ac:dyDescent="0.25"/>
    <row r="7" spans="1:5" s="131" customFormat="1" ht="17.25" customHeight="1" x14ac:dyDescent="0.25">
      <c r="A7" s="1039" t="s">
        <v>113</v>
      </c>
      <c r="B7" s="1040"/>
      <c r="C7" s="1047" t="s">
        <v>237</v>
      </c>
      <c r="D7" s="175" t="s">
        <v>185</v>
      </c>
      <c r="E7" s="1049" t="s">
        <v>234</v>
      </c>
    </row>
    <row r="8" spans="1:5" s="131" customFormat="1" ht="4.5" customHeight="1" thickBot="1" x14ac:dyDescent="0.3">
      <c r="A8" s="1041"/>
      <c r="B8" s="1042"/>
      <c r="C8" s="1048"/>
      <c r="D8" s="176"/>
      <c r="E8" s="1050"/>
    </row>
    <row r="9" spans="1:5" s="131" customFormat="1" ht="20.25" customHeight="1" x14ac:dyDescent="0.25">
      <c r="A9" s="125" t="s">
        <v>238</v>
      </c>
      <c r="B9" s="145"/>
      <c r="C9" s="322">
        <f>SUM(C10)</f>
        <v>408196119</v>
      </c>
      <c r="D9" s="322">
        <f t="shared" ref="D9:E9" si="0">SUM(D10)</f>
        <v>648162855</v>
      </c>
      <c r="E9" s="654">
        <f t="shared" si="0"/>
        <v>648162855</v>
      </c>
    </row>
    <row r="10" spans="1:5" s="131" customFormat="1" ht="20.25" customHeight="1" x14ac:dyDescent="0.25">
      <c r="A10" s="144"/>
      <c r="B10" s="155" t="s">
        <v>241</v>
      </c>
      <c r="C10" s="322">
        <v>408196119</v>
      </c>
      <c r="D10" s="322">
        <v>648162855</v>
      </c>
      <c r="E10" s="655">
        <v>648162855</v>
      </c>
    </row>
    <row r="11" spans="1:5" s="131" customFormat="1" ht="20.25" customHeight="1" x14ac:dyDescent="0.25">
      <c r="A11" s="144"/>
      <c r="B11" s="155" t="s">
        <v>239</v>
      </c>
      <c r="C11" s="322"/>
      <c r="D11" s="322"/>
      <c r="E11" s="655"/>
    </row>
    <row r="12" spans="1:5" s="131" customFormat="1" ht="20.25" customHeight="1" x14ac:dyDescent="0.25">
      <c r="A12" s="125" t="s">
        <v>240</v>
      </c>
      <c r="B12" s="155"/>
      <c r="C12" s="322">
        <f>SUM(C13)</f>
        <v>0</v>
      </c>
      <c r="D12" s="322">
        <f t="shared" ref="D12:E12" si="1">SUM(D13)</f>
        <v>623069039</v>
      </c>
      <c r="E12" s="655">
        <f t="shared" si="1"/>
        <v>623069039</v>
      </c>
    </row>
    <row r="13" spans="1:5" s="131" customFormat="1" ht="20.25" customHeight="1" x14ac:dyDescent="0.25">
      <c r="A13" s="144"/>
      <c r="B13" s="155" t="s">
        <v>242</v>
      </c>
      <c r="C13" s="322">
        <v>0</v>
      </c>
      <c r="D13" s="322">
        <v>623069039</v>
      </c>
      <c r="E13" s="655">
        <v>623069039</v>
      </c>
    </row>
    <row r="14" spans="1:5" s="131" customFormat="1" ht="20.25" customHeight="1" x14ac:dyDescent="0.25">
      <c r="A14" s="144"/>
      <c r="B14" s="155" t="s">
        <v>243</v>
      </c>
      <c r="C14" s="322"/>
      <c r="D14" s="322"/>
      <c r="E14" s="655"/>
    </row>
    <row r="15" spans="1:5" s="131" customFormat="1" ht="20.25" customHeight="1" x14ac:dyDescent="0.25">
      <c r="A15" s="125" t="s">
        <v>249</v>
      </c>
      <c r="B15" s="155"/>
      <c r="C15" s="322">
        <f>+C9-C12</f>
        <v>408196119</v>
      </c>
      <c r="D15" s="322">
        <f t="shared" ref="D15:E15" si="2">+D9-D12</f>
        <v>25093816</v>
      </c>
      <c r="E15" s="655">
        <f t="shared" si="2"/>
        <v>25093816</v>
      </c>
    </row>
    <row r="16" spans="1:5" s="131" customFormat="1" ht="20.25" customHeight="1" thickBot="1" x14ac:dyDescent="0.3">
      <c r="A16" s="144"/>
      <c r="B16" s="145"/>
      <c r="C16" s="322"/>
      <c r="D16" s="322"/>
      <c r="E16" s="655"/>
    </row>
    <row r="17" spans="1:10" s="131" customFormat="1" ht="21" customHeight="1" x14ac:dyDescent="0.25">
      <c r="A17" s="1039" t="s">
        <v>113</v>
      </c>
      <c r="B17" s="1040"/>
      <c r="C17" s="1043" t="s">
        <v>237</v>
      </c>
      <c r="D17" s="323" t="s">
        <v>185</v>
      </c>
      <c r="E17" s="1045" t="s">
        <v>234</v>
      </c>
    </row>
    <row r="18" spans="1:10" s="131" customFormat="1" ht="0.75" customHeight="1" thickBot="1" x14ac:dyDescent="0.3">
      <c r="A18" s="1041"/>
      <c r="B18" s="1042"/>
      <c r="C18" s="1044"/>
      <c r="D18" s="324"/>
      <c r="E18" s="1046"/>
    </row>
    <row r="19" spans="1:10" s="131" customFormat="1" ht="20.25" customHeight="1" x14ac:dyDescent="0.25">
      <c r="A19" s="125" t="s">
        <v>244</v>
      </c>
      <c r="B19" s="145"/>
      <c r="C19" s="322">
        <f>+C15</f>
        <v>408196119</v>
      </c>
      <c r="D19" s="322">
        <f>+D15</f>
        <v>25093816</v>
      </c>
      <c r="E19" s="655">
        <f>+E15</f>
        <v>25093816</v>
      </c>
    </row>
    <row r="20" spans="1:10" s="131" customFormat="1" ht="20.25" customHeight="1" x14ac:dyDescent="0.25">
      <c r="A20" s="125" t="s">
        <v>245</v>
      </c>
      <c r="B20" s="145"/>
      <c r="C20" s="322">
        <v>0</v>
      </c>
      <c r="D20" s="322">
        <v>0</v>
      </c>
      <c r="E20" s="655">
        <v>0</v>
      </c>
    </row>
    <row r="21" spans="1:10" s="131" customFormat="1" ht="20.25" customHeight="1" x14ac:dyDescent="0.25">
      <c r="A21" s="125" t="s">
        <v>250</v>
      </c>
      <c r="B21" s="145"/>
      <c r="C21" s="322">
        <f>+C19-C20</f>
        <v>408196119</v>
      </c>
      <c r="D21" s="322">
        <f t="shared" ref="D21:E21" si="3">+D19-D20</f>
        <v>25093816</v>
      </c>
      <c r="E21" s="655">
        <f t="shared" si="3"/>
        <v>25093816</v>
      </c>
    </row>
    <row r="22" spans="1:10" s="131" customFormat="1" ht="20.25" customHeight="1" thickBot="1" x14ac:dyDescent="0.3">
      <c r="A22" s="144"/>
      <c r="B22" s="145"/>
      <c r="C22" s="322"/>
      <c r="D22" s="322"/>
      <c r="E22" s="655"/>
    </row>
    <row r="23" spans="1:10" s="131" customFormat="1" ht="21" customHeight="1" x14ac:dyDescent="0.25">
      <c r="A23" s="1039" t="s">
        <v>113</v>
      </c>
      <c r="B23" s="1040"/>
      <c r="C23" s="1043" t="s">
        <v>237</v>
      </c>
      <c r="D23" s="323" t="s">
        <v>185</v>
      </c>
      <c r="E23" s="1045" t="s">
        <v>234</v>
      </c>
    </row>
    <row r="24" spans="1:10" s="131" customFormat="1" ht="0.75" customHeight="1" thickBot="1" x14ac:dyDescent="0.3">
      <c r="A24" s="1041"/>
      <c r="B24" s="1042"/>
      <c r="C24" s="1044"/>
      <c r="D24" s="324"/>
      <c r="E24" s="1046"/>
    </row>
    <row r="25" spans="1:10" s="131" customFormat="1" ht="20.25" customHeight="1" x14ac:dyDescent="0.25">
      <c r="A25" s="125" t="s">
        <v>246</v>
      </c>
      <c r="B25" s="145"/>
      <c r="C25" s="322">
        <v>0</v>
      </c>
      <c r="D25" s="322">
        <v>0</v>
      </c>
      <c r="E25" s="655">
        <v>0</v>
      </c>
    </row>
    <row r="26" spans="1:10" s="131" customFormat="1" ht="20.25" customHeight="1" x14ac:dyDescent="0.25">
      <c r="A26" s="125" t="s">
        <v>247</v>
      </c>
      <c r="B26" s="145"/>
      <c r="C26" s="322">
        <v>0</v>
      </c>
      <c r="D26" s="322">
        <v>0</v>
      </c>
      <c r="E26" s="655">
        <v>0</v>
      </c>
    </row>
    <row r="27" spans="1:10" s="131" customFormat="1" ht="20.25" customHeight="1" x14ac:dyDescent="0.25">
      <c r="A27" s="125" t="s">
        <v>248</v>
      </c>
      <c r="B27" s="145"/>
      <c r="C27" s="322">
        <v>0</v>
      </c>
      <c r="D27" s="322">
        <v>0</v>
      </c>
      <c r="E27" s="655">
        <v>0</v>
      </c>
    </row>
    <row r="28" spans="1:10" s="131" customFormat="1" ht="20.25" customHeight="1" thickBot="1" x14ac:dyDescent="0.3">
      <c r="A28" s="156"/>
      <c r="B28" s="157"/>
      <c r="C28" s="325"/>
      <c r="D28" s="325"/>
      <c r="E28" s="326"/>
    </row>
    <row r="29" spans="1:10" x14ac:dyDescent="0.2">
      <c r="J29" s="37"/>
    </row>
    <row r="37" spans="2:3" x14ac:dyDescent="0.2">
      <c r="B37" s="721" t="s">
        <v>1834</v>
      </c>
      <c r="C37" s="722" t="s">
        <v>1830</v>
      </c>
    </row>
    <row r="38" spans="2:3" x14ac:dyDescent="0.2">
      <c r="B38" s="721" t="s">
        <v>1831</v>
      </c>
      <c r="C38" s="722" t="s">
        <v>1832</v>
      </c>
    </row>
    <row r="39" spans="2:3" x14ac:dyDescent="0.2">
      <c r="B39" s="724"/>
      <c r="C39" s="723"/>
    </row>
    <row r="40" spans="2:3" x14ac:dyDescent="0.2">
      <c r="B40" s="719" t="s">
        <v>1833</v>
      </c>
      <c r="C40" s="723"/>
    </row>
    <row r="41" spans="2:3" x14ac:dyDescent="0.2">
      <c r="B41" s="720" t="s">
        <v>1835</v>
      </c>
      <c r="C41" s="723"/>
    </row>
  </sheetData>
  <mergeCells count="10">
    <mergeCell ref="A23:B24"/>
    <mergeCell ref="C23:C24"/>
    <mergeCell ref="E23:E24"/>
    <mergeCell ref="A2:E2"/>
    <mergeCell ref="A7:B8"/>
    <mergeCell ref="C7:C8"/>
    <mergeCell ref="E7:E8"/>
    <mergeCell ref="C17:C18"/>
    <mergeCell ref="E17:E18"/>
    <mergeCell ref="A17:B18"/>
  </mergeCells>
  <printOptions horizontalCentered="1"/>
  <pageMargins left="0.35" right="0.28000000000000003"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G77"/>
  <sheetViews>
    <sheetView workbookViewId="0">
      <selection activeCell="C66" sqref="C66"/>
    </sheetView>
  </sheetViews>
  <sheetFormatPr baseColWidth="10" defaultRowHeight="11.25" x14ac:dyDescent="0.2"/>
  <cols>
    <col min="1" max="1" width="1.5703125" style="408" customWidth="1"/>
    <col min="2" max="2" width="70.140625" style="430" customWidth="1"/>
    <col min="3" max="3" width="18.42578125" style="408" customWidth="1"/>
    <col min="4" max="4" width="18" style="408" customWidth="1"/>
    <col min="5" max="5" width="11.42578125" style="408"/>
    <col min="6" max="6" width="12.85546875" style="408" bestFit="1" customWidth="1"/>
    <col min="7" max="16384" width="11.42578125" style="408"/>
  </cols>
  <sheetData>
    <row r="1" spans="1:7" s="290" customFormat="1" x14ac:dyDescent="0.2">
      <c r="A1" s="925" t="s">
        <v>167</v>
      </c>
      <c r="B1" s="925"/>
      <c r="C1" s="925"/>
      <c r="D1" s="925"/>
      <c r="E1" s="369"/>
      <c r="G1" s="371"/>
    </row>
    <row r="2" spans="1:7" x14ac:dyDescent="0.2">
      <c r="A2" s="923" t="s">
        <v>0</v>
      </c>
      <c r="B2" s="923"/>
      <c r="C2" s="923"/>
      <c r="D2" s="923"/>
    </row>
    <row r="3" spans="1:7" x14ac:dyDescent="0.2">
      <c r="A3" s="923" t="s">
        <v>599</v>
      </c>
      <c r="B3" s="923"/>
      <c r="C3" s="923"/>
      <c r="D3" s="923"/>
    </row>
    <row r="4" spans="1:7" x14ac:dyDescent="0.2">
      <c r="A4" s="923" t="s">
        <v>1838</v>
      </c>
      <c r="B4" s="923"/>
      <c r="C4" s="923"/>
      <c r="D4" s="923"/>
    </row>
    <row r="5" spans="1:7" ht="12" thickBot="1" x14ac:dyDescent="0.25">
      <c r="A5" s="924" t="s">
        <v>122</v>
      </c>
      <c r="B5" s="924"/>
      <c r="C5" s="924"/>
      <c r="D5" s="924"/>
    </row>
    <row r="6" spans="1:7" x14ac:dyDescent="0.2">
      <c r="A6" s="401"/>
      <c r="B6" s="424"/>
      <c r="C6" s="402">
        <v>2015</v>
      </c>
      <c r="D6" s="403">
        <v>2014</v>
      </c>
    </row>
    <row r="7" spans="1:7" x14ac:dyDescent="0.2">
      <c r="A7" s="404" t="s">
        <v>1</v>
      </c>
      <c r="B7" s="425"/>
      <c r="C7" s="405">
        <v>0</v>
      </c>
      <c r="D7" s="406"/>
    </row>
    <row r="8" spans="1:7" x14ac:dyDescent="0.2">
      <c r="A8" s="407" t="s">
        <v>2</v>
      </c>
      <c r="B8" s="426"/>
      <c r="D8" s="409"/>
    </row>
    <row r="9" spans="1:7" x14ac:dyDescent="0.2">
      <c r="A9" s="410"/>
      <c r="B9" s="379" t="s">
        <v>3</v>
      </c>
      <c r="D9" s="406"/>
    </row>
    <row r="10" spans="1:7" x14ac:dyDescent="0.2">
      <c r="A10" s="410"/>
      <c r="B10" s="379" t="s">
        <v>4</v>
      </c>
      <c r="D10" s="406"/>
    </row>
    <row r="11" spans="1:7" x14ac:dyDescent="0.2">
      <c r="A11" s="410"/>
      <c r="B11" s="379" t="s">
        <v>5</v>
      </c>
      <c r="D11" s="409"/>
    </row>
    <row r="12" spans="1:7" x14ac:dyDescent="0.2">
      <c r="A12" s="410"/>
      <c r="B12" s="379" t="s">
        <v>6</v>
      </c>
      <c r="D12" s="409"/>
    </row>
    <row r="13" spans="1:7" x14ac:dyDescent="0.2">
      <c r="A13" s="410"/>
      <c r="B13" s="379" t="s">
        <v>1352</v>
      </c>
      <c r="D13" s="409"/>
    </row>
    <row r="14" spans="1:7" x14ac:dyDescent="0.2">
      <c r="A14" s="410"/>
      <c r="B14" s="379" t="s">
        <v>7</v>
      </c>
      <c r="D14" s="409"/>
    </row>
    <row r="15" spans="1:7" x14ac:dyDescent="0.2">
      <c r="A15" s="410"/>
      <c r="B15" s="379" t="s">
        <v>8</v>
      </c>
      <c r="C15" s="411"/>
      <c r="D15" s="409"/>
    </row>
    <row r="16" spans="1:7" ht="22.5" x14ac:dyDescent="0.2">
      <c r="A16" s="410"/>
      <c r="B16" s="379" t="s">
        <v>9</v>
      </c>
      <c r="C16" s="411"/>
      <c r="D16" s="409"/>
    </row>
    <row r="17" spans="1:4" x14ac:dyDescent="0.2">
      <c r="A17" s="407" t="s">
        <v>10</v>
      </c>
      <c r="B17" s="426"/>
      <c r="C17" s="412">
        <f>SUM(C18:C19)</f>
        <v>648162855.34000003</v>
      </c>
      <c r="D17" s="413">
        <f>+D18+D19</f>
        <v>501799936.25999999</v>
      </c>
    </row>
    <row r="18" spans="1:4" x14ac:dyDescent="0.2">
      <c r="A18" s="410"/>
      <c r="B18" s="379" t="s">
        <v>11</v>
      </c>
      <c r="C18" s="411">
        <v>419321438.56999999</v>
      </c>
      <c r="D18" s="414">
        <v>0</v>
      </c>
    </row>
    <row r="19" spans="1:4" x14ac:dyDescent="0.2">
      <c r="A19" s="410"/>
      <c r="B19" s="379" t="s">
        <v>12</v>
      </c>
      <c r="C19" s="411">
        <v>228841416.77000001</v>
      </c>
      <c r="D19" s="414">
        <v>501799936.25999999</v>
      </c>
    </row>
    <row r="20" spans="1:4" x14ac:dyDescent="0.2">
      <c r="A20" s="407" t="s">
        <v>13</v>
      </c>
      <c r="B20" s="426"/>
      <c r="C20" s="412">
        <f>SUM(C21:C25)</f>
        <v>1990084.84</v>
      </c>
      <c r="D20" s="415">
        <f>+D21+D25</f>
        <v>349870.1</v>
      </c>
    </row>
    <row r="21" spans="1:4" x14ac:dyDescent="0.2">
      <c r="A21" s="410"/>
      <c r="B21" s="379" t="s">
        <v>14</v>
      </c>
      <c r="C21" s="411">
        <v>1990084.84</v>
      </c>
      <c r="D21" s="414">
        <v>338269.1</v>
      </c>
    </row>
    <row r="22" spans="1:4" x14ac:dyDescent="0.2">
      <c r="A22" s="410"/>
      <c r="B22" s="379" t="s">
        <v>15</v>
      </c>
      <c r="C22" s="411"/>
      <c r="D22" s="414">
        <v>0</v>
      </c>
    </row>
    <row r="23" spans="1:4" x14ac:dyDescent="0.2">
      <c r="A23" s="410"/>
      <c r="B23" s="379" t="s">
        <v>16</v>
      </c>
      <c r="C23" s="411"/>
      <c r="D23" s="414">
        <v>0</v>
      </c>
    </row>
    <row r="24" spans="1:4" x14ac:dyDescent="0.2">
      <c r="A24" s="410"/>
      <c r="B24" s="379" t="s">
        <v>17</v>
      </c>
      <c r="C24" s="411"/>
      <c r="D24" s="414">
        <v>0</v>
      </c>
    </row>
    <row r="25" spans="1:4" x14ac:dyDescent="0.2">
      <c r="A25" s="410"/>
      <c r="B25" s="379" t="s">
        <v>18</v>
      </c>
      <c r="C25" s="411"/>
      <c r="D25" s="414">
        <v>11601</v>
      </c>
    </row>
    <row r="26" spans="1:4" x14ac:dyDescent="0.2">
      <c r="A26" s="410"/>
      <c r="B26" s="379"/>
      <c r="C26" s="411"/>
      <c r="D26" s="406"/>
    </row>
    <row r="27" spans="1:4" x14ac:dyDescent="0.2">
      <c r="A27" s="416" t="s">
        <v>19</v>
      </c>
      <c r="B27" s="427"/>
      <c r="C27" s="412">
        <f>+C20+C17</f>
        <v>650152940.18000007</v>
      </c>
      <c r="D27" s="417">
        <f>+D17+D20</f>
        <v>502149806.36000001</v>
      </c>
    </row>
    <row r="28" spans="1:4" x14ac:dyDescent="0.2">
      <c r="A28" s="410"/>
      <c r="B28" s="379"/>
      <c r="C28" s="411"/>
      <c r="D28" s="406"/>
    </row>
    <row r="29" spans="1:4" x14ac:dyDescent="0.2">
      <c r="A29" s="404" t="s">
        <v>20</v>
      </c>
      <c r="B29" s="425"/>
      <c r="C29" s="411"/>
      <c r="D29" s="406"/>
    </row>
    <row r="30" spans="1:4" x14ac:dyDescent="0.2">
      <c r="A30" s="407" t="s">
        <v>21</v>
      </c>
      <c r="B30" s="426"/>
      <c r="C30" s="412">
        <f>SUM(C31:C34)</f>
        <v>26074515.850000001</v>
      </c>
      <c r="D30" s="433">
        <f>+D31+D32+D33</f>
        <v>57102694.630000003</v>
      </c>
    </row>
    <row r="31" spans="1:4" x14ac:dyDescent="0.2">
      <c r="A31" s="410"/>
      <c r="B31" s="379" t="s">
        <v>22</v>
      </c>
      <c r="C31" s="411">
        <v>21219933.760000002</v>
      </c>
      <c r="D31" s="414">
        <v>33570676.170000002</v>
      </c>
    </row>
    <row r="32" spans="1:4" x14ac:dyDescent="0.2">
      <c r="A32" s="410"/>
      <c r="B32" s="379" t="s">
        <v>23</v>
      </c>
      <c r="C32" s="411">
        <v>1847021.9</v>
      </c>
      <c r="D32" s="414">
        <v>10266761.949999999</v>
      </c>
    </row>
    <row r="33" spans="1:6" x14ac:dyDescent="0.2">
      <c r="A33" s="410"/>
      <c r="B33" s="379" t="s">
        <v>24</v>
      </c>
      <c r="C33" s="411">
        <v>3007560.19</v>
      </c>
      <c r="D33" s="414">
        <v>13265256.51</v>
      </c>
    </row>
    <row r="34" spans="1:6" x14ac:dyDescent="0.2">
      <c r="A34" s="407" t="s">
        <v>12</v>
      </c>
      <c r="B34" s="426"/>
      <c r="C34" s="411"/>
      <c r="D34" s="413">
        <f>+D35</f>
        <v>28435054.579999998</v>
      </c>
    </row>
    <row r="35" spans="1:6" x14ac:dyDescent="0.2">
      <c r="A35" s="410"/>
      <c r="B35" s="379" t="s">
        <v>25</v>
      </c>
      <c r="C35" s="411">
        <f>SUM(C36:C43)</f>
        <v>0</v>
      </c>
      <c r="D35" s="414">
        <v>28435054.579999998</v>
      </c>
    </row>
    <row r="36" spans="1:6" x14ac:dyDescent="0.2">
      <c r="A36" s="410"/>
      <c r="B36" s="379" t="s">
        <v>26</v>
      </c>
      <c r="C36" s="411"/>
      <c r="D36" s="414">
        <v>0</v>
      </c>
    </row>
    <row r="37" spans="1:6" x14ac:dyDescent="0.2">
      <c r="A37" s="410"/>
      <c r="B37" s="379" t="s">
        <v>27</v>
      </c>
      <c r="C37" s="411"/>
      <c r="D37" s="406"/>
    </row>
    <row r="38" spans="1:6" x14ac:dyDescent="0.2">
      <c r="A38" s="410"/>
      <c r="B38" s="379" t="s">
        <v>28</v>
      </c>
      <c r="C38" s="411"/>
      <c r="D38" s="406"/>
    </row>
    <row r="39" spans="1:6" x14ac:dyDescent="0.2">
      <c r="A39" s="410"/>
      <c r="B39" s="379" t="s">
        <v>29</v>
      </c>
      <c r="C39" s="411"/>
      <c r="D39" s="406"/>
    </row>
    <row r="40" spans="1:6" x14ac:dyDescent="0.2">
      <c r="A40" s="410"/>
      <c r="B40" s="379" t="s">
        <v>30</v>
      </c>
      <c r="C40" s="411"/>
      <c r="D40" s="406"/>
    </row>
    <row r="41" spans="1:6" x14ac:dyDescent="0.2">
      <c r="A41" s="410"/>
      <c r="B41" s="379" t="s">
        <v>31</v>
      </c>
      <c r="C41" s="411"/>
      <c r="D41" s="406"/>
    </row>
    <row r="42" spans="1:6" x14ac:dyDescent="0.2">
      <c r="A42" s="410"/>
      <c r="B42" s="379" t="s">
        <v>32</v>
      </c>
      <c r="C42" s="411"/>
      <c r="D42" s="406"/>
      <c r="F42" s="411"/>
    </row>
    <row r="43" spans="1:6" x14ac:dyDescent="0.2">
      <c r="A43" s="410"/>
      <c r="B43" s="379" t="s">
        <v>33</v>
      </c>
      <c r="C43" s="411"/>
      <c r="D43" s="406"/>
    </row>
    <row r="44" spans="1:6" x14ac:dyDescent="0.2">
      <c r="A44" s="407" t="s">
        <v>34</v>
      </c>
      <c r="B44" s="426"/>
      <c r="C44" s="411"/>
      <c r="D44" s="415">
        <f>+D47</f>
        <v>135129895.97</v>
      </c>
      <c r="F44" s="432"/>
    </row>
    <row r="45" spans="1:6" x14ac:dyDescent="0.2">
      <c r="A45" s="410"/>
      <c r="B45" s="379" t="s">
        <v>35</v>
      </c>
      <c r="C45" s="411">
        <f>SUM(C46:C48)</f>
        <v>0</v>
      </c>
      <c r="D45" s="420"/>
    </row>
    <row r="46" spans="1:6" x14ac:dyDescent="0.2">
      <c r="A46" s="410"/>
      <c r="B46" s="379" t="s">
        <v>36</v>
      </c>
      <c r="C46" s="411"/>
      <c r="D46" s="406"/>
      <c r="F46" s="434"/>
    </row>
    <row r="47" spans="1:6" x14ac:dyDescent="0.2">
      <c r="A47" s="410"/>
      <c r="B47" s="379" t="s">
        <v>37</v>
      </c>
      <c r="C47" s="411"/>
      <c r="D47" s="414">
        <v>135129895.97</v>
      </c>
    </row>
    <row r="48" spans="1:6" x14ac:dyDescent="0.2">
      <c r="A48" s="407" t="s">
        <v>38</v>
      </c>
      <c r="B48" s="426"/>
      <c r="C48" s="411"/>
      <c r="D48" s="414"/>
    </row>
    <row r="49" spans="1:4" x14ac:dyDescent="0.2">
      <c r="A49" s="410"/>
      <c r="B49" s="379" t="s">
        <v>39</v>
      </c>
      <c r="C49" s="411"/>
      <c r="D49" s="418"/>
    </row>
    <row r="50" spans="1:4" x14ac:dyDescent="0.2">
      <c r="A50" s="410"/>
      <c r="B50" s="379" t="s">
        <v>40</v>
      </c>
      <c r="C50" s="411"/>
      <c r="D50" s="406"/>
    </row>
    <row r="51" spans="1:4" x14ac:dyDescent="0.2">
      <c r="A51" s="410"/>
      <c r="B51" s="379" t="s">
        <v>41</v>
      </c>
      <c r="C51" s="411"/>
      <c r="D51" s="406"/>
    </row>
    <row r="52" spans="1:4" x14ac:dyDescent="0.2">
      <c r="A52" s="410"/>
      <c r="B52" s="379" t="s">
        <v>42</v>
      </c>
      <c r="C52" s="411"/>
      <c r="D52" s="406"/>
    </row>
    <row r="53" spans="1:4" x14ac:dyDescent="0.2">
      <c r="A53" s="410"/>
      <c r="B53" s="379" t="s">
        <v>43</v>
      </c>
      <c r="C53" s="411"/>
      <c r="D53" s="406"/>
    </row>
    <row r="54" spans="1:4" x14ac:dyDescent="0.2">
      <c r="A54" s="407" t="s">
        <v>44</v>
      </c>
      <c r="B54" s="426"/>
      <c r="C54" s="412">
        <f>SUM(C55)</f>
        <v>345118.69</v>
      </c>
      <c r="D54" s="415">
        <f>SUM(D55:D60)</f>
        <v>517150.39</v>
      </c>
    </row>
    <row r="55" spans="1:4" x14ac:dyDescent="0.2">
      <c r="A55" s="410"/>
      <c r="B55" s="379" t="s">
        <v>45</v>
      </c>
      <c r="C55" s="411">
        <v>345118.69</v>
      </c>
      <c r="D55" s="419">
        <v>517150.39</v>
      </c>
    </row>
    <row r="56" spans="1:4" x14ac:dyDescent="0.2">
      <c r="A56" s="410"/>
      <c r="B56" s="379" t="s">
        <v>46</v>
      </c>
      <c r="C56" s="411"/>
      <c r="D56" s="419"/>
    </row>
    <row r="57" spans="1:4" x14ac:dyDescent="0.2">
      <c r="A57" s="410"/>
      <c r="B57" s="379" t="s">
        <v>47</v>
      </c>
      <c r="C57" s="411"/>
      <c r="D57" s="409"/>
    </row>
    <row r="58" spans="1:4" x14ac:dyDescent="0.2">
      <c r="A58" s="410"/>
      <c r="B58" s="379" t="s">
        <v>48</v>
      </c>
      <c r="C58" s="411"/>
      <c r="D58" s="409"/>
    </row>
    <row r="59" spans="1:4" x14ac:dyDescent="0.2">
      <c r="A59" s="410"/>
      <c r="B59" s="379" t="s">
        <v>49</v>
      </c>
      <c r="C59" s="411"/>
      <c r="D59" s="409"/>
    </row>
    <row r="60" spans="1:4" x14ac:dyDescent="0.2">
      <c r="A60" s="410"/>
      <c r="B60" s="379" t="s">
        <v>50</v>
      </c>
      <c r="C60" s="411"/>
      <c r="D60" s="409">
        <v>0</v>
      </c>
    </row>
    <row r="61" spans="1:4" x14ac:dyDescent="0.2">
      <c r="A61" s="407" t="s">
        <v>51</v>
      </c>
      <c r="B61" s="426"/>
      <c r="C61" s="413">
        <f>SUM(C62)</f>
        <v>155144579.52000001</v>
      </c>
      <c r="D61" s="413">
        <f>SUM(D62)</f>
        <v>21894828.59</v>
      </c>
    </row>
    <row r="62" spans="1:4" x14ac:dyDescent="0.2">
      <c r="A62" s="410"/>
      <c r="B62" s="379" t="s">
        <v>52</v>
      </c>
      <c r="C62" s="411">
        <v>155144579.52000001</v>
      </c>
      <c r="D62" s="414">
        <v>21894828.59</v>
      </c>
    </row>
    <row r="63" spans="1:4" x14ac:dyDescent="0.2">
      <c r="A63" s="410"/>
      <c r="B63" s="428"/>
      <c r="C63" s="411"/>
      <c r="D63" s="414"/>
    </row>
    <row r="64" spans="1:4" x14ac:dyDescent="0.2">
      <c r="A64" s="407" t="s">
        <v>53</v>
      </c>
      <c r="B64" s="426"/>
      <c r="C64" s="412">
        <f>+C61+C54+C30</f>
        <v>181564214.06</v>
      </c>
      <c r="D64" s="433">
        <f>+D61+D54+D30+D44+D34</f>
        <v>243079624.15999997</v>
      </c>
    </row>
    <row r="65" spans="1:6" x14ac:dyDescent="0.2">
      <c r="A65" s="410"/>
      <c r="B65" s="428"/>
      <c r="C65" s="411"/>
      <c r="D65" s="420"/>
    </row>
    <row r="66" spans="1:6" x14ac:dyDescent="0.2">
      <c r="A66" s="407" t="s">
        <v>54</v>
      </c>
      <c r="B66" s="426"/>
      <c r="C66" s="412">
        <f>+C27-C64</f>
        <v>468588726.12000006</v>
      </c>
      <c r="D66" s="433">
        <f>+D27-D64</f>
        <v>259070182.20000005</v>
      </c>
      <c r="F66" s="432"/>
    </row>
    <row r="67" spans="1:6" ht="12" thickBot="1" x14ac:dyDescent="0.25">
      <c r="A67" s="421"/>
      <c r="B67" s="429"/>
      <c r="C67" s="422"/>
      <c r="D67" s="423"/>
    </row>
    <row r="68" spans="1:6" ht="5.25" customHeight="1" x14ac:dyDescent="0.2"/>
    <row r="69" spans="1:6" ht="22.5" x14ac:dyDescent="0.2">
      <c r="B69" s="431" t="s">
        <v>1351</v>
      </c>
    </row>
    <row r="73" spans="1:6" ht="12" x14ac:dyDescent="0.2">
      <c r="B73" s="721" t="s">
        <v>1834</v>
      </c>
      <c r="C73" s="722" t="s">
        <v>1830</v>
      </c>
      <c r="D73" s="722"/>
      <c r="E73" s="723"/>
      <c r="F73" s="724"/>
    </row>
    <row r="74" spans="1:6" ht="12" x14ac:dyDescent="0.2">
      <c r="B74" s="721" t="s">
        <v>1831</v>
      </c>
      <c r="C74" s="911" t="s">
        <v>1832</v>
      </c>
      <c r="D74" s="722"/>
      <c r="E74" s="722"/>
      <c r="F74" s="721"/>
    </row>
    <row r="75" spans="1:6" ht="12" x14ac:dyDescent="0.2">
      <c r="B75" s="724"/>
      <c r="C75" s="723"/>
      <c r="D75" s="723"/>
      <c r="E75" s="723"/>
      <c r="F75" s="724"/>
    </row>
    <row r="76" spans="1:6" ht="12" x14ac:dyDescent="0.2">
      <c r="B76" s="719" t="s">
        <v>1833</v>
      </c>
      <c r="C76" s="723"/>
      <c r="D76" s="723"/>
      <c r="E76" s="723"/>
      <c r="F76" s="724"/>
    </row>
    <row r="77" spans="1:6" ht="12" x14ac:dyDescent="0.2">
      <c r="B77" s="720" t="s">
        <v>1835</v>
      </c>
      <c r="C77" s="723"/>
      <c r="D77" s="723"/>
      <c r="E77" s="723"/>
      <c r="F77" s="724"/>
    </row>
  </sheetData>
  <mergeCells count="5">
    <mergeCell ref="A3:D3"/>
    <mergeCell ref="A2:D2"/>
    <mergeCell ref="A4:D4"/>
    <mergeCell ref="A5:D5"/>
    <mergeCell ref="A1:D1"/>
  </mergeCells>
  <printOptions horizontalCentered="1"/>
  <pageMargins left="0.47244094488188981" right="0.19685039370078741" top="0.39370078740157483" bottom="0.19685039370078741" header="0.31496062992125984" footer="0.19685039370078741"/>
  <pageSetup scale="9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XFD372"/>
  <sheetViews>
    <sheetView topLeftCell="A192" zoomScale="88" zoomScaleNormal="88" workbookViewId="0">
      <selection activeCell="B285" sqref="B285"/>
    </sheetView>
  </sheetViews>
  <sheetFormatPr baseColWidth="10" defaultRowHeight="12.75" x14ac:dyDescent="0.25"/>
  <cols>
    <col min="1" max="1" width="31.28515625" style="218" customWidth="1"/>
    <col min="2" max="2" width="122.140625" style="218" customWidth="1"/>
    <col min="3" max="16384" width="11.42578125" style="218"/>
  </cols>
  <sheetData>
    <row r="1" spans="1:17" hidden="1" x14ac:dyDescent="0.25">
      <c r="A1" s="727"/>
      <c r="B1" s="728"/>
      <c r="C1" s="728"/>
      <c r="D1" s="728"/>
      <c r="E1" s="728"/>
      <c r="F1" s="728"/>
      <c r="G1" s="728"/>
      <c r="H1" s="728"/>
      <c r="I1" s="728"/>
      <c r="J1" s="728"/>
      <c r="K1" s="728"/>
      <c r="L1" s="728"/>
      <c r="M1" s="728"/>
      <c r="N1" s="728"/>
      <c r="O1" s="728"/>
      <c r="P1" s="728"/>
      <c r="Q1" s="729"/>
    </row>
    <row r="2" spans="1:17" hidden="1" x14ac:dyDescent="0.25">
      <c r="A2" s="730"/>
      <c r="B2" s="731"/>
      <c r="C2" s="731"/>
      <c r="D2" s="731"/>
      <c r="E2" s="731"/>
      <c r="F2" s="731"/>
      <c r="G2" s="731"/>
      <c r="H2" s="731"/>
      <c r="I2" s="731"/>
      <c r="J2" s="731"/>
      <c r="K2" s="731"/>
      <c r="L2" s="731"/>
      <c r="M2" s="731"/>
      <c r="N2" s="731"/>
      <c r="O2" s="731"/>
      <c r="P2" s="731"/>
      <c r="Q2" s="732"/>
    </row>
    <row r="3" spans="1:17" ht="15" hidden="1" customHeight="1" x14ac:dyDescent="0.25">
      <c r="A3" s="730"/>
      <c r="B3" s="731"/>
      <c r="C3" s="731"/>
      <c r="D3" s="731"/>
      <c r="E3" s="731"/>
      <c r="F3" s="731"/>
      <c r="G3" s="731"/>
      <c r="H3" s="731"/>
      <c r="I3" s="731"/>
      <c r="J3" s="731"/>
      <c r="K3" s="731"/>
      <c r="L3" s="731"/>
      <c r="M3" s="731"/>
      <c r="N3" s="731"/>
      <c r="O3" s="731"/>
      <c r="P3" s="731"/>
      <c r="Q3" s="732"/>
    </row>
    <row r="4" spans="1:17" ht="27.75" hidden="1" customHeight="1" x14ac:dyDescent="0.25">
      <c r="A4" s="1117"/>
      <c r="B4" s="1118"/>
      <c r="C4" s="1118"/>
      <c r="D4" s="1118"/>
      <c r="E4" s="1118"/>
      <c r="F4" s="1118"/>
      <c r="G4" s="1118"/>
      <c r="H4" s="1118"/>
      <c r="I4" s="1118"/>
      <c r="J4" s="1118"/>
      <c r="K4" s="1118"/>
      <c r="L4" s="1118"/>
      <c r="M4" s="1118"/>
      <c r="N4" s="1118"/>
      <c r="O4" s="1118"/>
      <c r="P4" s="1118"/>
      <c r="Q4" s="1119"/>
    </row>
    <row r="5" spans="1:17" hidden="1" x14ac:dyDescent="0.25">
      <c r="A5" s="728"/>
      <c r="B5" s="728"/>
      <c r="C5" s="728"/>
      <c r="D5" s="731"/>
      <c r="E5" s="731"/>
      <c r="F5" s="731"/>
      <c r="G5" s="731"/>
      <c r="H5" s="731"/>
      <c r="I5" s="731"/>
      <c r="J5" s="731"/>
      <c r="K5" s="731"/>
      <c r="L5" s="731"/>
      <c r="M5" s="731"/>
      <c r="N5" s="731"/>
      <c r="O5" s="731"/>
      <c r="P5" s="731"/>
      <c r="Q5" s="733"/>
    </row>
    <row r="6" spans="1:17" hidden="1" x14ac:dyDescent="0.25">
      <c r="A6" s="1083"/>
      <c r="B6" s="1083"/>
      <c r="C6" s="1085"/>
      <c r="D6" s="734"/>
      <c r="E6" s="735"/>
      <c r="F6" s="735"/>
      <c r="G6" s="735"/>
      <c r="H6" s="735"/>
      <c r="I6" s="735"/>
      <c r="J6" s="735"/>
      <c r="K6" s="736"/>
      <c r="L6" s="737"/>
      <c r="M6" s="737"/>
      <c r="N6" s="737"/>
      <c r="O6" s="1120"/>
      <c r="P6" s="1120"/>
      <c r="Q6" s="1121"/>
    </row>
    <row r="7" spans="1:17" hidden="1" x14ac:dyDescent="0.25">
      <c r="A7" s="731"/>
      <c r="B7" s="731"/>
      <c r="C7" s="731"/>
      <c r="D7" s="738"/>
      <c r="E7" s="739"/>
      <c r="F7" s="739"/>
      <c r="G7" s="739"/>
      <c r="H7" s="739"/>
      <c r="I7" s="739"/>
      <c r="J7" s="739"/>
      <c r="K7" s="739"/>
      <c r="L7" s="739"/>
      <c r="M7" s="739"/>
      <c r="N7" s="739"/>
      <c r="O7" s="731"/>
      <c r="P7" s="731"/>
      <c r="Q7" s="733"/>
    </row>
    <row r="8" spans="1:17" hidden="1" x14ac:dyDescent="0.25">
      <c r="A8" s="1065"/>
      <c r="B8" s="1065"/>
      <c r="C8" s="1080"/>
      <c r="D8" s="1060"/>
      <c r="E8" s="1061"/>
      <c r="F8" s="1061"/>
      <c r="G8" s="1061"/>
      <c r="H8" s="1061"/>
      <c r="I8" s="1061"/>
      <c r="J8" s="1062"/>
      <c r="K8" s="740"/>
      <c r="L8" s="1122"/>
      <c r="M8" s="1122"/>
      <c r="N8" s="1122"/>
      <c r="O8" s="1066"/>
      <c r="P8" s="1067"/>
      <c r="Q8" s="1068"/>
    </row>
    <row r="9" spans="1:17" hidden="1" x14ac:dyDescent="0.25">
      <c r="A9" s="731"/>
      <c r="B9" s="731"/>
      <c r="C9" s="741"/>
      <c r="D9" s="741"/>
      <c r="E9" s="731"/>
      <c r="F9" s="731"/>
      <c r="G9" s="731"/>
      <c r="H9" s="731"/>
      <c r="I9" s="731"/>
      <c r="J9" s="731"/>
      <c r="K9" s="731"/>
      <c r="L9" s="731"/>
      <c r="M9" s="731"/>
      <c r="N9" s="731"/>
      <c r="O9" s="731"/>
      <c r="P9" s="731"/>
      <c r="Q9" s="733"/>
    </row>
    <row r="10" spans="1:17" hidden="1" x14ac:dyDescent="0.25">
      <c r="A10" s="1083"/>
      <c r="B10" s="1083"/>
      <c r="C10" s="1083"/>
      <c r="D10" s="1063"/>
      <c r="E10" s="1116"/>
      <c r="F10" s="1116"/>
      <c r="G10" s="1116"/>
      <c r="H10" s="1116"/>
      <c r="I10" s="1116"/>
      <c r="J10" s="1064"/>
      <c r="K10" s="741"/>
      <c r="L10" s="1123"/>
      <c r="M10" s="1124"/>
      <c r="N10" s="1063"/>
      <c r="O10" s="1116"/>
      <c r="P10" s="1116"/>
      <c r="Q10" s="1064"/>
    </row>
    <row r="11" spans="1:17" hidden="1" x14ac:dyDescent="0.25">
      <c r="A11" s="742"/>
      <c r="B11" s="742"/>
      <c r="C11" s="742"/>
      <c r="D11" s="741"/>
      <c r="E11" s="741"/>
      <c r="F11" s="741"/>
      <c r="G11" s="741"/>
      <c r="H11" s="741"/>
      <c r="I11" s="741"/>
      <c r="J11" s="741"/>
      <c r="K11" s="741"/>
      <c r="L11" s="731"/>
      <c r="M11" s="743"/>
      <c r="N11" s="743"/>
      <c r="O11" s="743"/>
      <c r="P11" s="744"/>
      <c r="Q11" s="733"/>
    </row>
    <row r="12" spans="1:17" hidden="1" x14ac:dyDescent="0.25">
      <c r="A12" s="1083"/>
      <c r="B12" s="1083"/>
      <c r="C12" s="1083"/>
      <c r="D12" s="1063"/>
      <c r="E12" s="1116"/>
      <c r="F12" s="1116"/>
      <c r="G12" s="1116"/>
      <c r="H12" s="1116"/>
      <c r="I12" s="1116"/>
      <c r="J12" s="1116"/>
      <c r="K12" s="1116"/>
      <c r="L12" s="1116"/>
      <c r="M12" s="1116"/>
      <c r="N12" s="1116"/>
      <c r="O12" s="1116"/>
      <c r="P12" s="1116"/>
      <c r="Q12" s="1064"/>
    </row>
    <row r="13" spans="1:17" hidden="1" x14ac:dyDescent="0.25">
      <c r="A13" s="742"/>
      <c r="B13" s="742"/>
      <c r="C13" s="742"/>
      <c r="D13" s="738"/>
      <c r="E13" s="738"/>
      <c r="F13" s="738"/>
      <c r="G13" s="738"/>
      <c r="H13" s="738"/>
      <c r="I13" s="738"/>
      <c r="J13" s="738"/>
      <c r="K13" s="738"/>
      <c r="L13" s="738"/>
      <c r="M13" s="738"/>
      <c r="N13" s="738"/>
      <c r="O13" s="738"/>
      <c r="P13" s="738"/>
      <c r="Q13" s="738"/>
    </row>
    <row r="14" spans="1:17" ht="15" hidden="1" x14ac:dyDescent="0.25">
      <c r="A14" s="1083"/>
      <c r="B14" s="1125"/>
      <c r="C14" s="1125"/>
      <c r="D14" s="1133"/>
      <c r="E14" s="1134"/>
      <c r="F14" s="1134"/>
      <c r="G14" s="1134"/>
      <c r="H14" s="1134"/>
      <c r="I14" s="1134"/>
      <c r="J14" s="1134"/>
      <c r="K14" s="1134"/>
      <c r="L14" s="1134"/>
      <c r="M14" s="1134"/>
      <c r="N14" s="1134"/>
      <c r="O14" s="1134"/>
      <c r="P14" s="1134"/>
      <c r="Q14" s="1135"/>
    </row>
    <row r="15" spans="1:17" hidden="1" x14ac:dyDescent="0.25">
      <c r="A15" s="742"/>
      <c r="B15" s="742"/>
      <c r="C15" s="742"/>
      <c r="D15" s="738"/>
      <c r="E15" s="738"/>
      <c r="F15" s="738"/>
      <c r="G15" s="738"/>
      <c r="H15" s="738"/>
      <c r="I15" s="738"/>
      <c r="J15" s="738"/>
      <c r="K15" s="738"/>
      <c r="L15" s="738"/>
      <c r="M15" s="738"/>
      <c r="N15" s="738"/>
      <c r="O15" s="738"/>
      <c r="P15" s="738"/>
      <c r="Q15" s="738"/>
    </row>
    <row r="16" spans="1:17" hidden="1" x14ac:dyDescent="0.25">
      <c r="A16" s="1126"/>
      <c r="B16" s="1127"/>
      <c r="C16" s="1127"/>
      <c r="D16" s="1132"/>
      <c r="E16" s="1132"/>
      <c r="F16" s="1132"/>
      <c r="G16" s="1132"/>
      <c r="H16" s="1132"/>
      <c r="I16" s="1132"/>
      <c r="J16" s="1136"/>
      <c r="K16" s="1136"/>
      <c r="L16" s="1136"/>
      <c r="M16" s="1136"/>
      <c r="N16" s="1136"/>
      <c r="O16" s="1137"/>
      <c r="P16" s="1138"/>
      <c r="Q16" s="1139"/>
    </row>
    <row r="17" spans="1:17" hidden="1" x14ac:dyDescent="0.25">
      <c r="A17" s="1128"/>
      <c r="B17" s="1129"/>
      <c r="C17" s="1129"/>
      <c r="D17" s="1132"/>
      <c r="E17" s="1132"/>
      <c r="F17" s="1132"/>
      <c r="G17" s="1132"/>
      <c r="H17" s="1132"/>
      <c r="I17" s="1132"/>
      <c r="J17" s="745"/>
      <c r="K17" s="746"/>
      <c r="L17" s="746"/>
      <c r="M17" s="747"/>
      <c r="N17" s="747"/>
      <c r="O17" s="746"/>
      <c r="P17" s="747"/>
      <c r="Q17" s="747"/>
    </row>
    <row r="18" spans="1:17" hidden="1" x14ac:dyDescent="0.25">
      <c r="A18" s="1130"/>
      <c r="B18" s="1131"/>
      <c r="C18" s="1131"/>
      <c r="D18" s="1132"/>
      <c r="E18" s="1132"/>
      <c r="F18" s="1132"/>
      <c r="G18" s="1132"/>
      <c r="H18" s="1132"/>
      <c r="I18" s="1132"/>
      <c r="J18" s="1132"/>
      <c r="K18" s="1132"/>
      <c r="L18" s="1132"/>
      <c r="M18" s="748"/>
      <c r="N18" s="748"/>
      <c r="O18" s="748"/>
      <c r="P18" s="1137"/>
      <c r="Q18" s="1139"/>
    </row>
    <row r="19" spans="1:17" hidden="1" x14ac:dyDescent="0.25">
      <c r="A19" s="742"/>
      <c r="B19" s="742"/>
      <c r="C19" s="742"/>
      <c r="D19" s="741"/>
      <c r="E19" s="741"/>
      <c r="F19" s="741"/>
      <c r="G19" s="741"/>
      <c r="H19" s="741"/>
      <c r="I19" s="741"/>
      <c r="J19" s="741"/>
      <c r="K19" s="741"/>
      <c r="L19" s="741"/>
      <c r="M19" s="741"/>
      <c r="N19" s="741"/>
      <c r="O19" s="741"/>
      <c r="P19" s="741"/>
      <c r="Q19" s="741"/>
    </row>
    <row r="20" spans="1:17" hidden="1" x14ac:dyDescent="0.25">
      <c r="A20" s="1083"/>
      <c r="B20" s="1083"/>
      <c r="C20" s="1083"/>
      <c r="D20" s="749"/>
      <c r="E20" s="731"/>
      <c r="F20" s="731"/>
      <c r="G20" s="731"/>
      <c r="H20" s="731"/>
      <c r="I20" s="731"/>
      <c r="J20" s="731"/>
      <c r="K20" s="731"/>
      <c r="L20" s="731"/>
      <c r="M20" s="731"/>
      <c r="N20" s="731"/>
      <c r="O20" s="731"/>
      <c r="P20" s="731"/>
      <c r="Q20" s="733"/>
    </row>
    <row r="21" spans="1:17" hidden="1" x14ac:dyDescent="0.25">
      <c r="A21" s="731"/>
      <c r="B21" s="731"/>
      <c r="C21" s="743"/>
      <c r="D21" s="743"/>
      <c r="E21" s="750"/>
      <c r="F21" s="750"/>
      <c r="G21" s="750"/>
      <c r="H21" s="750"/>
      <c r="I21" s="750"/>
      <c r="J21" s="750"/>
      <c r="K21" s="750"/>
      <c r="L21" s="750"/>
      <c r="M21" s="750"/>
      <c r="N21" s="750"/>
      <c r="O21" s="750"/>
      <c r="P21" s="750"/>
      <c r="Q21" s="733"/>
    </row>
    <row r="22" spans="1:17" hidden="1" x14ac:dyDescent="0.25">
      <c r="A22" s="1065"/>
      <c r="B22" s="1065"/>
      <c r="C22" s="1080"/>
      <c r="D22" s="751"/>
      <c r="E22" s="752"/>
      <c r="F22" s="752"/>
      <c r="G22" s="752"/>
      <c r="H22" s="752"/>
      <c r="I22" s="752"/>
      <c r="J22" s="752"/>
      <c r="K22" s="752"/>
      <c r="L22" s="752"/>
      <c r="M22" s="752"/>
      <c r="N22" s="752"/>
      <c r="O22" s="753"/>
      <c r="P22" s="1066"/>
      <c r="Q22" s="1068"/>
    </row>
    <row r="23" spans="1:17" hidden="1" x14ac:dyDescent="0.25">
      <c r="A23" s="731"/>
      <c r="B23" s="731"/>
      <c r="C23" s="754"/>
      <c r="D23" s="754"/>
      <c r="E23" s="750"/>
      <c r="F23" s="750"/>
      <c r="G23" s="750"/>
      <c r="H23" s="750"/>
      <c r="I23" s="750"/>
      <c r="J23" s="750"/>
      <c r="K23" s="750"/>
      <c r="L23" s="750"/>
      <c r="M23" s="750"/>
      <c r="N23" s="750"/>
      <c r="O23" s="750"/>
      <c r="P23" s="750"/>
      <c r="Q23" s="733"/>
    </row>
    <row r="24" spans="1:17" hidden="1" x14ac:dyDescent="0.25">
      <c r="A24" s="1083"/>
      <c r="B24" s="1083"/>
      <c r="C24" s="1085"/>
      <c r="D24" s="1060"/>
      <c r="E24" s="1061"/>
      <c r="F24" s="1061"/>
      <c r="G24" s="1061"/>
      <c r="H24" s="1061"/>
      <c r="I24" s="1061"/>
      <c r="J24" s="1061"/>
      <c r="K24" s="1061"/>
      <c r="L24" s="1061"/>
      <c r="M24" s="1061"/>
      <c r="N24" s="1061"/>
      <c r="O24" s="1061"/>
      <c r="P24" s="1061"/>
      <c r="Q24" s="1062"/>
    </row>
    <row r="25" spans="1:17" hidden="1" x14ac:dyDescent="0.25">
      <c r="A25" s="731"/>
      <c r="B25" s="731"/>
      <c r="C25" s="754"/>
      <c r="D25" s="754"/>
      <c r="E25" s="750"/>
      <c r="F25" s="750"/>
      <c r="G25" s="750"/>
      <c r="H25" s="750"/>
      <c r="I25" s="750"/>
      <c r="J25" s="750"/>
      <c r="K25" s="750"/>
      <c r="L25" s="750"/>
      <c r="M25" s="750"/>
      <c r="N25" s="750"/>
      <c r="O25" s="750"/>
      <c r="P25" s="750"/>
      <c r="Q25" s="733"/>
    </row>
    <row r="26" spans="1:17" hidden="1" x14ac:dyDescent="0.25">
      <c r="A26" s="1083"/>
      <c r="B26" s="1083"/>
      <c r="C26" s="1085"/>
      <c r="D26" s="1060"/>
      <c r="E26" s="1061"/>
      <c r="F26" s="1061"/>
      <c r="G26" s="1061"/>
      <c r="H26" s="1061"/>
      <c r="I26" s="1061"/>
      <c r="J26" s="1061"/>
      <c r="K26" s="1061"/>
      <c r="L26" s="1061"/>
      <c r="M26" s="1061"/>
      <c r="N26" s="1061"/>
      <c r="O26" s="1061"/>
      <c r="P26" s="1061"/>
      <c r="Q26" s="1062"/>
    </row>
    <row r="27" spans="1:17" hidden="1" x14ac:dyDescent="0.25">
      <c r="A27" s="731"/>
      <c r="B27" s="731"/>
      <c r="C27" s="754"/>
      <c r="D27" s="755"/>
      <c r="E27" s="750"/>
      <c r="F27" s="750"/>
      <c r="G27" s="750"/>
      <c r="H27" s="750"/>
      <c r="I27" s="750"/>
      <c r="J27" s="750"/>
      <c r="K27" s="750"/>
      <c r="L27" s="750"/>
      <c r="M27" s="750"/>
      <c r="N27" s="750"/>
      <c r="O27" s="750"/>
      <c r="P27" s="750"/>
      <c r="Q27" s="733"/>
    </row>
    <row r="28" spans="1:17" hidden="1" x14ac:dyDescent="0.25">
      <c r="A28" s="1065"/>
      <c r="B28" s="1065"/>
      <c r="C28" s="1080"/>
      <c r="D28" s="1061"/>
      <c r="E28" s="1061"/>
      <c r="F28" s="1061"/>
      <c r="G28" s="1062"/>
      <c r="H28" s="731"/>
      <c r="I28" s="756"/>
      <c r="J28" s="756"/>
      <c r="K28" s="756"/>
      <c r="L28" s="756"/>
      <c r="M28" s="756"/>
      <c r="N28" s="756"/>
      <c r="O28" s="1063"/>
      <c r="P28" s="1064"/>
      <c r="Q28" s="733"/>
    </row>
    <row r="29" spans="1:17" hidden="1" x14ac:dyDescent="0.25">
      <c r="A29" s="731"/>
      <c r="B29" s="731"/>
      <c r="C29" s="742"/>
      <c r="D29" s="757"/>
      <c r="E29" s="731"/>
      <c r="F29" s="731"/>
      <c r="G29" s="731"/>
      <c r="H29" s="731"/>
      <c r="I29" s="731"/>
      <c r="J29" s="731"/>
      <c r="K29" s="731"/>
      <c r="L29" s="731"/>
      <c r="M29" s="731"/>
      <c r="N29" s="731"/>
      <c r="O29" s="731"/>
      <c r="P29" s="731"/>
      <c r="Q29" s="733"/>
    </row>
    <row r="30" spans="1:17" hidden="1" x14ac:dyDescent="0.25">
      <c r="A30" s="1065"/>
      <c r="B30" s="1065"/>
      <c r="C30" s="1080"/>
      <c r="D30" s="1081"/>
      <c r="E30" s="1081"/>
      <c r="F30" s="1081"/>
      <c r="G30" s="1082"/>
      <c r="H30" s="731"/>
      <c r="I30" s="1065"/>
      <c r="J30" s="1065"/>
      <c r="K30" s="1065"/>
      <c r="L30" s="1065"/>
      <c r="M30" s="1065"/>
      <c r="N30" s="1066"/>
      <c r="O30" s="1067"/>
      <c r="P30" s="1068"/>
      <c r="Q30" s="733"/>
    </row>
    <row r="31" spans="1:17" hidden="1" x14ac:dyDescent="0.25">
      <c r="A31" s="758"/>
      <c r="B31" s="758"/>
      <c r="C31" s="758"/>
      <c r="D31" s="759"/>
      <c r="E31" s="758"/>
      <c r="F31" s="758"/>
      <c r="G31" s="758"/>
      <c r="H31" s="731"/>
      <c r="I31" s="758"/>
      <c r="J31" s="758"/>
      <c r="K31" s="758"/>
      <c r="L31" s="758"/>
      <c r="M31" s="758"/>
      <c r="N31" s="740"/>
      <c r="O31" s="740"/>
      <c r="P31" s="740"/>
      <c r="Q31" s="733"/>
    </row>
    <row r="32" spans="1:17" ht="15" hidden="1" x14ac:dyDescent="0.25">
      <c r="A32" s="731"/>
      <c r="B32" s="731"/>
      <c r="C32" s="760"/>
      <c r="D32" s="760"/>
      <c r="E32" s="731"/>
      <c r="F32" s="731"/>
      <c r="G32" s="731"/>
      <c r="H32" s="731"/>
      <c r="I32" s="731"/>
      <c r="J32" s="731"/>
      <c r="K32" s="731"/>
      <c r="L32" s="731"/>
      <c r="M32" s="731"/>
      <c r="N32" s="731"/>
      <c r="O32" s="731"/>
      <c r="P32" s="731"/>
      <c r="Q32" s="733"/>
    </row>
    <row r="33" spans="1:17" hidden="1" x14ac:dyDescent="0.25">
      <c r="A33" s="1083"/>
      <c r="B33" s="1083"/>
      <c r="C33" s="1083"/>
      <c r="D33" s="1084"/>
      <c r="E33" s="1084"/>
      <c r="F33" s="1084"/>
      <c r="G33" s="1084"/>
      <c r="H33" s="761"/>
      <c r="I33" s="731"/>
      <c r="J33" s="731"/>
      <c r="K33" s="731"/>
      <c r="L33" s="731"/>
      <c r="M33" s="731"/>
      <c r="N33" s="731"/>
      <c r="O33" s="731"/>
      <c r="P33" s="731"/>
      <c r="Q33" s="733"/>
    </row>
    <row r="34" spans="1:17" hidden="1" x14ac:dyDescent="0.25">
      <c r="A34" s="762"/>
      <c r="B34" s="762"/>
      <c r="C34" s="762"/>
      <c r="D34" s="744"/>
      <c r="E34" s="744"/>
      <c r="F34" s="744"/>
      <c r="G34" s="744"/>
      <c r="H34" s="731"/>
      <c r="I34" s="731"/>
      <c r="J34" s="731"/>
      <c r="K34" s="731"/>
      <c r="L34" s="731"/>
      <c r="M34" s="731"/>
      <c r="N34" s="731"/>
      <c r="O34" s="731"/>
      <c r="P34" s="731"/>
      <c r="Q34" s="733"/>
    </row>
    <row r="35" spans="1:17" hidden="1" x14ac:dyDescent="0.25">
      <c r="A35" s="1097"/>
      <c r="B35" s="1098"/>
      <c r="C35" s="1099"/>
      <c r="D35" s="1106"/>
      <c r="E35" s="1107"/>
      <c r="F35" s="1108"/>
      <c r="G35" s="1095"/>
      <c r="H35" s="1069"/>
      <c r="I35" s="1070"/>
      <c r="J35" s="1071"/>
      <c r="K35" s="763"/>
      <c r="L35" s="1069"/>
      <c r="M35" s="1070"/>
      <c r="N35" s="1071"/>
      <c r="O35" s="1092"/>
      <c r="P35" s="1072"/>
      <c r="Q35" s="733"/>
    </row>
    <row r="36" spans="1:17" hidden="1" x14ac:dyDescent="0.25">
      <c r="A36" s="1100"/>
      <c r="B36" s="1101"/>
      <c r="C36" s="1102"/>
      <c r="D36" s="1109"/>
      <c r="E36" s="1110"/>
      <c r="F36" s="1111"/>
      <c r="G36" s="1115"/>
      <c r="H36" s="1095"/>
      <c r="I36" s="1072"/>
      <c r="J36" s="1072"/>
      <c r="K36" s="764"/>
      <c r="L36" s="1075"/>
      <c r="M36" s="1072"/>
      <c r="N36" s="1075"/>
      <c r="O36" s="1093"/>
      <c r="P36" s="1073"/>
      <c r="Q36" s="733"/>
    </row>
    <row r="37" spans="1:17" hidden="1" x14ac:dyDescent="0.25">
      <c r="A37" s="1103"/>
      <c r="B37" s="1104"/>
      <c r="C37" s="1105"/>
      <c r="D37" s="1112"/>
      <c r="E37" s="1113"/>
      <c r="F37" s="1114"/>
      <c r="G37" s="1096"/>
      <c r="H37" s="1096"/>
      <c r="I37" s="1074"/>
      <c r="J37" s="1074"/>
      <c r="K37" s="765"/>
      <c r="L37" s="1076"/>
      <c r="M37" s="1074"/>
      <c r="N37" s="1076"/>
      <c r="O37" s="1094"/>
      <c r="P37" s="1074"/>
      <c r="Q37" s="733"/>
    </row>
    <row r="38" spans="1:17" hidden="1" x14ac:dyDescent="0.25">
      <c r="A38" s="1086"/>
      <c r="B38" s="1087"/>
      <c r="C38" s="1088"/>
      <c r="D38" s="1089"/>
      <c r="E38" s="1090"/>
      <c r="F38" s="1091"/>
      <c r="G38" s="766"/>
      <c r="H38" s="766"/>
      <c r="I38" s="766"/>
      <c r="J38" s="766"/>
      <c r="K38" s="766"/>
      <c r="L38" s="766"/>
      <c r="M38" s="766"/>
      <c r="N38" s="766"/>
      <c r="O38" s="766"/>
      <c r="P38" s="767"/>
      <c r="Q38" s="733"/>
    </row>
    <row r="39" spans="1:17" hidden="1" x14ac:dyDescent="0.2">
      <c r="A39" s="1086"/>
      <c r="B39" s="1087"/>
      <c r="C39" s="1088"/>
      <c r="D39" s="768"/>
      <c r="E39" s="768"/>
      <c r="F39" s="769"/>
      <c r="G39" s="766"/>
      <c r="H39" s="766"/>
      <c r="I39" s="770"/>
      <c r="J39" s="770"/>
      <c r="K39" s="770"/>
      <c r="L39" s="770"/>
      <c r="M39" s="770"/>
      <c r="N39" s="770"/>
      <c r="O39" s="770"/>
      <c r="P39" s="770"/>
      <c r="Q39" s="733"/>
    </row>
    <row r="40" spans="1:17" s="221" customFormat="1" hidden="1" x14ac:dyDescent="0.2">
      <c r="A40" s="1086"/>
      <c r="B40" s="1087"/>
      <c r="C40" s="1088"/>
      <c r="D40" s="768"/>
      <c r="E40" s="768"/>
      <c r="F40" s="769"/>
      <c r="G40" s="770"/>
      <c r="H40" s="770"/>
      <c r="I40" s="770"/>
      <c r="J40" s="770"/>
      <c r="K40" s="770"/>
      <c r="L40" s="770"/>
      <c r="M40" s="770"/>
      <c r="N40" s="770"/>
      <c r="O40" s="770"/>
      <c r="P40" s="770"/>
      <c r="Q40" s="733"/>
    </row>
    <row r="41" spans="1:17" hidden="1" x14ac:dyDescent="0.25">
      <c r="A41" s="733"/>
      <c r="B41" s="733"/>
      <c r="C41" s="771"/>
      <c r="D41" s="771"/>
      <c r="E41" s="772"/>
      <c r="F41" s="772"/>
      <c r="G41" s="772"/>
      <c r="H41" s="733"/>
      <c r="I41" s="733"/>
      <c r="J41" s="733"/>
      <c r="K41" s="733"/>
      <c r="L41" s="733"/>
      <c r="M41" s="733"/>
      <c r="N41" s="733"/>
      <c r="O41" s="733"/>
      <c r="P41" s="733"/>
      <c r="Q41" s="733"/>
    </row>
    <row r="42" spans="1:17" hidden="1" x14ac:dyDescent="0.25">
      <c r="A42" s="733"/>
      <c r="B42" s="733"/>
      <c r="C42" s="1077"/>
      <c r="D42" s="1078"/>
      <c r="E42" s="1078"/>
      <c r="F42" s="1078"/>
      <c r="G42" s="1078"/>
      <c r="H42" s="1078"/>
      <c r="I42" s="1078"/>
      <c r="J42" s="1078"/>
      <c r="K42" s="1078"/>
      <c r="L42" s="1078"/>
      <c r="M42" s="1078"/>
      <c r="N42" s="1078"/>
      <c r="O42" s="1079"/>
      <c r="P42" s="733"/>
      <c r="Q42" s="733"/>
    </row>
    <row r="43" spans="1:17" hidden="1" x14ac:dyDescent="0.25">
      <c r="A43" s="733"/>
      <c r="B43" s="733"/>
      <c r="C43" s="773"/>
      <c r="D43" s="1141"/>
      <c r="E43" s="1141"/>
      <c r="F43" s="1141"/>
      <c r="G43" s="773"/>
      <c r="H43" s="774"/>
      <c r="I43" s="774"/>
      <c r="J43" s="774"/>
      <c r="K43" s="774"/>
      <c r="L43" s="774"/>
      <c r="M43" s="774"/>
      <c r="N43" s="773"/>
      <c r="O43" s="774"/>
      <c r="P43" s="733"/>
      <c r="Q43" s="733"/>
    </row>
    <row r="44" spans="1:17" hidden="1" x14ac:dyDescent="0.25">
      <c r="A44" s="733"/>
      <c r="B44" s="733"/>
      <c r="C44" s="775"/>
      <c r="D44" s="1077"/>
      <c r="E44" s="1078"/>
      <c r="F44" s="1079"/>
      <c r="G44" s="776"/>
      <c r="H44" s="777"/>
      <c r="I44" s="777"/>
      <c r="J44" s="777"/>
      <c r="K44" s="777"/>
      <c r="L44" s="777"/>
      <c r="M44" s="777"/>
      <c r="N44" s="777"/>
      <c r="O44" s="777"/>
      <c r="P44" s="733"/>
      <c r="Q44" s="733"/>
    </row>
    <row r="45" spans="1:17" hidden="1" x14ac:dyDescent="0.25">
      <c r="A45" s="733"/>
      <c r="B45" s="733"/>
      <c r="C45" s="775"/>
      <c r="D45" s="1077"/>
      <c r="E45" s="1078"/>
      <c r="F45" s="1079"/>
      <c r="G45" s="776"/>
      <c r="H45" s="777"/>
      <c r="I45" s="777"/>
      <c r="J45" s="777"/>
      <c r="K45" s="777"/>
      <c r="L45" s="777"/>
      <c r="M45" s="777"/>
      <c r="N45" s="777"/>
      <c r="O45" s="777"/>
      <c r="P45" s="733"/>
      <c r="Q45" s="733"/>
    </row>
    <row r="46" spans="1:17" hidden="1" x14ac:dyDescent="0.25">
      <c r="A46" s="733"/>
      <c r="B46" s="733"/>
      <c r="C46" s="775"/>
      <c r="D46" s="1077"/>
      <c r="E46" s="1078"/>
      <c r="F46" s="1079"/>
      <c r="G46" s="778"/>
      <c r="H46" s="778"/>
      <c r="I46" s="778"/>
      <c r="J46" s="778"/>
      <c r="K46" s="778"/>
      <c r="L46" s="778"/>
      <c r="M46" s="778"/>
      <c r="N46" s="777"/>
      <c r="O46" s="777"/>
      <c r="P46" s="733"/>
      <c r="Q46" s="733"/>
    </row>
    <row r="47" spans="1:17" hidden="1" x14ac:dyDescent="0.25">
      <c r="A47" s="733"/>
      <c r="B47" s="733"/>
      <c r="C47" s="758"/>
      <c r="D47" s="740"/>
      <c r="E47" s="740"/>
      <c r="F47" s="740"/>
      <c r="G47" s="779"/>
      <c r="H47" s="731"/>
      <c r="I47" s="731"/>
      <c r="J47" s="731"/>
      <c r="K47" s="731"/>
      <c r="L47" s="731"/>
      <c r="M47" s="731"/>
      <c r="N47" s="731"/>
      <c r="O47" s="731"/>
      <c r="P47" s="733"/>
      <c r="Q47" s="733"/>
    </row>
    <row r="48" spans="1:17" hidden="1" x14ac:dyDescent="0.25">
      <c r="A48" s="733"/>
      <c r="B48" s="733"/>
      <c r="C48" s="1065"/>
      <c r="D48" s="1065"/>
      <c r="E48" s="1065"/>
      <c r="F48" s="1065"/>
      <c r="G48" s="1065"/>
      <c r="H48" s="1065"/>
      <c r="I48" s="1065"/>
      <c r="J48" s="1065"/>
      <c r="K48" s="1065"/>
      <c r="L48" s="1065"/>
      <c r="M48" s="1065"/>
      <c r="N48" s="1065"/>
      <c r="O48" s="1065"/>
      <c r="P48" s="733"/>
      <c r="Q48" s="733"/>
    </row>
    <row r="49" spans="1:17" hidden="1" x14ac:dyDescent="0.25">
      <c r="A49" s="733"/>
      <c r="B49" s="733"/>
      <c r="C49" s="733"/>
      <c r="D49" s="733"/>
      <c r="E49" s="733"/>
      <c r="F49" s="733"/>
      <c r="G49" s="733"/>
      <c r="H49" s="733"/>
      <c r="I49" s="733"/>
      <c r="J49" s="733"/>
      <c r="K49" s="733"/>
      <c r="L49" s="733"/>
      <c r="M49" s="733"/>
      <c r="N49" s="733"/>
      <c r="O49" s="733"/>
      <c r="P49" s="733"/>
      <c r="Q49" s="733"/>
    </row>
    <row r="50" spans="1:17" hidden="1" x14ac:dyDescent="0.25">
      <c r="A50" s="733"/>
      <c r="B50" s="733"/>
      <c r="C50" s="1140"/>
      <c r="D50" s="1140"/>
      <c r="E50" s="1140"/>
      <c r="F50" s="1140"/>
      <c r="G50" s="1140"/>
      <c r="H50" s="733"/>
      <c r="I50" s="733"/>
      <c r="J50" s="733"/>
      <c r="K50" s="733"/>
      <c r="L50" s="733"/>
      <c r="M50" s="733"/>
      <c r="N50" s="733"/>
      <c r="O50" s="733"/>
      <c r="P50" s="733"/>
      <c r="Q50" s="733"/>
    </row>
    <row r="51" spans="1:17" hidden="1" x14ac:dyDescent="0.25">
      <c r="A51" s="733"/>
      <c r="B51" s="733"/>
      <c r="C51" s="733"/>
      <c r="D51" s="733"/>
      <c r="E51" s="733"/>
      <c r="F51" s="733"/>
      <c r="G51" s="733"/>
      <c r="H51" s="733"/>
      <c r="I51" s="733"/>
      <c r="J51" s="733"/>
      <c r="K51" s="733"/>
      <c r="L51" s="733"/>
      <c r="M51" s="733"/>
      <c r="N51" s="733"/>
      <c r="O51" s="733"/>
      <c r="P51" s="733"/>
      <c r="Q51" s="733"/>
    </row>
    <row r="52" spans="1:17" hidden="1" x14ac:dyDescent="0.25">
      <c r="A52" s="733"/>
      <c r="B52" s="733"/>
      <c r="C52" s="1142"/>
      <c r="D52" s="1142"/>
      <c r="E52" s="1142"/>
      <c r="F52" s="1142"/>
      <c r="G52" s="1142"/>
      <c r="H52" s="1142"/>
      <c r="I52" s="1142"/>
      <c r="J52" s="1142"/>
      <c r="K52" s="1142"/>
      <c r="L52" s="1142"/>
      <c r="M52" s="1142"/>
      <c r="N52" s="1142"/>
      <c r="O52" s="1142"/>
      <c r="P52" s="1142"/>
      <c r="Q52" s="733"/>
    </row>
    <row r="53" spans="1:17" hidden="1" x14ac:dyDescent="0.25">
      <c r="A53" s="733"/>
      <c r="B53" s="733"/>
      <c r="C53" s="1142"/>
      <c r="D53" s="1142"/>
      <c r="E53" s="1142"/>
      <c r="F53" s="1142"/>
      <c r="G53" s="1142"/>
      <c r="H53" s="1142"/>
      <c r="I53" s="1142"/>
      <c r="J53" s="1142"/>
      <c r="K53" s="1142"/>
      <c r="L53" s="1142"/>
      <c r="M53" s="1142"/>
      <c r="N53" s="1142"/>
      <c r="O53" s="1142"/>
      <c r="P53" s="1142"/>
      <c r="Q53" s="733"/>
    </row>
    <row r="54" spans="1:17" hidden="1" x14ac:dyDescent="0.25">
      <c r="A54" s="733"/>
      <c r="B54" s="733"/>
      <c r="C54" s="1142"/>
      <c r="D54" s="1142"/>
      <c r="E54" s="1142"/>
      <c r="F54" s="1142"/>
      <c r="G54" s="1142"/>
      <c r="H54" s="1142"/>
      <c r="I54" s="1142"/>
      <c r="J54" s="1142"/>
      <c r="K54" s="1142"/>
      <c r="L54" s="1142"/>
      <c r="M54" s="1142"/>
      <c r="N54" s="1142"/>
      <c r="O54" s="1142"/>
      <c r="P54" s="1142"/>
      <c r="Q54" s="733"/>
    </row>
    <row r="55" spans="1:17" hidden="1" x14ac:dyDescent="0.25">
      <c r="A55" s="733"/>
      <c r="B55" s="733"/>
      <c r="C55" s="733"/>
      <c r="D55" s="733"/>
      <c r="E55" s="733"/>
      <c r="F55" s="733"/>
      <c r="G55" s="733"/>
      <c r="H55" s="733"/>
      <c r="I55" s="733"/>
      <c r="J55" s="733"/>
      <c r="K55" s="733"/>
      <c r="L55" s="733"/>
      <c r="M55" s="733"/>
      <c r="N55" s="733"/>
      <c r="O55" s="733"/>
      <c r="P55" s="733"/>
      <c r="Q55" s="733"/>
    </row>
    <row r="56" spans="1:17" hidden="1" x14ac:dyDescent="0.25">
      <c r="A56" s="733"/>
      <c r="B56" s="733"/>
      <c r="C56" s="733"/>
      <c r="D56" s="733"/>
      <c r="E56" s="733"/>
      <c r="F56" s="733"/>
      <c r="G56" s="733"/>
      <c r="H56" s="733"/>
      <c r="I56" s="733"/>
      <c r="J56" s="733"/>
      <c r="K56" s="733"/>
      <c r="L56" s="733"/>
      <c r="M56" s="733"/>
      <c r="N56" s="733"/>
      <c r="O56" s="733"/>
      <c r="P56" s="733"/>
      <c r="Q56" s="733"/>
    </row>
    <row r="57" spans="1:17" hidden="1" x14ac:dyDescent="0.25">
      <c r="A57" s="733"/>
      <c r="B57" s="733"/>
      <c r="C57" s="733"/>
      <c r="D57" s="733"/>
      <c r="E57" s="733"/>
      <c r="F57" s="733"/>
      <c r="G57" s="733"/>
      <c r="H57" s="733"/>
      <c r="I57" s="733"/>
      <c r="J57" s="733"/>
      <c r="K57" s="733"/>
      <c r="L57" s="733"/>
      <c r="M57" s="733"/>
      <c r="N57" s="733"/>
      <c r="O57" s="733"/>
      <c r="P57" s="733"/>
      <c r="Q57" s="733"/>
    </row>
    <row r="58" spans="1:17" hidden="1" x14ac:dyDescent="0.25">
      <c r="A58" s="733"/>
      <c r="B58" s="733"/>
      <c r="C58" s="733"/>
      <c r="D58" s="733"/>
      <c r="E58" s="733"/>
      <c r="F58" s="733"/>
      <c r="G58" s="733"/>
      <c r="H58" s="733"/>
      <c r="I58" s="733"/>
      <c r="J58" s="733"/>
      <c r="K58" s="733"/>
      <c r="L58" s="733"/>
      <c r="M58" s="733"/>
      <c r="N58" s="733"/>
      <c r="O58" s="733"/>
      <c r="P58" s="733"/>
      <c r="Q58" s="733"/>
    </row>
    <row r="59" spans="1:17" hidden="1" x14ac:dyDescent="0.25">
      <c r="A59" s="733"/>
      <c r="B59" s="733"/>
      <c r="C59" s="733"/>
      <c r="D59" s="733"/>
      <c r="E59" s="733"/>
      <c r="F59" s="733"/>
      <c r="G59" s="733"/>
      <c r="H59" s="733"/>
      <c r="I59" s="733"/>
      <c r="J59" s="733"/>
      <c r="K59" s="733"/>
      <c r="L59" s="733"/>
      <c r="M59" s="733"/>
      <c r="N59" s="733"/>
      <c r="O59" s="733"/>
      <c r="P59" s="733"/>
      <c r="Q59" s="733"/>
    </row>
    <row r="60" spans="1:17" hidden="1" x14ac:dyDescent="0.25">
      <c r="A60" s="733"/>
      <c r="B60" s="733"/>
      <c r="C60" s="733"/>
      <c r="D60" s="733"/>
      <c r="E60" s="733"/>
      <c r="F60" s="733"/>
      <c r="G60" s="733"/>
      <c r="H60" s="733"/>
      <c r="I60" s="733"/>
      <c r="J60" s="733"/>
      <c r="K60" s="733"/>
      <c r="L60" s="733"/>
      <c r="M60" s="733"/>
      <c r="N60" s="733"/>
      <c r="O60" s="733"/>
      <c r="P60" s="733"/>
      <c r="Q60" s="733"/>
    </row>
    <row r="61" spans="1:17" hidden="1" x14ac:dyDescent="0.25">
      <c r="A61" s="1143"/>
      <c r="B61" s="1143"/>
      <c r="C61" s="1143"/>
      <c r="D61" s="1143"/>
      <c r="E61" s="1143"/>
      <c r="F61" s="1143"/>
      <c r="G61" s="1143"/>
      <c r="H61" s="1143"/>
      <c r="I61" s="1143"/>
      <c r="J61" s="1143"/>
      <c r="K61" s="1143"/>
      <c r="L61" s="1143"/>
      <c r="M61" s="1143"/>
      <c r="N61" s="1143"/>
      <c r="O61" s="1143"/>
      <c r="P61" s="1143"/>
      <c r="Q61" s="733"/>
    </row>
    <row r="62" spans="1:17" hidden="1" x14ac:dyDescent="0.25">
      <c r="A62" s="733"/>
      <c r="B62" s="733"/>
      <c r="C62" s="733"/>
      <c r="D62" s="733"/>
      <c r="E62" s="733"/>
      <c r="F62" s="733"/>
      <c r="G62" s="733"/>
      <c r="H62" s="733"/>
      <c r="I62" s="733"/>
      <c r="J62" s="733"/>
      <c r="K62" s="733"/>
      <c r="L62" s="733"/>
      <c r="M62" s="733"/>
      <c r="N62" s="733"/>
      <c r="O62" s="733"/>
      <c r="P62" s="733"/>
      <c r="Q62" s="733"/>
    </row>
    <row r="63" spans="1:17" ht="15" hidden="1" x14ac:dyDescent="0.25">
      <c r="A63" s="733"/>
      <c r="B63" s="733"/>
      <c r="C63" s="733"/>
      <c r="D63" s="733"/>
      <c r="E63" s="733"/>
      <c r="F63" s="1144"/>
      <c r="G63" s="1143"/>
      <c r="H63" s="1143"/>
      <c r="I63" s="1143"/>
      <c r="J63" s="1143"/>
      <c r="K63" s="1143"/>
      <c r="L63" s="1143"/>
      <c r="M63" s="733"/>
      <c r="N63" s="733"/>
      <c r="O63" s="733"/>
      <c r="P63" s="733"/>
      <c r="Q63" s="733"/>
    </row>
    <row r="64" spans="1:17" hidden="1" x14ac:dyDescent="0.25">
      <c r="A64" s="733"/>
      <c r="B64" s="733"/>
      <c r="C64" s="733"/>
      <c r="D64" s="733"/>
      <c r="E64" s="733"/>
      <c r="F64" s="733"/>
      <c r="G64" s="733"/>
      <c r="H64" s="733"/>
      <c r="I64" s="733"/>
      <c r="J64" s="733"/>
      <c r="K64" s="733"/>
      <c r="L64" s="733"/>
      <c r="M64" s="733"/>
      <c r="N64" s="733"/>
      <c r="O64" s="733"/>
      <c r="P64" s="733"/>
      <c r="Q64" s="733"/>
    </row>
    <row r="65" spans="1:17" hidden="1" x14ac:dyDescent="0.25">
      <c r="A65" s="733"/>
      <c r="B65" s="733"/>
      <c r="C65" s="733"/>
      <c r="D65" s="733"/>
      <c r="E65" s="733"/>
      <c r="F65" s="733"/>
      <c r="G65" s="733"/>
      <c r="H65" s="733"/>
      <c r="I65" s="733"/>
      <c r="J65" s="733"/>
      <c r="K65" s="733"/>
      <c r="L65" s="733"/>
      <c r="M65" s="733"/>
      <c r="N65" s="733"/>
      <c r="O65" s="733"/>
      <c r="P65" s="733"/>
      <c r="Q65" s="733"/>
    </row>
    <row r="66" spans="1:17" hidden="1" x14ac:dyDescent="0.25">
      <c r="A66" s="780"/>
      <c r="B66" s="733"/>
      <c r="C66" s="733"/>
      <c r="D66" s="733"/>
      <c r="E66" s="733"/>
      <c r="F66" s="733"/>
      <c r="G66" s="733"/>
      <c r="H66" s="733"/>
      <c r="I66" s="733"/>
      <c r="J66" s="733"/>
      <c r="K66" s="733"/>
      <c r="L66" s="733"/>
      <c r="M66" s="733"/>
      <c r="N66" s="733"/>
      <c r="O66" s="733"/>
      <c r="P66" s="733"/>
      <c r="Q66" s="733"/>
    </row>
    <row r="67" spans="1:17" hidden="1" x14ac:dyDescent="0.25">
      <c r="A67" s="780"/>
      <c r="B67" s="733"/>
      <c r="C67" s="733"/>
      <c r="D67" s="733"/>
      <c r="E67" s="733"/>
      <c r="F67" s="733"/>
      <c r="G67" s="733"/>
      <c r="H67" s="733"/>
      <c r="I67" s="733"/>
      <c r="J67" s="733"/>
      <c r="K67" s="733"/>
      <c r="L67" s="733"/>
      <c r="M67" s="733"/>
      <c r="N67" s="733"/>
      <c r="O67" s="733"/>
      <c r="P67" s="733"/>
      <c r="Q67" s="733"/>
    </row>
    <row r="68" spans="1:17" hidden="1" x14ac:dyDescent="0.25">
      <c r="A68" s="781"/>
      <c r="B68" s="733"/>
      <c r="C68" s="733"/>
      <c r="D68" s="733"/>
      <c r="E68" s="733"/>
      <c r="F68" s="733"/>
      <c r="G68" s="733"/>
      <c r="H68" s="733"/>
      <c r="I68" s="733"/>
      <c r="J68" s="733"/>
      <c r="K68" s="733"/>
      <c r="L68" s="733"/>
      <c r="M68" s="733"/>
      <c r="N68" s="733"/>
      <c r="O68" s="733"/>
      <c r="P68" s="733"/>
      <c r="Q68" s="733"/>
    </row>
    <row r="69" spans="1:17" hidden="1" x14ac:dyDescent="0.25">
      <c r="A69" s="781"/>
      <c r="B69" s="733"/>
      <c r="C69" s="733"/>
      <c r="D69" s="733"/>
      <c r="E69" s="733"/>
      <c r="F69" s="733"/>
      <c r="G69" s="733"/>
      <c r="H69" s="733"/>
      <c r="I69" s="733"/>
      <c r="J69" s="733"/>
      <c r="K69" s="733"/>
      <c r="L69" s="733"/>
      <c r="M69" s="733"/>
      <c r="N69" s="733"/>
      <c r="O69" s="733"/>
      <c r="P69" s="733"/>
      <c r="Q69" s="733"/>
    </row>
    <row r="70" spans="1:17" hidden="1" x14ac:dyDescent="0.25">
      <c r="A70" s="733"/>
      <c r="B70" s="733"/>
      <c r="C70" s="733"/>
      <c r="D70" s="733"/>
      <c r="E70" s="733"/>
      <c r="F70" s="733"/>
      <c r="G70" s="733"/>
      <c r="H70" s="733"/>
      <c r="I70" s="733"/>
      <c r="J70" s="733"/>
      <c r="K70" s="733"/>
      <c r="L70" s="733"/>
      <c r="M70" s="733"/>
      <c r="N70" s="733"/>
      <c r="O70" s="733"/>
      <c r="P70" s="733"/>
      <c r="Q70" s="733"/>
    </row>
    <row r="71" spans="1:17" hidden="1" x14ac:dyDescent="0.25">
      <c r="A71" s="733"/>
      <c r="B71" s="733"/>
      <c r="C71" s="733"/>
      <c r="D71" s="733"/>
      <c r="E71" s="733"/>
      <c r="F71" s="733"/>
      <c r="G71" s="733"/>
      <c r="H71" s="733"/>
      <c r="I71" s="733"/>
      <c r="J71" s="733"/>
      <c r="K71" s="733"/>
      <c r="L71" s="733"/>
      <c r="M71" s="733"/>
      <c r="N71" s="733"/>
      <c r="O71" s="733"/>
      <c r="P71" s="733"/>
      <c r="Q71" s="733"/>
    </row>
    <row r="72" spans="1:17" hidden="1" x14ac:dyDescent="0.25">
      <c r="A72" s="733"/>
      <c r="B72" s="733"/>
      <c r="C72" s="733"/>
      <c r="D72" s="733"/>
      <c r="E72" s="733"/>
      <c r="F72" s="733"/>
      <c r="G72" s="733"/>
      <c r="H72" s="733"/>
      <c r="I72" s="733"/>
      <c r="J72" s="733"/>
      <c r="K72" s="733"/>
      <c r="L72" s="733"/>
      <c r="M72" s="733"/>
      <c r="N72" s="733"/>
      <c r="O72" s="733"/>
      <c r="P72" s="733"/>
      <c r="Q72" s="733"/>
    </row>
    <row r="73" spans="1:17" hidden="1" x14ac:dyDescent="0.25">
      <c r="A73" s="733"/>
      <c r="B73" s="733"/>
      <c r="C73" s="733"/>
      <c r="D73" s="733"/>
      <c r="E73" s="733"/>
      <c r="F73" s="733"/>
      <c r="G73" s="733"/>
      <c r="H73" s="733"/>
      <c r="I73" s="733"/>
      <c r="J73" s="733"/>
      <c r="K73" s="733"/>
      <c r="L73" s="733"/>
      <c r="M73" s="733"/>
      <c r="N73" s="733"/>
      <c r="O73" s="733"/>
      <c r="P73" s="733"/>
      <c r="Q73" s="733"/>
    </row>
    <row r="74" spans="1:17" hidden="1" x14ac:dyDescent="0.25">
      <c r="A74" s="733"/>
      <c r="B74" s="733"/>
      <c r="C74" s="733"/>
      <c r="D74" s="733"/>
      <c r="E74" s="733"/>
      <c r="F74" s="733"/>
      <c r="G74" s="733"/>
      <c r="H74" s="733"/>
      <c r="I74" s="733"/>
      <c r="J74" s="733"/>
      <c r="K74" s="733"/>
      <c r="L74" s="733"/>
      <c r="M74" s="733"/>
      <c r="N74" s="733"/>
      <c r="O74" s="733"/>
      <c r="P74" s="733"/>
      <c r="Q74" s="733"/>
    </row>
    <row r="75" spans="1:17" hidden="1" x14ac:dyDescent="0.25">
      <c r="A75" s="733"/>
      <c r="B75" s="733"/>
      <c r="C75" s="733"/>
      <c r="D75" s="733"/>
      <c r="E75" s="733"/>
      <c r="F75" s="733"/>
      <c r="G75" s="733"/>
      <c r="H75" s="733"/>
      <c r="I75" s="733"/>
      <c r="J75" s="733"/>
      <c r="K75" s="733"/>
      <c r="L75" s="733"/>
      <c r="M75" s="733"/>
      <c r="N75" s="733"/>
      <c r="O75" s="733"/>
      <c r="P75" s="733"/>
      <c r="Q75" s="733"/>
    </row>
    <row r="76" spans="1:17" hidden="1" x14ac:dyDescent="0.25">
      <c r="A76" s="733"/>
      <c r="B76" s="733"/>
      <c r="C76" s="733"/>
      <c r="D76" s="733"/>
      <c r="E76" s="733"/>
      <c r="F76" s="733"/>
      <c r="G76" s="733"/>
      <c r="H76" s="733"/>
      <c r="I76" s="733"/>
      <c r="J76" s="733"/>
      <c r="K76" s="733"/>
      <c r="L76" s="733"/>
      <c r="M76" s="733"/>
      <c r="N76" s="733"/>
      <c r="O76" s="733"/>
      <c r="P76" s="733"/>
      <c r="Q76" s="733"/>
    </row>
    <row r="77" spans="1:17" hidden="1" x14ac:dyDescent="0.25">
      <c r="A77" s="733"/>
      <c r="B77" s="733"/>
      <c r="C77" s="733"/>
      <c r="D77" s="733"/>
      <c r="E77" s="733"/>
      <c r="F77" s="733"/>
      <c r="G77" s="733"/>
      <c r="H77" s="733"/>
      <c r="I77" s="733"/>
      <c r="J77" s="733"/>
      <c r="K77" s="733"/>
      <c r="L77" s="733"/>
      <c r="M77" s="733"/>
      <c r="N77" s="733"/>
      <c r="O77" s="733"/>
      <c r="P77" s="733"/>
      <c r="Q77" s="733"/>
    </row>
    <row r="78" spans="1:17" hidden="1" x14ac:dyDescent="0.25">
      <c r="A78" s="733"/>
      <c r="B78" s="733"/>
      <c r="C78" s="733"/>
      <c r="D78" s="733"/>
      <c r="E78" s="733"/>
      <c r="F78" s="733"/>
      <c r="G78" s="733"/>
      <c r="H78" s="733"/>
      <c r="I78" s="782"/>
      <c r="J78" s="783"/>
      <c r="K78" s="783"/>
      <c r="L78" s="1146"/>
      <c r="M78" s="1146"/>
      <c r="N78" s="733"/>
      <c r="O78" s="733"/>
      <c r="P78" s="733"/>
      <c r="Q78" s="733"/>
    </row>
    <row r="79" spans="1:17" hidden="1" x14ac:dyDescent="0.25">
      <c r="A79" s="733"/>
      <c r="B79" s="733"/>
      <c r="C79" s="733"/>
      <c r="D79" s="733"/>
      <c r="E79" s="733"/>
      <c r="F79" s="733"/>
      <c r="G79" s="733"/>
      <c r="H79" s="733"/>
      <c r="I79" s="782"/>
      <c r="J79" s="783"/>
      <c r="K79" s="783"/>
      <c r="L79" s="733"/>
      <c r="M79" s="733"/>
      <c r="N79" s="733"/>
      <c r="O79" s="733"/>
      <c r="P79" s="733"/>
      <c r="Q79" s="733"/>
    </row>
    <row r="80" spans="1:17" hidden="1" x14ac:dyDescent="0.25">
      <c r="A80" s="1142"/>
      <c r="B80" s="1142"/>
      <c r="C80" s="1142"/>
      <c r="D80" s="733"/>
      <c r="E80" s="733"/>
      <c r="F80" s="733"/>
      <c r="G80" s="733"/>
      <c r="H80" s="733"/>
      <c r="I80" s="733"/>
      <c r="J80" s="733"/>
      <c r="K80" s="733"/>
      <c r="L80" s="733"/>
      <c r="M80" s="733"/>
      <c r="N80" s="733"/>
      <c r="O80" s="733"/>
      <c r="P80" s="733"/>
      <c r="Q80" s="733"/>
    </row>
    <row r="81" spans="1:17" hidden="1" x14ac:dyDescent="0.25">
      <c r="A81" s="733"/>
      <c r="B81" s="733"/>
      <c r="C81" s="733"/>
      <c r="D81" s="733"/>
      <c r="E81" s="733"/>
      <c r="F81" s="733"/>
      <c r="G81" s="733"/>
      <c r="H81" s="733"/>
      <c r="I81" s="733"/>
      <c r="J81" s="733"/>
      <c r="K81" s="733"/>
      <c r="L81" s="733"/>
      <c r="M81" s="733"/>
      <c r="N81" s="733"/>
      <c r="O81" s="733"/>
      <c r="P81" s="733"/>
      <c r="Q81" s="733"/>
    </row>
    <row r="82" spans="1:17" hidden="1" x14ac:dyDescent="0.25">
      <c r="A82" s="1147"/>
      <c r="B82" s="1148"/>
      <c r="C82" s="1148"/>
      <c r="D82" s="1148"/>
      <c r="E82" s="1148"/>
      <c r="F82" s="1148"/>
      <c r="G82" s="1148"/>
      <c r="H82" s="1148"/>
      <c r="I82" s="1148"/>
      <c r="J82" s="1148"/>
      <c r="K82" s="1148"/>
      <c r="L82" s="1148"/>
      <c r="M82" s="1148"/>
      <c r="N82" s="1148"/>
      <c r="O82" s="1148"/>
      <c r="P82" s="1149"/>
      <c r="Q82" s="733"/>
    </row>
    <row r="83" spans="1:17" hidden="1" x14ac:dyDescent="0.25">
      <c r="A83" s="1150"/>
      <c r="B83" s="1151"/>
      <c r="C83" s="1151"/>
      <c r="D83" s="1151"/>
      <c r="E83" s="1151"/>
      <c r="F83" s="1151"/>
      <c r="G83" s="1151"/>
      <c r="H83" s="1151"/>
      <c r="I83" s="1151"/>
      <c r="J83" s="1151"/>
      <c r="K83" s="1151"/>
      <c r="L83" s="1151"/>
      <c r="M83" s="1151"/>
      <c r="N83" s="1151"/>
      <c r="O83" s="1151"/>
      <c r="P83" s="1152"/>
      <c r="Q83" s="733"/>
    </row>
    <row r="84" spans="1:17" hidden="1" x14ac:dyDescent="0.25">
      <c r="A84" s="1150"/>
      <c r="B84" s="1151"/>
      <c r="C84" s="1151"/>
      <c r="D84" s="1151"/>
      <c r="E84" s="1151"/>
      <c r="F84" s="1151"/>
      <c r="G84" s="1151"/>
      <c r="H84" s="1151"/>
      <c r="I84" s="1151"/>
      <c r="J84" s="1151"/>
      <c r="K84" s="1151"/>
      <c r="L84" s="1151"/>
      <c r="M84" s="1151"/>
      <c r="N84" s="1151"/>
      <c r="O84" s="1151"/>
      <c r="P84" s="1152"/>
      <c r="Q84" s="733"/>
    </row>
    <row r="85" spans="1:17" hidden="1" x14ac:dyDescent="0.25">
      <c r="A85" s="1150"/>
      <c r="B85" s="1151"/>
      <c r="C85" s="1151"/>
      <c r="D85" s="1151"/>
      <c r="E85" s="1151"/>
      <c r="F85" s="1151"/>
      <c r="G85" s="1151"/>
      <c r="H85" s="1151"/>
      <c r="I85" s="1151"/>
      <c r="J85" s="1151"/>
      <c r="K85" s="1151"/>
      <c r="L85" s="1151"/>
      <c r="M85" s="1151"/>
      <c r="N85" s="1151"/>
      <c r="O85" s="1151"/>
      <c r="P85" s="1152"/>
      <c r="Q85" s="733"/>
    </row>
    <row r="86" spans="1:17" hidden="1" x14ac:dyDescent="0.25">
      <c r="A86" s="1153"/>
      <c r="B86" s="1154"/>
      <c r="C86" s="1154"/>
      <c r="D86" s="1154"/>
      <c r="E86" s="1154"/>
      <c r="F86" s="1154"/>
      <c r="G86" s="1154"/>
      <c r="H86" s="1154"/>
      <c r="I86" s="1154"/>
      <c r="J86" s="1154"/>
      <c r="K86" s="1154"/>
      <c r="L86" s="1154"/>
      <c r="M86" s="1154"/>
      <c r="N86" s="1154"/>
      <c r="O86" s="1154"/>
      <c r="P86" s="1155"/>
      <c r="Q86" s="733"/>
    </row>
    <row r="87" spans="1:17" hidden="1" x14ac:dyDescent="0.25">
      <c r="A87" s="733"/>
      <c r="B87" s="733"/>
      <c r="C87" s="733"/>
      <c r="D87" s="733"/>
      <c r="E87" s="733"/>
      <c r="F87" s="733"/>
      <c r="G87" s="733"/>
      <c r="H87" s="733"/>
      <c r="I87" s="733"/>
      <c r="J87" s="733"/>
      <c r="K87" s="733"/>
      <c r="L87" s="733"/>
      <c r="M87" s="733"/>
      <c r="N87" s="733"/>
      <c r="O87" s="733"/>
      <c r="P87" s="733"/>
      <c r="Q87" s="733"/>
    </row>
    <row r="88" spans="1:17" hidden="1" x14ac:dyDescent="0.25">
      <c r="A88" s="1142"/>
      <c r="B88" s="1142"/>
      <c r="C88" s="1142"/>
      <c r="D88" s="733"/>
      <c r="E88" s="733"/>
      <c r="F88" s="733"/>
      <c r="G88" s="733"/>
      <c r="H88" s="733"/>
      <c r="I88" s="733"/>
      <c r="J88" s="733"/>
      <c r="K88" s="733"/>
      <c r="L88" s="733"/>
      <c r="M88" s="733"/>
      <c r="N88" s="733"/>
      <c r="O88" s="733"/>
      <c r="P88" s="733"/>
      <c r="Q88" s="733"/>
    </row>
    <row r="89" spans="1:17" hidden="1" x14ac:dyDescent="0.25">
      <c r="A89" s="733"/>
      <c r="B89" s="733"/>
      <c r="C89" s="733"/>
      <c r="D89" s="733"/>
      <c r="E89" s="733"/>
      <c r="F89" s="733"/>
      <c r="G89" s="733"/>
      <c r="H89" s="733"/>
      <c r="I89" s="733"/>
      <c r="J89" s="733"/>
      <c r="K89" s="733"/>
      <c r="L89" s="733"/>
      <c r="M89" s="733"/>
      <c r="N89" s="733"/>
      <c r="O89" s="733"/>
      <c r="P89" s="733"/>
      <c r="Q89" s="733"/>
    </row>
    <row r="90" spans="1:17" hidden="1" x14ac:dyDescent="0.25">
      <c r="A90" s="1156"/>
      <c r="B90" s="1157"/>
      <c r="C90" s="1157"/>
      <c r="D90" s="1157"/>
      <c r="E90" s="1157"/>
      <c r="F90" s="1157"/>
      <c r="G90" s="1157"/>
      <c r="H90" s="1157"/>
      <c r="I90" s="1157"/>
      <c r="J90" s="1157"/>
      <c r="K90" s="1157"/>
      <c r="L90" s="1157"/>
      <c r="M90" s="1157"/>
      <c r="N90" s="1157"/>
      <c r="O90" s="1157"/>
      <c r="P90" s="1158"/>
      <c r="Q90" s="733"/>
    </row>
    <row r="91" spans="1:17" hidden="1" x14ac:dyDescent="0.25">
      <c r="A91" s="1159"/>
      <c r="B91" s="1160"/>
      <c r="C91" s="1160"/>
      <c r="D91" s="1160"/>
      <c r="E91" s="1160"/>
      <c r="F91" s="1160"/>
      <c r="G91" s="1160"/>
      <c r="H91" s="1160"/>
      <c r="I91" s="1160"/>
      <c r="J91" s="1160"/>
      <c r="K91" s="1160"/>
      <c r="L91" s="1160"/>
      <c r="M91" s="1160"/>
      <c r="N91" s="1160"/>
      <c r="O91" s="1160"/>
      <c r="P91" s="1161"/>
      <c r="Q91" s="733"/>
    </row>
    <row r="92" spans="1:17" hidden="1" x14ac:dyDescent="0.25">
      <c r="A92" s="1159"/>
      <c r="B92" s="1160"/>
      <c r="C92" s="1160"/>
      <c r="D92" s="1160"/>
      <c r="E92" s="1160"/>
      <c r="F92" s="1160"/>
      <c r="G92" s="1160"/>
      <c r="H92" s="1160"/>
      <c r="I92" s="1160"/>
      <c r="J92" s="1160"/>
      <c r="K92" s="1160"/>
      <c r="L92" s="1160"/>
      <c r="M92" s="1160"/>
      <c r="N92" s="1160"/>
      <c r="O92" s="1160"/>
      <c r="P92" s="1161"/>
      <c r="Q92" s="733"/>
    </row>
    <row r="93" spans="1:17" hidden="1" x14ac:dyDescent="0.25">
      <c r="A93" s="1159"/>
      <c r="B93" s="1160"/>
      <c r="C93" s="1160"/>
      <c r="D93" s="1160"/>
      <c r="E93" s="1160"/>
      <c r="F93" s="1160"/>
      <c r="G93" s="1160"/>
      <c r="H93" s="1160"/>
      <c r="I93" s="1160"/>
      <c r="J93" s="1160"/>
      <c r="K93" s="1160"/>
      <c r="L93" s="1160"/>
      <c r="M93" s="1160"/>
      <c r="N93" s="1160"/>
      <c r="O93" s="1160"/>
      <c r="P93" s="1161"/>
      <c r="Q93" s="733"/>
    </row>
    <row r="94" spans="1:17" hidden="1" x14ac:dyDescent="0.25">
      <c r="A94" s="1162"/>
      <c r="B94" s="1163"/>
      <c r="C94" s="1163"/>
      <c r="D94" s="1163"/>
      <c r="E94" s="1163"/>
      <c r="F94" s="1163"/>
      <c r="G94" s="1163"/>
      <c r="H94" s="1163"/>
      <c r="I94" s="1163"/>
      <c r="J94" s="1163"/>
      <c r="K94" s="1163"/>
      <c r="L94" s="1163"/>
      <c r="M94" s="1163"/>
      <c r="N94" s="1163"/>
      <c r="O94" s="1163"/>
      <c r="P94" s="1164"/>
      <c r="Q94" s="733"/>
    </row>
    <row r="95" spans="1:17" hidden="1" x14ac:dyDescent="0.25">
      <c r="A95" s="733"/>
      <c r="B95" s="733"/>
      <c r="C95" s="733"/>
      <c r="D95" s="733"/>
      <c r="E95" s="733"/>
      <c r="F95" s="733"/>
      <c r="G95" s="733"/>
      <c r="H95" s="733"/>
      <c r="I95" s="733"/>
      <c r="J95" s="733"/>
      <c r="K95" s="733"/>
      <c r="L95" s="733"/>
      <c r="M95" s="733"/>
      <c r="N95" s="733"/>
      <c r="O95" s="733"/>
      <c r="P95" s="733"/>
      <c r="Q95" s="733"/>
    </row>
    <row r="96" spans="1:17" hidden="1" x14ac:dyDescent="0.25">
      <c r="A96" s="1143"/>
      <c r="B96" s="1143"/>
      <c r="C96" s="1143"/>
      <c r="D96" s="1143"/>
      <c r="E96" s="1143"/>
      <c r="F96" s="1143"/>
      <c r="G96" s="1143"/>
      <c r="H96" s="1143"/>
      <c r="I96" s="1143"/>
      <c r="J96" s="1143"/>
      <c r="K96" s="714"/>
      <c r="L96" s="1143"/>
      <c r="M96" s="1143"/>
      <c r="N96" s="733"/>
      <c r="O96" s="733"/>
      <c r="P96" s="733"/>
      <c r="Q96" s="733"/>
    </row>
    <row r="97" spans="1:17" hidden="1" x14ac:dyDescent="0.25">
      <c r="A97" s="733"/>
      <c r="B97" s="733"/>
      <c r="C97" s="733"/>
      <c r="D97" s="733"/>
      <c r="E97" s="733"/>
      <c r="F97" s="733"/>
      <c r="G97" s="733"/>
      <c r="H97" s="733"/>
      <c r="I97" s="733"/>
      <c r="J97" s="733"/>
      <c r="K97" s="733"/>
      <c r="L97" s="733"/>
      <c r="M97" s="733"/>
      <c r="N97" s="733"/>
      <c r="O97" s="733"/>
      <c r="P97" s="733"/>
      <c r="Q97" s="733"/>
    </row>
    <row r="98" spans="1:17" hidden="1" x14ac:dyDescent="0.25">
      <c r="A98" s="1145"/>
      <c r="B98" s="1120"/>
      <c r="C98" s="1120"/>
      <c r="D98" s="1120"/>
      <c r="E98" s="1121"/>
      <c r="F98" s="1145"/>
      <c r="G98" s="1120"/>
      <c r="H98" s="1121"/>
      <c r="I98" s="1145"/>
      <c r="J98" s="1121"/>
      <c r="K98" s="784"/>
      <c r="L98" s="1145"/>
      <c r="M98" s="1121"/>
      <c r="N98" s="733"/>
      <c r="O98" s="733"/>
      <c r="P98" s="733"/>
      <c r="Q98" s="733"/>
    </row>
    <row r="99" spans="1:17" hidden="1" x14ac:dyDescent="0.25">
      <c r="A99" s="1145"/>
      <c r="B99" s="1120"/>
      <c r="C99" s="1120"/>
      <c r="D99" s="1120"/>
      <c r="E99" s="1121"/>
      <c r="F99" s="1145"/>
      <c r="G99" s="1120"/>
      <c r="H99" s="1121"/>
      <c r="I99" s="1145"/>
      <c r="J99" s="1121"/>
      <c r="K99" s="784"/>
      <c r="L99" s="1145"/>
      <c r="M99" s="1121"/>
      <c r="N99" s="733"/>
      <c r="O99" s="733"/>
      <c r="P99" s="733"/>
      <c r="Q99" s="733"/>
    </row>
    <row r="100" spans="1:17" hidden="1" x14ac:dyDescent="0.25">
      <c r="A100" s="1145"/>
      <c r="B100" s="1120"/>
      <c r="C100" s="1120"/>
      <c r="D100" s="1120"/>
      <c r="E100" s="1121"/>
      <c r="F100" s="1145"/>
      <c r="G100" s="1120"/>
      <c r="H100" s="1121"/>
      <c r="I100" s="1145"/>
      <c r="J100" s="1121"/>
      <c r="K100" s="784"/>
      <c r="L100" s="1145"/>
      <c r="M100" s="1121"/>
      <c r="N100" s="733"/>
      <c r="O100" s="733"/>
      <c r="P100" s="733"/>
      <c r="Q100" s="733"/>
    </row>
    <row r="101" spans="1:17" hidden="1" x14ac:dyDescent="0.25">
      <c r="A101" s="1145"/>
      <c r="B101" s="1120"/>
      <c r="C101" s="1120"/>
      <c r="D101" s="1120"/>
      <c r="E101" s="1121"/>
      <c r="F101" s="1145"/>
      <c r="G101" s="1120"/>
      <c r="H101" s="1121"/>
      <c r="I101" s="1145"/>
      <c r="J101" s="1121"/>
      <c r="K101" s="784"/>
      <c r="L101" s="1145"/>
      <c r="M101" s="1121"/>
      <c r="N101" s="733"/>
      <c r="O101" s="733"/>
      <c r="P101" s="733"/>
      <c r="Q101" s="733"/>
    </row>
    <row r="102" spans="1:17" hidden="1" x14ac:dyDescent="0.25">
      <c r="A102" s="1145"/>
      <c r="B102" s="1120"/>
      <c r="C102" s="1120"/>
      <c r="D102" s="1120"/>
      <c r="E102" s="1121"/>
      <c r="F102" s="785"/>
      <c r="G102" s="737"/>
      <c r="H102" s="786"/>
      <c r="I102" s="1145"/>
      <c r="J102" s="1121"/>
      <c r="K102" s="784"/>
      <c r="L102" s="1145"/>
      <c r="M102" s="1121"/>
      <c r="N102" s="733"/>
      <c r="O102" s="733"/>
      <c r="P102" s="733"/>
      <c r="Q102" s="733"/>
    </row>
    <row r="103" spans="1:17" hidden="1" x14ac:dyDescent="0.25">
      <c r="A103" s="1145"/>
      <c r="B103" s="1120"/>
      <c r="C103" s="1120"/>
      <c r="D103" s="1120"/>
      <c r="E103" s="1121"/>
      <c r="F103" s="1145"/>
      <c r="G103" s="1120"/>
      <c r="H103" s="1121"/>
      <c r="I103" s="1145"/>
      <c r="J103" s="1121"/>
      <c r="K103" s="784"/>
      <c r="L103" s="1145"/>
      <c r="M103" s="1121"/>
      <c r="N103" s="733"/>
      <c r="O103" s="733"/>
      <c r="P103" s="733"/>
      <c r="Q103" s="733"/>
    </row>
    <row r="104" spans="1:17" hidden="1" x14ac:dyDescent="0.25">
      <c r="A104" s="1145"/>
      <c r="B104" s="1120"/>
      <c r="C104" s="1120"/>
      <c r="D104" s="1120"/>
      <c r="E104" s="1121"/>
      <c r="F104" s="1145"/>
      <c r="G104" s="1120"/>
      <c r="H104" s="1121"/>
      <c r="I104" s="1145"/>
      <c r="J104" s="1121"/>
      <c r="K104" s="784"/>
      <c r="L104" s="1145"/>
      <c r="M104" s="1121"/>
      <c r="N104" s="733"/>
      <c r="O104" s="733"/>
      <c r="P104" s="733"/>
      <c r="Q104" s="733"/>
    </row>
    <row r="105" spans="1:17" hidden="1" x14ac:dyDescent="0.25">
      <c r="A105" s="1145"/>
      <c r="B105" s="1120"/>
      <c r="C105" s="1120"/>
      <c r="D105" s="1120"/>
      <c r="E105" s="1121"/>
      <c r="F105" s="1145"/>
      <c r="G105" s="1120"/>
      <c r="H105" s="1121"/>
      <c r="I105" s="1145"/>
      <c r="J105" s="1121"/>
      <c r="K105" s="784"/>
      <c r="L105" s="1145"/>
      <c r="M105" s="1121"/>
      <c r="N105" s="733"/>
      <c r="O105" s="733"/>
      <c r="P105" s="733"/>
      <c r="Q105" s="733"/>
    </row>
    <row r="106" spans="1:17" hidden="1" x14ac:dyDescent="0.25">
      <c r="A106" s="733"/>
      <c r="B106" s="733"/>
      <c r="C106" s="733"/>
      <c r="D106" s="733"/>
      <c r="E106" s="733"/>
      <c r="F106" s="733"/>
      <c r="G106" s="733"/>
      <c r="H106" s="733"/>
      <c r="I106" s="733"/>
      <c r="J106" s="733"/>
      <c r="K106" s="733"/>
      <c r="L106" s="733"/>
      <c r="M106" s="733"/>
      <c r="N106" s="733"/>
      <c r="O106" s="733"/>
      <c r="P106" s="733"/>
      <c r="Q106" s="733"/>
    </row>
    <row r="108" spans="1:17" x14ac:dyDescent="0.25">
      <c r="A108" s="787"/>
      <c r="B108" s="788"/>
      <c r="C108" s="789"/>
    </row>
    <row r="109" spans="1:17" x14ac:dyDescent="0.25">
      <c r="A109" s="1167" t="s">
        <v>167</v>
      </c>
      <c r="B109" s="1168"/>
      <c r="C109" s="790"/>
    </row>
    <row r="110" spans="1:17" x14ac:dyDescent="0.25">
      <c r="A110" s="1167" t="s">
        <v>1837</v>
      </c>
      <c r="B110" s="1168"/>
      <c r="C110" s="790"/>
    </row>
    <row r="111" spans="1:17" x14ac:dyDescent="0.25">
      <c r="A111" s="1167" t="s">
        <v>1838</v>
      </c>
      <c r="B111" s="1168"/>
      <c r="C111" s="790"/>
    </row>
    <row r="112" spans="1:17" x14ac:dyDescent="0.25">
      <c r="A112" s="1165" t="s">
        <v>122</v>
      </c>
      <c r="B112" s="1166"/>
      <c r="C112" s="790"/>
    </row>
    <row r="113" spans="1:3" x14ac:dyDescent="0.25">
      <c r="A113" s="791"/>
      <c r="B113" s="792"/>
      <c r="C113" s="793"/>
    </row>
    <row r="114" spans="1:3" x14ac:dyDescent="0.25">
      <c r="A114" s="850"/>
      <c r="B114" s="850"/>
      <c r="C114" s="850"/>
    </row>
    <row r="115" spans="1:3" x14ac:dyDescent="0.25">
      <c r="A115" s="219"/>
      <c r="B115" s="220" t="s">
        <v>1847</v>
      </c>
      <c r="C115" s="219"/>
    </row>
    <row r="116" spans="1:3" x14ac:dyDescent="0.25">
      <c r="A116" s="219"/>
      <c r="B116" s="219"/>
      <c r="C116" s="219"/>
    </row>
    <row r="117" spans="1:3" x14ac:dyDescent="0.25">
      <c r="A117" s="219"/>
      <c r="B117" s="219"/>
      <c r="C117" s="219"/>
    </row>
    <row r="118" spans="1:3" x14ac:dyDescent="0.25">
      <c r="A118" s="219"/>
      <c r="B118" s="219"/>
      <c r="C118" s="219"/>
    </row>
    <row r="119" spans="1:3" x14ac:dyDescent="0.25">
      <c r="A119" s="219"/>
      <c r="B119" s="219"/>
      <c r="C119" s="219"/>
    </row>
    <row r="120" spans="1:3" ht="15" x14ac:dyDescent="0.25">
      <c r="A120" s="1058" t="s">
        <v>1848</v>
      </c>
      <c r="B120" s="1059"/>
      <c r="C120" s="219"/>
    </row>
    <row r="121" spans="1:3" ht="15" x14ac:dyDescent="0.25">
      <c r="A121" s="852" t="s">
        <v>1849</v>
      </c>
      <c r="B121" s="852" t="s">
        <v>1850</v>
      </c>
      <c r="C121" s="219"/>
    </row>
    <row r="122" spans="1:3" ht="15" x14ac:dyDescent="0.25">
      <c r="A122" s="853"/>
      <c r="B122" s="853"/>
      <c r="C122" s="219"/>
    </row>
    <row r="123" spans="1:3" ht="15" x14ac:dyDescent="0.25">
      <c r="A123" s="853" t="s">
        <v>1851</v>
      </c>
      <c r="B123" s="854">
        <v>101657931.36</v>
      </c>
      <c r="C123" s="219"/>
    </row>
    <row r="124" spans="1:3" ht="15" x14ac:dyDescent="0.25">
      <c r="A124" s="853" t="s">
        <v>1852</v>
      </c>
      <c r="B124" s="854">
        <v>56183856.579999998</v>
      </c>
      <c r="C124" s="219"/>
    </row>
    <row r="125" spans="1:3" ht="15" x14ac:dyDescent="0.25">
      <c r="A125" s="853" t="s">
        <v>1853</v>
      </c>
      <c r="B125" s="854">
        <v>12420.54</v>
      </c>
      <c r="C125" s="219"/>
    </row>
    <row r="126" spans="1:3" ht="15" x14ac:dyDescent="0.25">
      <c r="A126" s="853" t="s">
        <v>1854</v>
      </c>
      <c r="B126" s="854">
        <v>101861.65</v>
      </c>
      <c r="C126" s="219"/>
    </row>
    <row r="127" spans="1:3" ht="15" x14ac:dyDescent="0.25">
      <c r="A127" s="853" t="s">
        <v>1855</v>
      </c>
      <c r="B127" s="854">
        <v>3096900</v>
      </c>
      <c r="C127" s="219"/>
    </row>
    <row r="128" spans="1:3" ht="15" x14ac:dyDescent="0.25">
      <c r="A128" s="853" t="s">
        <v>1856</v>
      </c>
      <c r="B128" s="854">
        <v>9741390.5600000005</v>
      </c>
      <c r="C128" s="219"/>
    </row>
    <row r="129" spans="1:3" ht="15" x14ac:dyDescent="0.25">
      <c r="A129" s="853" t="s">
        <v>1857</v>
      </c>
      <c r="B129" s="854">
        <v>33466500</v>
      </c>
      <c r="C129" s="219"/>
    </row>
    <row r="130" spans="1:3" ht="15" x14ac:dyDescent="0.25">
      <c r="A130" s="853" t="s">
        <v>1858</v>
      </c>
      <c r="B130" s="854">
        <v>3496500</v>
      </c>
      <c r="C130" s="219"/>
    </row>
    <row r="131" spans="1:3" ht="15" x14ac:dyDescent="0.25">
      <c r="A131" s="853" t="s">
        <v>1859</v>
      </c>
      <c r="B131" s="854">
        <v>30196971.800000001</v>
      </c>
      <c r="C131" s="219"/>
    </row>
    <row r="132" spans="1:3" ht="15" x14ac:dyDescent="0.25">
      <c r="A132" s="853" t="s">
        <v>1860</v>
      </c>
      <c r="B132" s="854">
        <v>2349372.19</v>
      </c>
      <c r="C132" s="219"/>
    </row>
    <row r="133" spans="1:3" ht="15" x14ac:dyDescent="0.25">
      <c r="A133" s="853" t="s">
        <v>1861</v>
      </c>
      <c r="B133" s="854">
        <v>9198764.4000000004</v>
      </c>
      <c r="C133" s="219"/>
    </row>
    <row r="134" spans="1:3" ht="15" x14ac:dyDescent="0.25">
      <c r="A134" s="853" t="s">
        <v>1862</v>
      </c>
      <c r="B134" s="854">
        <v>10989000</v>
      </c>
      <c r="C134" s="219"/>
    </row>
    <row r="135" spans="1:3" ht="15" x14ac:dyDescent="0.25">
      <c r="A135" s="853" t="s">
        <v>1863</v>
      </c>
      <c r="B135" s="854">
        <v>849150</v>
      </c>
      <c r="C135" s="219"/>
    </row>
    <row r="136" spans="1:3" ht="15" x14ac:dyDescent="0.25">
      <c r="A136" s="853" t="s">
        <v>1864</v>
      </c>
      <c r="B136" s="854">
        <v>113935950</v>
      </c>
      <c r="C136" s="219"/>
    </row>
    <row r="137" spans="1:3" ht="15" x14ac:dyDescent="0.25">
      <c r="A137" s="853" t="s">
        <v>1865</v>
      </c>
      <c r="B137" s="854">
        <v>46143808.950000003</v>
      </c>
      <c r="C137" s="219"/>
    </row>
    <row r="138" spans="1:3" ht="15" x14ac:dyDescent="0.25">
      <c r="A138" s="853" t="s">
        <v>1866</v>
      </c>
      <c r="B138" s="854">
        <v>263253.27</v>
      </c>
      <c r="C138" s="219"/>
    </row>
    <row r="139" spans="1:3" ht="15" x14ac:dyDescent="0.25">
      <c r="A139" s="913"/>
      <c r="B139" s="913"/>
      <c r="C139" s="219"/>
    </row>
    <row r="140" spans="1:3" ht="30" customHeight="1" x14ac:dyDescent="0.25">
      <c r="A140" s="1052" t="s">
        <v>1867</v>
      </c>
      <c r="B140" s="1053"/>
      <c r="C140" s="219"/>
    </row>
    <row r="141" spans="1:3" ht="30" customHeight="1" x14ac:dyDescent="0.25">
      <c r="A141" s="1052" t="s">
        <v>1868</v>
      </c>
      <c r="B141" s="1053"/>
      <c r="C141" s="219"/>
    </row>
    <row r="142" spans="1:3" ht="30" customHeight="1" x14ac:dyDescent="0.25">
      <c r="A142" s="1058" t="s">
        <v>1869</v>
      </c>
      <c r="B142" s="1059"/>
      <c r="C142" s="219"/>
    </row>
    <row r="143" spans="1:3" ht="30" customHeight="1" x14ac:dyDescent="0.25">
      <c r="A143" s="1052" t="s">
        <v>1870</v>
      </c>
      <c r="B143" s="1053"/>
      <c r="C143" s="219"/>
    </row>
    <row r="144" spans="1:3" ht="30" customHeight="1" x14ac:dyDescent="0.25">
      <c r="A144" s="1052" t="s">
        <v>1871</v>
      </c>
      <c r="B144" s="1053"/>
      <c r="C144" s="219"/>
    </row>
    <row r="145" spans="1:3" ht="30" customHeight="1" x14ac:dyDescent="0.25">
      <c r="A145" s="1052" t="s">
        <v>1872</v>
      </c>
      <c r="B145" s="1053"/>
      <c r="C145" s="219"/>
    </row>
    <row r="146" spans="1:3" ht="30" customHeight="1" x14ac:dyDescent="0.25">
      <c r="A146" s="845"/>
      <c r="B146" s="182"/>
      <c r="C146" s="219"/>
    </row>
    <row r="147" spans="1:3" ht="46.5" customHeight="1" x14ac:dyDescent="0.25">
      <c r="A147" s="1052" t="s">
        <v>1873</v>
      </c>
      <c r="B147" s="1053"/>
      <c r="C147" s="219"/>
    </row>
    <row r="148" spans="1:3" ht="30" customHeight="1" x14ac:dyDescent="0.25">
      <c r="A148" s="845"/>
      <c r="B148" s="182"/>
      <c r="C148" s="219"/>
    </row>
    <row r="149" spans="1:3" s="844" customFormat="1" ht="40.5" customHeight="1" x14ac:dyDescent="0.25">
      <c r="A149" s="1058" t="s">
        <v>1874</v>
      </c>
      <c r="B149" s="1059"/>
      <c r="C149" s="851"/>
    </row>
    <row r="150" spans="1:3" ht="30" customHeight="1" x14ac:dyDescent="0.25">
      <c r="A150" s="845"/>
      <c r="B150" s="182"/>
      <c r="C150" s="219"/>
    </row>
    <row r="151" spans="1:3" ht="30" customHeight="1" x14ac:dyDescent="0.25">
      <c r="A151" s="1052" t="s">
        <v>1875</v>
      </c>
      <c r="B151" s="1053"/>
      <c r="C151" s="219"/>
    </row>
    <row r="152" spans="1:3" ht="30" customHeight="1" x14ac:dyDescent="0.25">
      <c r="A152" s="845"/>
      <c r="B152" s="182"/>
      <c r="C152" s="219"/>
    </row>
    <row r="153" spans="1:3" ht="47.25" customHeight="1" x14ac:dyDescent="0.25">
      <c r="A153" s="1052" t="s">
        <v>1876</v>
      </c>
      <c r="B153" s="1053"/>
      <c r="C153" s="219"/>
    </row>
    <row r="154" spans="1:3" ht="30" customHeight="1" x14ac:dyDescent="0.25">
      <c r="A154" s="845"/>
      <c r="B154" s="182"/>
      <c r="C154" s="219"/>
    </row>
    <row r="155" spans="1:3" ht="50.25" customHeight="1" x14ac:dyDescent="0.25">
      <c r="A155" s="1052" t="s">
        <v>1877</v>
      </c>
      <c r="B155" s="1053"/>
      <c r="C155" s="219"/>
    </row>
    <row r="156" spans="1:3" ht="30" customHeight="1" x14ac:dyDescent="0.25">
      <c r="A156" s="845"/>
      <c r="B156" s="182"/>
      <c r="C156" s="219"/>
    </row>
    <row r="157" spans="1:3" ht="51" customHeight="1" x14ac:dyDescent="0.25">
      <c r="A157" s="1052" t="s">
        <v>1878</v>
      </c>
      <c r="B157" s="1053"/>
      <c r="C157" s="219"/>
    </row>
    <row r="158" spans="1:3" ht="30" customHeight="1" x14ac:dyDescent="0.25">
      <c r="A158" s="845"/>
      <c r="B158" s="182"/>
      <c r="C158" s="219"/>
    </row>
    <row r="159" spans="1:3" ht="60.75" customHeight="1" x14ac:dyDescent="0.25">
      <c r="A159" s="1052" t="s">
        <v>1879</v>
      </c>
      <c r="B159" s="1053"/>
      <c r="C159" s="219"/>
    </row>
    <row r="160" spans="1:3" ht="30" customHeight="1" x14ac:dyDescent="0.25">
      <c r="A160" s="845"/>
      <c r="B160" s="182"/>
      <c r="C160" s="219"/>
    </row>
    <row r="161" spans="1:3" ht="60.75" customHeight="1" x14ac:dyDescent="0.25">
      <c r="A161" s="1052" t="s">
        <v>1880</v>
      </c>
      <c r="B161" s="1053"/>
      <c r="C161" s="219"/>
    </row>
    <row r="162" spans="1:3" ht="59.25" customHeight="1" x14ac:dyDescent="0.25">
      <c r="A162" s="1052" t="s">
        <v>1881</v>
      </c>
      <c r="B162" s="1053"/>
      <c r="C162" s="219"/>
    </row>
    <row r="163" spans="1:3" ht="30" customHeight="1" x14ac:dyDescent="0.25">
      <c r="A163" s="845"/>
      <c r="B163" s="182"/>
      <c r="C163" s="219"/>
    </row>
    <row r="164" spans="1:3" ht="57" customHeight="1" x14ac:dyDescent="0.25">
      <c r="A164" s="1052" t="s">
        <v>1882</v>
      </c>
      <c r="B164" s="1053"/>
      <c r="C164" s="219"/>
    </row>
    <row r="165" spans="1:3" ht="30" customHeight="1" x14ac:dyDescent="0.25">
      <c r="A165" s="845"/>
      <c r="B165" s="182"/>
      <c r="C165" s="219"/>
    </row>
    <row r="166" spans="1:3" ht="54.75" customHeight="1" x14ac:dyDescent="0.25">
      <c r="A166" s="1052" t="s">
        <v>1883</v>
      </c>
      <c r="B166" s="1053"/>
      <c r="C166" s="219"/>
    </row>
    <row r="167" spans="1:3" ht="30" customHeight="1" x14ac:dyDescent="0.25">
      <c r="A167" s="845"/>
      <c r="B167" s="182"/>
      <c r="C167" s="219"/>
    </row>
    <row r="168" spans="1:3" ht="58.5" customHeight="1" x14ac:dyDescent="0.25">
      <c r="A168" s="1052" t="s">
        <v>1884</v>
      </c>
      <c r="B168" s="1053"/>
      <c r="C168" s="219"/>
    </row>
    <row r="169" spans="1:3" ht="30" customHeight="1" x14ac:dyDescent="0.25">
      <c r="A169" s="845"/>
      <c r="B169" s="182"/>
      <c r="C169" s="219"/>
    </row>
    <row r="170" spans="1:3" ht="43.5" customHeight="1" x14ac:dyDescent="0.25">
      <c r="A170" s="1052" t="s">
        <v>1885</v>
      </c>
      <c r="B170" s="1053"/>
      <c r="C170" s="219"/>
    </row>
    <row r="171" spans="1:3" ht="30" customHeight="1" x14ac:dyDescent="0.25">
      <c r="A171" s="845"/>
      <c r="B171" s="182"/>
      <c r="C171" s="219"/>
    </row>
    <row r="172" spans="1:3" ht="52.5" customHeight="1" x14ac:dyDescent="0.25">
      <c r="A172" s="1052" t="s">
        <v>1886</v>
      </c>
      <c r="B172" s="1053"/>
      <c r="C172" s="219"/>
    </row>
    <row r="173" spans="1:3" ht="30" customHeight="1" x14ac:dyDescent="0.25">
      <c r="A173" s="1052"/>
      <c r="B173" s="1053"/>
      <c r="C173" s="219"/>
    </row>
    <row r="174" spans="1:3" ht="60" customHeight="1" x14ac:dyDescent="0.25">
      <c r="A174" s="1052" t="s">
        <v>1887</v>
      </c>
      <c r="B174" s="1053"/>
      <c r="C174" s="219"/>
    </row>
    <row r="175" spans="1:3" ht="30" customHeight="1" x14ac:dyDescent="0.25">
      <c r="A175" s="845"/>
      <c r="B175" s="182"/>
      <c r="C175" s="219"/>
    </row>
    <row r="176" spans="1:3" ht="51" customHeight="1" x14ac:dyDescent="0.25">
      <c r="A176" s="1052" t="s">
        <v>1888</v>
      </c>
      <c r="B176" s="1053"/>
      <c r="C176" s="219"/>
    </row>
    <row r="177" spans="1:3" ht="30" customHeight="1" x14ac:dyDescent="0.25">
      <c r="A177" s="845"/>
      <c r="B177" s="182"/>
      <c r="C177" s="219"/>
    </row>
    <row r="178" spans="1:3" ht="54.75" customHeight="1" x14ac:dyDescent="0.25">
      <c r="A178" s="1052" t="s">
        <v>1889</v>
      </c>
      <c r="B178" s="1053"/>
      <c r="C178" s="219"/>
    </row>
    <row r="179" spans="1:3" ht="54.75" customHeight="1" x14ac:dyDescent="0.25">
      <c r="A179" s="912"/>
      <c r="B179" s="182"/>
      <c r="C179" s="219"/>
    </row>
    <row r="180" spans="1:3" ht="64.5" customHeight="1" x14ac:dyDescent="0.25">
      <c r="A180" s="1052" t="s">
        <v>1890</v>
      </c>
      <c r="B180" s="1053"/>
      <c r="C180" s="219"/>
    </row>
    <row r="181" spans="1:3" ht="30" customHeight="1" x14ac:dyDescent="0.25">
      <c r="A181" s="845"/>
      <c r="B181" s="182"/>
      <c r="C181" s="219"/>
    </row>
    <row r="182" spans="1:3" ht="54" customHeight="1" x14ac:dyDescent="0.25">
      <c r="A182" s="1052" t="s">
        <v>1891</v>
      </c>
      <c r="B182" s="1053"/>
      <c r="C182" s="219"/>
    </row>
    <row r="183" spans="1:3" ht="30" customHeight="1" x14ac:dyDescent="0.25">
      <c r="A183" s="845"/>
      <c r="B183" s="182"/>
      <c r="C183" s="219"/>
    </row>
    <row r="184" spans="1:3" ht="30" customHeight="1" x14ac:dyDescent="0.25">
      <c r="A184" s="845"/>
      <c r="B184" s="182"/>
      <c r="C184" s="219"/>
    </row>
    <row r="185" spans="1:3" ht="54" customHeight="1" x14ac:dyDescent="0.25">
      <c r="A185" s="1052" t="s">
        <v>1892</v>
      </c>
      <c r="B185" s="1053"/>
      <c r="C185" s="219"/>
    </row>
    <row r="186" spans="1:3" ht="30" customHeight="1" x14ac:dyDescent="0.25">
      <c r="A186" s="912"/>
      <c r="B186" s="182"/>
      <c r="C186" s="219"/>
    </row>
    <row r="187" spans="1:3" ht="53.25" customHeight="1" x14ac:dyDescent="0.25">
      <c r="A187" s="1052" t="s">
        <v>1893</v>
      </c>
      <c r="B187" s="1053"/>
      <c r="C187" s="219"/>
    </row>
    <row r="188" spans="1:3" ht="30" customHeight="1" x14ac:dyDescent="0.25">
      <c r="A188" s="912"/>
      <c r="B188" s="182"/>
      <c r="C188" s="219"/>
    </row>
    <row r="189" spans="1:3" ht="49.5" customHeight="1" x14ac:dyDescent="0.25">
      <c r="A189" s="1052" t="s">
        <v>1894</v>
      </c>
      <c r="B189" s="1053"/>
      <c r="C189" s="219"/>
    </row>
    <row r="190" spans="1:3" ht="30" customHeight="1" x14ac:dyDescent="0.25">
      <c r="A190" s="912"/>
      <c r="B190" s="182"/>
      <c r="C190" s="219"/>
    </row>
    <row r="191" spans="1:3" ht="49.5" customHeight="1" x14ac:dyDescent="0.25">
      <c r="A191" s="1052" t="s">
        <v>1895</v>
      </c>
      <c r="B191" s="1053"/>
      <c r="C191" s="219"/>
    </row>
    <row r="192" spans="1:3" ht="30" customHeight="1" x14ac:dyDescent="0.25">
      <c r="A192" s="845"/>
      <c r="B192" s="182"/>
      <c r="C192" s="219"/>
    </row>
    <row r="193" spans="1:3" ht="48" customHeight="1" x14ac:dyDescent="0.25">
      <c r="A193" s="1052" t="s">
        <v>1896</v>
      </c>
      <c r="B193" s="1053"/>
      <c r="C193" s="219"/>
    </row>
    <row r="194" spans="1:3" ht="30" customHeight="1" x14ac:dyDescent="0.25">
      <c r="A194" s="845"/>
      <c r="B194" s="182"/>
      <c r="C194" s="219"/>
    </row>
    <row r="195" spans="1:3" ht="48" customHeight="1" x14ac:dyDescent="0.25">
      <c r="A195" s="1052" t="s">
        <v>1897</v>
      </c>
      <c r="B195" s="1053"/>
      <c r="C195" s="219"/>
    </row>
    <row r="196" spans="1:3" ht="30" customHeight="1" x14ac:dyDescent="0.25">
      <c r="A196" s="845"/>
      <c r="B196" s="182"/>
      <c r="C196" s="219"/>
    </row>
    <row r="197" spans="1:3" ht="44.25" customHeight="1" x14ac:dyDescent="0.25">
      <c r="A197" s="1052" t="s">
        <v>1898</v>
      </c>
      <c r="B197" s="1053"/>
      <c r="C197" s="219"/>
    </row>
    <row r="198" spans="1:3" ht="30" customHeight="1" x14ac:dyDescent="0.25">
      <c r="A198" s="845"/>
      <c r="B198" s="182"/>
      <c r="C198" s="219"/>
    </row>
    <row r="199" spans="1:3" ht="44.25" customHeight="1" x14ac:dyDescent="0.25">
      <c r="A199" s="1052" t="s">
        <v>1899</v>
      </c>
      <c r="B199" s="1053"/>
      <c r="C199" s="219"/>
    </row>
    <row r="200" spans="1:3" ht="30" customHeight="1" x14ac:dyDescent="0.25">
      <c r="A200" s="845"/>
      <c r="B200" s="182"/>
      <c r="C200" s="219"/>
    </row>
    <row r="201" spans="1:3" ht="46.5" customHeight="1" x14ac:dyDescent="0.25">
      <c r="A201" s="1052" t="s">
        <v>1900</v>
      </c>
      <c r="B201" s="1053"/>
      <c r="C201" s="219"/>
    </row>
    <row r="202" spans="1:3" ht="30" customHeight="1" x14ac:dyDescent="0.25">
      <c r="A202" s="912"/>
      <c r="B202" s="182"/>
      <c r="C202" s="219"/>
    </row>
    <row r="203" spans="1:3" ht="35.25" customHeight="1" x14ac:dyDescent="0.25">
      <c r="A203" s="1052" t="s">
        <v>1901</v>
      </c>
      <c r="B203" s="1053"/>
      <c r="C203" s="219"/>
    </row>
    <row r="204" spans="1:3" ht="30" customHeight="1" x14ac:dyDescent="0.25">
      <c r="A204" s="912"/>
      <c r="B204" s="182"/>
      <c r="C204" s="219"/>
    </row>
    <row r="205" spans="1:3" ht="43.5" customHeight="1" x14ac:dyDescent="0.25">
      <c r="A205" s="1052" t="s">
        <v>1902</v>
      </c>
      <c r="B205" s="1053"/>
      <c r="C205" s="219"/>
    </row>
    <row r="206" spans="1:3" ht="30" customHeight="1" x14ac:dyDescent="0.25">
      <c r="A206" s="845"/>
      <c r="B206" s="182"/>
      <c r="C206" s="219"/>
    </row>
    <row r="207" spans="1:3" ht="30" customHeight="1" x14ac:dyDescent="0.25">
      <c r="A207" s="1052" t="s">
        <v>1903</v>
      </c>
      <c r="B207" s="1053"/>
      <c r="C207" s="219"/>
    </row>
    <row r="208" spans="1:3" ht="30" customHeight="1" x14ac:dyDescent="0.25">
      <c r="A208" s="845"/>
      <c r="B208" s="182"/>
      <c r="C208" s="219"/>
    </row>
    <row r="209" spans="1:3" ht="30" customHeight="1" x14ac:dyDescent="0.25">
      <c r="A209" s="1052" t="s">
        <v>1904</v>
      </c>
      <c r="B209" s="1053"/>
      <c r="C209" s="219"/>
    </row>
    <row r="210" spans="1:3" ht="30" customHeight="1" x14ac:dyDescent="0.25">
      <c r="A210" s="845"/>
      <c r="B210" s="182"/>
      <c r="C210" s="219"/>
    </row>
    <row r="211" spans="1:3" ht="30" customHeight="1" x14ac:dyDescent="0.25">
      <c r="A211" s="1052" t="s">
        <v>1905</v>
      </c>
      <c r="B211" s="1053"/>
      <c r="C211" s="219"/>
    </row>
    <row r="212" spans="1:3" ht="30" customHeight="1" x14ac:dyDescent="0.25">
      <c r="A212" s="845"/>
      <c r="B212" s="182"/>
      <c r="C212" s="219"/>
    </row>
    <row r="213" spans="1:3" ht="43.5" customHeight="1" x14ac:dyDescent="0.25">
      <c r="A213" s="1052" t="s">
        <v>1906</v>
      </c>
      <c r="B213" s="1053"/>
      <c r="C213" s="219"/>
    </row>
    <row r="214" spans="1:3" ht="30" customHeight="1" x14ac:dyDescent="0.25">
      <c r="A214" s="845"/>
      <c r="B214" s="182"/>
      <c r="C214" s="219"/>
    </row>
    <row r="215" spans="1:3" ht="46.5" customHeight="1" x14ac:dyDescent="0.25">
      <c r="A215" s="1052" t="s">
        <v>1907</v>
      </c>
      <c r="B215" s="1053"/>
      <c r="C215" s="219"/>
    </row>
    <row r="216" spans="1:3" ht="30" customHeight="1" x14ac:dyDescent="0.25">
      <c r="A216" s="845"/>
      <c r="B216" s="182"/>
      <c r="C216" s="219"/>
    </row>
    <row r="217" spans="1:3" ht="46.5" customHeight="1" x14ac:dyDescent="0.25">
      <c r="A217" s="1052" t="s">
        <v>1908</v>
      </c>
      <c r="B217" s="1053"/>
      <c r="C217" s="219"/>
    </row>
    <row r="218" spans="1:3" ht="30" customHeight="1" x14ac:dyDescent="0.25">
      <c r="A218" s="845"/>
      <c r="B218" s="182"/>
      <c r="C218" s="219"/>
    </row>
    <row r="219" spans="1:3" ht="44.25" customHeight="1" x14ac:dyDescent="0.25">
      <c r="A219" s="1052" t="s">
        <v>1909</v>
      </c>
      <c r="B219" s="1053"/>
      <c r="C219" s="219"/>
    </row>
    <row r="220" spans="1:3" ht="30" customHeight="1" x14ac:dyDescent="0.25">
      <c r="A220" s="845"/>
      <c r="B220" s="182"/>
      <c r="C220" s="219"/>
    </row>
    <row r="221" spans="1:3" ht="52.5" customHeight="1" x14ac:dyDescent="0.25">
      <c r="A221" s="1052" t="s">
        <v>1910</v>
      </c>
      <c r="B221" s="1053"/>
      <c r="C221" s="219"/>
    </row>
    <row r="222" spans="1:3" ht="30" customHeight="1" x14ac:dyDescent="0.25">
      <c r="A222" s="845"/>
      <c r="B222" s="182"/>
      <c r="C222" s="219"/>
    </row>
    <row r="223" spans="1:3" ht="43.5" customHeight="1" x14ac:dyDescent="0.25">
      <c r="A223" s="1052" t="s">
        <v>1911</v>
      </c>
      <c r="B223" s="1053"/>
      <c r="C223" s="219"/>
    </row>
    <row r="224" spans="1:3" ht="30" customHeight="1" x14ac:dyDescent="0.25">
      <c r="A224" s="845"/>
      <c r="B224" s="182"/>
      <c r="C224" s="219"/>
    </row>
    <row r="225" spans="1:3" ht="41.25" customHeight="1" x14ac:dyDescent="0.25">
      <c r="A225" s="1052" t="s">
        <v>1912</v>
      </c>
      <c r="B225" s="1053"/>
      <c r="C225" s="219"/>
    </row>
    <row r="226" spans="1:3" ht="30" customHeight="1" x14ac:dyDescent="0.25">
      <c r="A226" s="845"/>
      <c r="B226" s="182"/>
      <c r="C226" s="219"/>
    </row>
    <row r="227" spans="1:3" ht="45" customHeight="1" x14ac:dyDescent="0.25">
      <c r="A227" s="1052" t="s">
        <v>1913</v>
      </c>
      <c r="B227" s="1053"/>
      <c r="C227" s="219"/>
    </row>
    <row r="228" spans="1:3" ht="30" customHeight="1" x14ac:dyDescent="0.25">
      <c r="A228" s="845"/>
      <c r="B228" s="182"/>
      <c r="C228" s="219"/>
    </row>
    <row r="229" spans="1:3" ht="30" customHeight="1" x14ac:dyDescent="0.25">
      <c r="A229" s="1052" t="s">
        <v>1914</v>
      </c>
      <c r="B229" s="1053"/>
      <c r="C229" s="219"/>
    </row>
    <row r="230" spans="1:3" ht="30" customHeight="1" x14ac:dyDescent="0.25">
      <c r="A230" s="845"/>
      <c r="B230" s="182"/>
      <c r="C230" s="219"/>
    </row>
    <row r="231" spans="1:3" ht="30" customHeight="1" x14ac:dyDescent="0.25">
      <c r="A231" s="1052" t="s">
        <v>1915</v>
      </c>
      <c r="B231" s="1053"/>
      <c r="C231" s="219"/>
    </row>
    <row r="232" spans="1:3" ht="30" customHeight="1" x14ac:dyDescent="0.25">
      <c r="A232" s="845"/>
      <c r="B232" s="182"/>
      <c r="C232" s="219"/>
    </row>
    <row r="233" spans="1:3" ht="30" customHeight="1" x14ac:dyDescent="0.25">
      <c r="A233" s="1052" t="s">
        <v>1916</v>
      </c>
      <c r="B233" s="1053"/>
      <c r="C233" s="219"/>
    </row>
    <row r="234" spans="1:3" ht="30" customHeight="1" x14ac:dyDescent="0.25">
      <c r="A234" s="845"/>
      <c r="B234" s="182"/>
      <c r="C234" s="219"/>
    </row>
    <row r="235" spans="1:3" ht="30" customHeight="1" x14ac:dyDescent="0.25">
      <c r="A235" s="1052" t="s">
        <v>1917</v>
      </c>
      <c r="B235" s="1053"/>
      <c r="C235" s="219"/>
    </row>
    <row r="236" spans="1:3" ht="30" customHeight="1" x14ac:dyDescent="0.25">
      <c r="A236" s="845"/>
      <c r="B236" s="182"/>
      <c r="C236" s="219"/>
    </row>
    <row r="237" spans="1:3" ht="30" customHeight="1" x14ac:dyDescent="0.25">
      <c r="A237" s="1052" t="s">
        <v>1918</v>
      </c>
      <c r="B237" s="1053"/>
      <c r="C237" s="219"/>
    </row>
    <row r="238" spans="1:3" ht="30" customHeight="1" x14ac:dyDescent="0.25">
      <c r="A238" s="845"/>
      <c r="B238" s="182"/>
      <c r="C238" s="219"/>
    </row>
    <row r="239" spans="1:3" ht="30" customHeight="1" x14ac:dyDescent="0.25">
      <c r="A239" s="1052" t="s">
        <v>1919</v>
      </c>
      <c r="B239" s="1053"/>
      <c r="C239" s="219"/>
    </row>
    <row r="240" spans="1:3" ht="30" customHeight="1" x14ac:dyDescent="0.25">
      <c r="A240" s="845"/>
      <c r="B240" s="182"/>
      <c r="C240" s="219"/>
    </row>
    <row r="241" spans="1:4" ht="43.5" customHeight="1" x14ac:dyDescent="0.25">
      <c r="A241" s="1052" t="s">
        <v>1920</v>
      </c>
      <c r="B241" s="1053"/>
      <c r="C241" s="219"/>
    </row>
    <row r="242" spans="1:4" ht="30" customHeight="1" x14ac:dyDescent="0.25">
      <c r="A242" s="845"/>
      <c r="B242" s="182"/>
      <c r="C242" s="219"/>
    </row>
    <row r="243" spans="1:4" ht="30" customHeight="1" x14ac:dyDescent="0.25">
      <c r="A243" s="1052" t="s">
        <v>1921</v>
      </c>
      <c r="B243" s="1053"/>
      <c r="C243" s="219"/>
      <c r="D243" s="219"/>
    </row>
    <row r="244" spans="1:4" ht="30" customHeight="1" x14ac:dyDescent="0.25">
      <c r="A244" s="845"/>
      <c r="B244" s="182"/>
      <c r="C244" s="219"/>
      <c r="D244" s="219"/>
    </row>
    <row r="245" spans="1:4" ht="30" customHeight="1" x14ac:dyDescent="0.25">
      <c r="A245" s="1052" t="s">
        <v>1922</v>
      </c>
      <c r="B245" s="1053"/>
      <c r="C245" s="219"/>
      <c r="D245" s="219"/>
    </row>
    <row r="246" spans="1:4" ht="30" customHeight="1" x14ac:dyDescent="0.25">
      <c r="A246" s="845"/>
      <c r="B246" s="182"/>
      <c r="C246" s="219"/>
      <c r="D246" s="219"/>
    </row>
    <row r="247" spans="1:4" ht="48" customHeight="1" x14ac:dyDescent="0.25">
      <c r="A247" s="1052" t="s">
        <v>1923</v>
      </c>
      <c r="B247" s="1053"/>
      <c r="C247" s="219"/>
      <c r="D247" s="219"/>
    </row>
    <row r="248" spans="1:4" ht="30" customHeight="1" x14ac:dyDescent="0.25">
      <c r="A248" s="845"/>
      <c r="B248" s="182"/>
      <c r="C248" s="219"/>
      <c r="D248" s="219"/>
    </row>
    <row r="249" spans="1:4" ht="57.75" customHeight="1" x14ac:dyDescent="0.25">
      <c r="A249" s="1052" t="s">
        <v>1924</v>
      </c>
      <c r="B249" s="1053"/>
      <c r="C249" s="219"/>
      <c r="D249" s="219"/>
    </row>
    <row r="250" spans="1:4" ht="30" customHeight="1" x14ac:dyDescent="0.25">
      <c r="A250" s="845"/>
      <c r="B250" s="182"/>
      <c r="C250" s="847"/>
      <c r="D250" s="213"/>
    </row>
    <row r="251" spans="1:4" ht="47.25" customHeight="1" x14ac:dyDescent="0.25">
      <c r="A251" s="1052" t="s">
        <v>1925</v>
      </c>
      <c r="B251" s="1053"/>
      <c r="C251" s="847"/>
      <c r="D251" s="213"/>
    </row>
    <row r="252" spans="1:4" ht="30" customHeight="1" x14ac:dyDescent="0.25">
      <c r="A252" s="845"/>
      <c r="B252" s="182"/>
      <c r="C252" s="848"/>
      <c r="D252" s="213"/>
    </row>
    <row r="253" spans="1:4" ht="45" customHeight="1" x14ac:dyDescent="0.25">
      <c r="A253" s="1052" t="s">
        <v>1926</v>
      </c>
      <c r="B253" s="1053"/>
      <c r="C253" s="848"/>
      <c r="D253" s="213"/>
    </row>
    <row r="254" spans="1:4" ht="30" customHeight="1" x14ac:dyDescent="0.25">
      <c r="A254" s="845"/>
      <c r="B254" s="182"/>
      <c r="C254" s="848"/>
      <c r="D254" s="213"/>
    </row>
    <row r="255" spans="1:4" ht="38.25" customHeight="1" x14ac:dyDescent="0.25">
      <c r="A255" s="1052" t="s">
        <v>1927</v>
      </c>
      <c r="B255" s="1053"/>
      <c r="C255" s="219"/>
      <c r="D255" s="219"/>
    </row>
    <row r="256" spans="1:4" ht="30" customHeight="1" x14ac:dyDescent="0.25">
      <c r="A256" s="845"/>
      <c r="B256" s="182"/>
      <c r="C256" s="219"/>
      <c r="D256" s="219"/>
    </row>
    <row r="257" spans="1:4" ht="30" customHeight="1" x14ac:dyDescent="0.25">
      <c r="A257" s="845"/>
      <c r="B257" s="182"/>
      <c r="C257" s="219"/>
      <c r="D257" s="219"/>
    </row>
    <row r="258" spans="1:4" ht="30" customHeight="1" x14ac:dyDescent="0.25">
      <c r="A258" s="1052" t="s">
        <v>1928</v>
      </c>
      <c r="B258" s="1053"/>
      <c r="C258" s="219"/>
      <c r="D258" s="219"/>
    </row>
    <row r="259" spans="1:4" ht="30" customHeight="1" x14ac:dyDescent="0.25">
      <c r="A259" s="912"/>
      <c r="B259" s="182"/>
      <c r="C259" s="219"/>
      <c r="D259" s="219"/>
    </row>
    <row r="260" spans="1:4" ht="30" customHeight="1" x14ac:dyDescent="0.25">
      <c r="A260" s="1052" t="s">
        <v>1929</v>
      </c>
      <c r="B260" s="1053"/>
      <c r="C260" s="219"/>
      <c r="D260" s="219"/>
    </row>
    <row r="261" spans="1:4" ht="30" customHeight="1" x14ac:dyDescent="0.25">
      <c r="A261" s="912"/>
      <c r="B261" s="182"/>
      <c r="C261" s="219"/>
      <c r="D261" s="219"/>
    </row>
    <row r="262" spans="1:4" ht="30" customHeight="1" x14ac:dyDescent="0.25">
      <c r="A262" s="1052" t="s">
        <v>1930</v>
      </c>
      <c r="B262" s="1053"/>
      <c r="C262" s="219"/>
      <c r="D262" s="219"/>
    </row>
    <row r="263" spans="1:4" ht="30" customHeight="1" x14ac:dyDescent="0.25">
      <c r="A263" s="912"/>
      <c r="B263" s="182"/>
      <c r="C263" s="219"/>
      <c r="D263" s="219"/>
    </row>
    <row r="264" spans="1:4" ht="30" customHeight="1" x14ac:dyDescent="0.25">
      <c r="A264" s="1052" t="s">
        <v>1931</v>
      </c>
      <c r="B264" s="1053"/>
      <c r="C264" s="219"/>
      <c r="D264" s="219"/>
    </row>
    <row r="265" spans="1:4" ht="30" customHeight="1" x14ac:dyDescent="0.25">
      <c r="A265" s="912"/>
      <c r="B265" s="182"/>
      <c r="C265" s="219"/>
      <c r="D265" s="219"/>
    </row>
    <row r="266" spans="1:4" ht="30" customHeight="1" x14ac:dyDescent="0.25">
      <c r="A266" s="1052" t="s">
        <v>1932</v>
      </c>
      <c r="B266" s="1053"/>
      <c r="C266" s="219"/>
      <c r="D266" s="219"/>
    </row>
    <row r="267" spans="1:4" ht="30" customHeight="1" x14ac:dyDescent="0.25">
      <c r="A267" s="912"/>
      <c r="B267" s="182"/>
      <c r="C267" s="219"/>
      <c r="D267" s="219"/>
    </row>
    <row r="268" spans="1:4" ht="47.25" customHeight="1" x14ac:dyDescent="0.25">
      <c r="A268" s="1052" t="s">
        <v>1933</v>
      </c>
      <c r="B268" s="1053"/>
      <c r="C268" s="219"/>
      <c r="D268" s="219"/>
    </row>
    <row r="269" spans="1:4" ht="30" customHeight="1" x14ac:dyDescent="0.25">
      <c r="A269" s="912"/>
      <c r="B269" s="182"/>
      <c r="C269" s="219"/>
      <c r="D269" s="219"/>
    </row>
    <row r="270" spans="1:4" ht="30" customHeight="1" x14ac:dyDescent="0.25">
      <c r="A270" s="1052" t="s">
        <v>1934</v>
      </c>
      <c r="B270" s="1053"/>
      <c r="C270" s="219"/>
      <c r="D270" s="219"/>
    </row>
    <row r="271" spans="1:4" ht="30" customHeight="1" x14ac:dyDescent="0.25">
      <c r="A271" s="912"/>
      <c r="B271" s="182"/>
      <c r="C271" s="219"/>
      <c r="D271" s="219"/>
    </row>
    <row r="272" spans="1:4" ht="30" customHeight="1" x14ac:dyDescent="0.25">
      <c r="A272" s="1052" t="s">
        <v>1935</v>
      </c>
      <c r="B272" s="1053"/>
      <c r="C272" s="219"/>
      <c r="D272" s="219"/>
    </row>
    <row r="273" spans="1:4" ht="30" customHeight="1" x14ac:dyDescent="0.25">
      <c r="A273" s="845"/>
      <c r="B273" s="182"/>
      <c r="C273" s="219"/>
      <c r="D273" s="219"/>
    </row>
    <row r="274" spans="1:4" ht="30" customHeight="1" x14ac:dyDescent="0.25">
      <c r="A274" s="1052" t="s">
        <v>1936</v>
      </c>
      <c r="B274" s="1053"/>
      <c r="C274" s="219"/>
      <c r="D274" s="219"/>
    </row>
    <row r="275" spans="1:4" ht="30" customHeight="1" x14ac:dyDescent="0.25">
      <c r="A275" s="845"/>
      <c r="B275" s="182"/>
      <c r="C275" s="219"/>
      <c r="D275" s="219"/>
    </row>
    <row r="276" spans="1:4" ht="30" customHeight="1" x14ac:dyDescent="0.25">
      <c r="A276" s="1052" t="s">
        <v>1937</v>
      </c>
      <c r="B276" s="1053"/>
      <c r="C276" s="219"/>
      <c r="D276" s="219"/>
    </row>
    <row r="277" spans="1:4" ht="30" customHeight="1" x14ac:dyDescent="0.25">
      <c r="A277" s="845"/>
      <c r="B277" s="182"/>
      <c r="C277" s="219"/>
      <c r="D277" s="219"/>
    </row>
    <row r="278" spans="1:4" ht="30" customHeight="1" x14ac:dyDescent="0.25">
      <c r="A278" s="1052" t="s">
        <v>1938</v>
      </c>
      <c r="B278" s="1053"/>
      <c r="C278" s="219"/>
      <c r="D278" s="219"/>
    </row>
    <row r="279" spans="1:4" ht="30" customHeight="1" x14ac:dyDescent="0.25">
      <c r="A279" s="912"/>
      <c r="B279" s="182"/>
      <c r="C279" s="219"/>
      <c r="D279" s="219"/>
    </row>
    <row r="280" spans="1:4" ht="41.25" customHeight="1" x14ac:dyDescent="0.25">
      <c r="A280" s="1052" t="s">
        <v>1939</v>
      </c>
      <c r="B280" s="1053"/>
      <c r="C280" s="219"/>
      <c r="D280" s="219"/>
    </row>
    <row r="281" spans="1:4" ht="30" customHeight="1" x14ac:dyDescent="0.25">
      <c r="A281" s="912"/>
      <c r="B281" s="182"/>
      <c r="C281" s="219"/>
      <c r="D281" s="219"/>
    </row>
    <row r="282" spans="1:4" ht="49.5" customHeight="1" x14ac:dyDescent="0.25">
      <c r="A282" s="1052" t="s">
        <v>1940</v>
      </c>
      <c r="B282" s="1053"/>
      <c r="C282" s="219"/>
      <c r="D282" s="219"/>
    </row>
    <row r="283" spans="1:4" ht="30" customHeight="1" x14ac:dyDescent="0.25">
      <c r="A283" s="845"/>
      <c r="B283" s="182"/>
      <c r="C283" s="219"/>
      <c r="D283" s="219"/>
    </row>
    <row r="284" spans="1:4" ht="42" customHeight="1" x14ac:dyDescent="0.25">
      <c r="A284" s="1052" t="s">
        <v>1941</v>
      </c>
      <c r="B284" s="1053"/>
      <c r="C284" s="219"/>
      <c r="D284" s="219"/>
    </row>
    <row r="285" spans="1:4" ht="30" customHeight="1" x14ac:dyDescent="0.25">
      <c r="A285" s="912"/>
      <c r="B285" s="182"/>
      <c r="C285" s="219"/>
      <c r="D285" s="219"/>
    </row>
    <row r="286" spans="1:4" ht="46.5" customHeight="1" x14ac:dyDescent="0.25">
      <c r="A286" s="1052" t="s">
        <v>1942</v>
      </c>
      <c r="B286" s="1053"/>
      <c r="C286" s="219"/>
      <c r="D286" s="219"/>
    </row>
    <row r="287" spans="1:4" ht="30" customHeight="1" x14ac:dyDescent="0.25">
      <c r="A287" s="912"/>
      <c r="B287" s="182"/>
      <c r="C287" s="219"/>
      <c r="D287" s="219"/>
    </row>
    <row r="288" spans="1:4" ht="44.25" customHeight="1" x14ac:dyDescent="0.25">
      <c r="A288" s="1052" t="s">
        <v>1943</v>
      </c>
      <c r="B288" s="1053"/>
      <c r="C288" s="219"/>
      <c r="D288" s="219"/>
    </row>
    <row r="289" spans="1:4" ht="30" customHeight="1" x14ac:dyDescent="0.25">
      <c r="A289" s="912"/>
      <c r="B289" s="182"/>
      <c r="C289" s="219"/>
      <c r="D289" s="219"/>
    </row>
    <row r="290" spans="1:4" ht="46.5" customHeight="1" x14ac:dyDescent="0.25">
      <c r="A290" s="1052" t="s">
        <v>1944</v>
      </c>
      <c r="B290" s="1053"/>
      <c r="C290" s="219"/>
      <c r="D290" s="219"/>
    </row>
    <row r="291" spans="1:4" ht="30" customHeight="1" x14ac:dyDescent="0.25">
      <c r="A291" s="912"/>
      <c r="B291" s="182"/>
      <c r="C291" s="219"/>
      <c r="D291" s="219"/>
    </row>
    <row r="292" spans="1:4" ht="43.5" customHeight="1" x14ac:dyDescent="0.25">
      <c r="A292" s="1052" t="s">
        <v>1945</v>
      </c>
      <c r="B292" s="1053"/>
      <c r="C292" s="219"/>
      <c r="D292" s="219"/>
    </row>
    <row r="293" spans="1:4" ht="30" customHeight="1" x14ac:dyDescent="0.25">
      <c r="A293" s="912"/>
      <c r="B293" s="182"/>
      <c r="C293" s="219"/>
      <c r="D293" s="219"/>
    </row>
    <row r="294" spans="1:4" ht="42.75" customHeight="1" x14ac:dyDescent="0.25">
      <c r="A294" s="1052" t="s">
        <v>1946</v>
      </c>
      <c r="B294" s="1053"/>
      <c r="C294" s="219"/>
      <c r="D294" s="219"/>
    </row>
    <row r="295" spans="1:4" ht="30" customHeight="1" x14ac:dyDescent="0.25">
      <c r="A295" s="912"/>
      <c r="B295" s="182"/>
      <c r="C295" s="219"/>
      <c r="D295" s="219"/>
    </row>
    <row r="296" spans="1:4" ht="50.25" customHeight="1" x14ac:dyDescent="0.25">
      <c r="A296" s="1052" t="s">
        <v>1947</v>
      </c>
      <c r="B296" s="1053"/>
      <c r="C296" s="219"/>
      <c r="D296" s="219"/>
    </row>
    <row r="297" spans="1:4" ht="30" customHeight="1" x14ac:dyDescent="0.25">
      <c r="A297" s="912"/>
      <c r="B297" s="182"/>
      <c r="C297" s="219"/>
      <c r="D297" s="219"/>
    </row>
    <row r="298" spans="1:4" ht="50.25" customHeight="1" x14ac:dyDescent="0.25">
      <c r="A298" s="1052" t="s">
        <v>1948</v>
      </c>
      <c r="B298" s="1053"/>
      <c r="C298" s="219"/>
      <c r="D298" s="219"/>
    </row>
    <row r="299" spans="1:4" ht="30" customHeight="1" x14ac:dyDescent="0.25">
      <c r="A299" s="912"/>
      <c r="B299" s="182"/>
      <c r="C299" s="219"/>
      <c r="D299" s="219"/>
    </row>
    <row r="300" spans="1:4" ht="45" customHeight="1" x14ac:dyDescent="0.25">
      <c r="A300" s="1052" t="s">
        <v>1949</v>
      </c>
      <c r="B300" s="1053"/>
      <c r="C300" s="219"/>
      <c r="D300" s="219"/>
    </row>
    <row r="301" spans="1:4" ht="30" customHeight="1" x14ac:dyDescent="0.25">
      <c r="A301" s="912"/>
      <c r="B301" s="182"/>
      <c r="C301" s="219"/>
      <c r="D301" s="219"/>
    </row>
    <row r="302" spans="1:4" ht="30" customHeight="1" x14ac:dyDescent="0.25">
      <c r="A302" s="1052" t="s">
        <v>1950</v>
      </c>
      <c r="B302" s="1053"/>
      <c r="C302" s="219"/>
      <c r="D302" s="219"/>
    </row>
    <row r="303" spans="1:4" ht="30" customHeight="1" x14ac:dyDescent="0.25">
      <c r="A303" s="912"/>
      <c r="B303" s="182"/>
      <c r="C303" s="219"/>
      <c r="D303" s="219"/>
    </row>
    <row r="304" spans="1:4" ht="44.25" customHeight="1" x14ac:dyDescent="0.25">
      <c r="A304" s="1052" t="s">
        <v>1951</v>
      </c>
      <c r="B304" s="1053"/>
      <c r="C304" s="219"/>
      <c r="D304" s="219"/>
    </row>
    <row r="305" spans="1:4" ht="30" customHeight="1" x14ac:dyDescent="0.25">
      <c r="A305" s="912"/>
      <c r="B305" s="182"/>
      <c r="C305" s="219"/>
      <c r="D305" s="219"/>
    </row>
    <row r="306" spans="1:4" ht="52.5" customHeight="1" x14ac:dyDescent="0.25">
      <c r="A306" s="1052" t="s">
        <v>1952</v>
      </c>
      <c r="B306" s="1053"/>
      <c r="C306" s="219"/>
      <c r="D306" s="219"/>
    </row>
    <row r="307" spans="1:4" ht="30" customHeight="1" x14ac:dyDescent="0.25">
      <c r="A307" s="912"/>
      <c r="B307" s="182"/>
      <c r="C307" s="219"/>
      <c r="D307" s="219"/>
    </row>
    <row r="308" spans="1:4" ht="40.5" customHeight="1" x14ac:dyDescent="0.25">
      <c r="A308" s="1052" t="s">
        <v>1953</v>
      </c>
      <c r="B308" s="1053"/>
      <c r="C308" s="219"/>
      <c r="D308" s="219"/>
    </row>
    <row r="309" spans="1:4" ht="30" customHeight="1" x14ac:dyDescent="0.25">
      <c r="A309" s="912"/>
      <c r="B309" s="182"/>
      <c r="C309" s="219"/>
      <c r="D309" s="219"/>
    </row>
    <row r="310" spans="1:4" ht="43.5" customHeight="1" x14ac:dyDescent="0.25">
      <c r="A310" s="1052" t="s">
        <v>1954</v>
      </c>
      <c r="B310" s="1053"/>
      <c r="C310" s="219"/>
      <c r="D310" s="219"/>
    </row>
    <row r="311" spans="1:4" ht="30" customHeight="1" x14ac:dyDescent="0.25">
      <c r="A311" s="912"/>
      <c r="B311" s="182"/>
      <c r="C311" s="219"/>
      <c r="D311" s="219"/>
    </row>
    <row r="312" spans="1:4" ht="54" customHeight="1" x14ac:dyDescent="0.25">
      <c r="A312" s="1052" t="s">
        <v>1955</v>
      </c>
      <c r="B312" s="1053"/>
      <c r="C312" s="219"/>
      <c r="D312" s="219"/>
    </row>
    <row r="313" spans="1:4" ht="30" customHeight="1" x14ac:dyDescent="0.25">
      <c r="A313" s="912"/>
      <c r="B313" s="182"/>
      <c r="C313" s="219"/>
      <c r="D313" s="219"/>
    </row>
    <row r="314" spans="1:4" ht="50.25" customHeight="1" x14ac:dyDescent="0.25">
      <c r="A314" s="1052" t="s">
        <v>1956</v>
      </c>
      <c r="B314" s="1053"/>
      <c r="C314" s="219"/>
      <c r="D314" s="219"/>
    </row>
    <row r="315" spans="1:4" ht="30" customHeight="1" x14ac:dyDescent="0.25">
      <c r="A315" s="912"/>
      <c r="B315" s="182"/>
      <c r="C315" s="219"/>
      <c r="D315" s="219"/>
    </row>
    <row r="316" spans="1:4" ht="50.25" customHeight="1" x14ac:dyDescent="0.25">
      <c r="A316" s="1052" t="s">
        <v>1957</v>
      </c>
      <c r="B316" s="1053"/>
      <c r="C316" s="219"/>
      <c r="D316" s="219"/>
    </row>
    <row r="317" spans="1:4" ht="30" customHeight="1" x14ac:dyDescent="0.25">
      <c r="A317" s="912"/>
      <c r="B317" s="182"/>
      <c r="C317" s="219"/>
      <c r="D317" s="219"/>
    </row>
    <row r="318" spans="1:4" ht="52.5" customHeight="1" x14ac:dyDescent="0.25">
      <c r="A318" s="1052" t="s">
        <v>1958</v>
      </c>
      <c r="B318" s="1053"/>
      <c r="C318" s="219"/>
      <c r="D318" s="219"/>
    </row>
    <row r="319" spans="1:4" ht="30" customHeight="1" x14ac:dyDescent="0.25">
      <c r="A319" s="912"/>
      <c r="B319" s="182"/>
      <c r="C319" s="219"/>
      <c r="D319" s="219"/>
    </row>
    <row r="320" spans="1:4" ht="48" customHeight="1" x14ac:dyDescent="0.25">
      <c r="A320" s="1052" t="s">
        <v>1959</v>
      </c>
      <c r="B320" s="1053"/>
      <c r="C320" s="219"/>
      <c r="D320" s="219"/>
    </row>
    <row r="321" spans="1:4" ht="30" customHeight="1" x14ac:dyDescent="0.25">
      <c r="A321" s="912"/>
      <c r="B321" s="182"/>
      <c r="C321" s="219"/>
      <c r="D321" s="219"/>
    </row>
    <row r="322" spans="1:4" ht="42.75" customHeight="1" x14ac:dyDescent="0.25">
      <c r="A322" s="1052" t="s">
        <v>1960</v>
      </c>
      <c r="B322" s="1053"/>
      <c r="C322" s="219"/>
      <c r="D322" s="219"/>
    </row>
    <row r="323" spans="1:4" ht="30" customHeight="1" x14ac:dyDescent="0.25">
      <c r="A323" s="912"/>
      <c r="B323" s="182"/>
      <c r="C323" s="219"/>
      <c r="D323" s="219"/>
    </row>
    <row r="324" spans="1:4" ht="48" customHeight="1" x14ac:dyDescent="0.25">
      <c r="A324" s="1052" t="s">
        <v>1961</v>
      </c>
      <c r="B324" s="1053"/>
      <c r="C324" s="219"/>
      <c r="D324" s="219"/>
    </row>
    <row r="325" spans="1:4" ht="30" customHeight="1" x14ac:dyDescent="0.25">
      <c r="A325" s="912"/>
      <c r="B325" s="182"/>
      <c r="C325" s="219"/>
      <c r="D325" s="219"/>
    </row>
    <row r="326" spans="1:4" ht="48.75" customHeight="1" x14ac:dyDescent="0.25">
      <c r="A326" s="1052" t="s">
        <v>1962</v>
      </c>
      <c r="B326" s="1053"/>
      <c r="C326" s="219"/>
      <c r="D326" s="219"/>
    </row>
    <row r="327" spans="1:4" ht="30" customHeight="1" x14ac:dyDescent="0.25">
      <c r="A327" s="912"/>
      <c r="B327" s="182"/>
      <c r="C327" s="219"/>
      <c r="D327" s="219"/>
    </row>
    <row r="328" spans="1:4" ht="55.5" customHeight="1" x14ac:dyDescent="0.25">
      <c r="A328" s="1052" t="s">
        <v>1963</v>
      </c>
      <c r="B328" s="1053"/>
      <c r="C328" s="219"/>
      <c r="D328" s="219"/>
    </row>
    <row r="329" spans="1:4" ht="30" customHeight="1" x14ac:dyDescent="0.25">
      <c r="A329" s="845"/>
      <c r="B329" s="182"/>
      <c r="C329" s="219"/>
      <c r="D329" s="219"/>
    </row>
    <row r="330" spans="1:4" ht="40.5" customHeight="1" x14ac:dyDescent="0.25">
      <c r="A330" s="1052" t="s">
        <v>1964</v>
      </c>
      <c r="B330" s="1053"/>
      <c r="C330" s="219"/>
      <c r="D330" s="219"/>
    </row>
    <row r="331" spans="1:4" ht="30" customHeight="1" x14ac:dyDescent="0.25">
      <c r="A331" s="845"/>
      <c r="B331" s="182"/>
      <c r="C331" s="219"/>
      <c r="D331" s="219"/>
    </row>
    <row r="332" spans="1:4" ht="30" customHeight="1" x14ac:dyDescent="0.25">
      <c r="A332" s="1052" t="s">
        <v>1965</v>
      </c>
      <c r="B332" s="1053"/>
      <c r="C332" s="219"/>
      <c r="D332" s="219"/>
    </row>
    <row r="333" spans="1:4" ht="30" customHeight="1" x14ac:dyDescent="0.25">
      <c r="A333" s="912"/>
      <c r="B333" s="182"/>
      <c r="C333" s="219"/>
      <c r="D333" s="219"/>
    </row>
    <row r="334" spans="1:4" ht="30" customHeight="1" x14ac:dyDescent="0.25">
      <c r="A334" s="1052" t="s">
        <v>1966</v>
      </c>
      <c r="B334" s="1053"/>
      <c r="C334" s="219"/>
      <c r="D334" s="219"/>
    </row>
    <row r="335" spans="1:4" ht="30" customHeight="1" x14ac:dyDescent="0.25">
      <c r="A335" s="912"/>
      <c r="B335" s="182"/>
      <c r="C335" s="219"/>
      <c r="D335" s="219"/>
    </row>
    <row r="336" spans="1:4" ht="30" customHeight="1" x14ac:dyDescent="0.25">
      <c r="A336" s="1052" t="s">
        <v>1967</v>
      </c>
      <c r="B336" s="1053"/>
      <c r="C336" s="219"/>
      <c r="D336" s="219"/>
    </row>
    <row r="337" spans="1:4" ht="30" customHeight="1" x14ac:dyDescent="0.25">
      <c r="A337" s="912"/>
      <c r="B337" s="182"/>
      <c r="C337" s="219"/>
      <c r="D337" s="219"/>
    </row>
    <row r="338" spans="1:4" ht="44.25" customHeight="1" x14ac:dyDescent="0.25">
      <c r="A338" s="1052" t="s">
        <v>1968</v>
      </c>
      <c r="B338" s="1053"/>
      <c r="C338" s="219"/>
      <c r="D338" s="219"/>
    </row>
    <row r="339" spans="1:4" ht="30" customHeight="1" x14ac:dyDescent="0.25">
      <c r="A339" s="845"/>
      <c r="B339" s="182"/>
      <c r="C339" s="219"/>
      <c r="D339" s="219"/>
    </row>
    <row r="340" spans="1:4" ht="48.75" customHeight="1" x14ac:dyDescent="0.25">
      <c r="A340" s="1052" t="s">
        <v>1969</v>
      </c>
      <c r="B340" s="1053"/>
      <c r="C340" s="219"/>
      <c r="D340" s="219"/>
    </row>
    <row r="341" spans="1:4" ht="30" customHeight="1" x14ac:dyDescent="0.25">
      <c r="A341" s="845"/>
      <c r="B341" s="182"/>
      <c r="C341" s="219"/>
      <c r="D341" s="219"/>
    </row>
    <row r="342" spans="1:4" ht="30" customHeight="1" x14ac:dyDescent="0.25">
      <c r="A342" s="1056" t="s">
        <v>1965</v>
      </c>
      <c r="B342" s="1056"/>
      <c r="C342" s="219"/>
      <c r="D342" s="219"/>
    </row>
    <row r="343" spans="1:4" ht="30" customHeight="1" x14ac:dyDescent="0.25">
      <c r="A343" s="845"/>
      <c r="B343" s="182"/>
      <c r="C343" s="219"/>
      <c r="D343" s="219"/>
    </row>
    <row r="344" spans="1:4" ht="30" customHeight="1" x14ac:dyDescent="0.25">
      <c r="A344" s="1057" t="s">
        <v>1966</v>
      </c>
      <c r="B344" s="1057"/>
      <c r="C344" s="219"/>
      <c r="D344" s="219"/>
    </row>
    <row r="345" spans="1:4" ht="30" customHeight="1" x14ac:dyDescent="0.25">
      <c r="A345" s="845"/>
      <c r="B345" s="182"/>
      <c r="C345" s="219"/>
      <c r="D345" s="219"/>
    </row>
    <row r="346" spans="1:4" ht="30" customHeight="1" x14ac:dyDescent="0.25">
      <c r="A346" s="1057" t="s">
        <v>2180</v>
      </c>
      <c r="B346" s="1057"/>
      <c r="C346" s="219"/>
      <c r="D346" s="219"/>
    </row>
    <row r="347" spans="1:4" ht="30" customHeight="1" x14ac:dyDescent="0.25">
      <c r="A347" s="845"/>
      <c r="B347" s="182"/>
      <c r="C347" s="219"/>
      <c r="D347" s="219"/>
    </row>
    <row r="348" spans="1:4" ht="30" customHeight="1" x14ac:dyDescent="0.25">
      <c r="A348" s="1057" t="s">
        <v>2181</v>
      </c>
      <c r="B348" s="1057"/>
      <c r="C348" s="219"/>
      <c r="D348" s="219"/>
    </row>
    <row r="349" spans="1:4" ht="30" customHeight="1" x14ac:dyDescent="0.25">
      <c r="A349" s="845"/>
      <c r="B349" s="182"/>
      <c r="C349" s="219"/>
      <c r="D349" s="219"/>
    </row>
    <row r="350" spans="1:4" ht="30" customHeight="1" x14ac:dyDescent="0.25">
      <c r="A350" s="1057" t="s">
        <v>2182</v>
      </c>
      <c r="B350" s="1057"/>
      <c r="C350" s="219"/>
      <c r="D350" s="219"/>
    </row>
    <row r="351" spans="1:4" ht="30" customHeight="1" x14ac:dyDescent="0.25">
      <c r="A351" s="846"/>
      <c r="B351" s="182"/>
      <c r="C351" s="219"/>
      <c r="D351" s="219"/>
    </row>
    <row r="352" spans="1:4" ht="30" customHeight="1" x14ac:dyDescent="0.25">
      <c r="A352" s="1057" t="s">
        <v>2183</v>
      </c>
      <c r="B352" s="1057"/>
      <c r="C352" s="219"/>
      <c r="D352" s="219"/>
    </row>
    <row r="353" spans="1:16384" ht="30" customHeight="1" x14ac:dyDescent="0.25">
      <c r="A353" s="1057" t="s">
        <v>2184</v>
      </c>
      <c r="B353" s="1057"/>
      <c r="C353" s="219"/>
      <c r="D353" s="219"/>
    </row>
    <row r="354" spans="1:16384" ht="30" customHeight="1" x14ac:dyDescent="0.25">
      <c r="A354" s="1057" t="s">
        <v>2185</v>
      </c>
      <c r="B354" s="1057"/>
      <c r="C354" s="219"/>
      <c r="D354" s="219"/>
    </row>
    <row r="355" spans="1:16384" ht="30" customHeight="1" x14ac:dyDescent="0.25">
      <c r="A355" s="1052"/>
      <c r="B355" s="1053"/>
      <c r="C355" s="1052"/>
      <c r="D355" s="1053"/>
      <c r="E355" s="1054"/>
      <c r="F355" s="1055"/>
      <c r="G355" s="1054"/>
      <c r="H355" s="1055"/>
      <c r="I355" s="1054"/>
      <c r="J355" s="1055"/>
      <c r="K355" s="1054"/>
      <c r="L355" s="1055"/>
      <c r="M355" s="1054"/>
      <c r="N355" s="1055"/>
      <c r="O355" s="1054"/>
      <c r="P355" s="1055"/>
      <c r="Q355" s="1054"/>
      <c r="R355" s="1055"/>
      <c r="S355" s="1054"/>
      <c r="T355" s="1055"/>
      <c r="U355" s="1054"/>
      <c r="V355" s="1055"/>
      <c r="W355" s="1054"/>
      <c r="X355" s="1055"/>
      <c r="Y355" s="1054"/>
      <c r="Z355" s="1055"/>
      <c r="AA355" s="1054"/>
      <c r="AB355" s="1055"/>
      <c r="AC355" s="1054"/>
      <c r="AD355" s="1055"/>
      <c r="AE355" s="1054"/>
      <c r="AF355" s="1055"/>
      <c r="AG355" s="1054"/>
      <c r="AH355" s="1055"/>
      <c r="AI355" s="1054"/>
      <c r="AJ355" s="1055"/>
      <c r="AK355" s="1054"/>
      <c r="AL355" s="1055"/>
      <c r="AM355" s="1054"/>
      <c r="AN355" s="1055"/>
      <c r="AO355" s="1054"/>
      <c r="AP355" s="1055"/>
      <c r="AQ355" s="1054"/>
      <c r="AR355" s="1055"/>
      <c r="AS355" s="1054"/>
      <c r="AT355" s="1055"/>
      <c r="AU355" s="1054"/>
      <c r="AV355" s="1055"/>
      <c r="AW355" s="1054"/>
      <c r="AX355" s="1055"/>
      <c r="AY355" s="1054"/>
      <c r="AZ355" s="1055"/>
      <c r="BA355" s="1054"/>
      <c r="BB355" s="1055"/>
      <c r="BC355" s="1054"/>
      <c r="BD355" s="1055"/>
      <c r="BE355" s="1054"/>
      <c r="BF355" s="1055"/>
      <c r="BG355" s="1054"/>
      <c r="BH355" s="1055"/>
      <c r="BI355" s="1054"/>
      <c r="BJ355" s="1055"/>
      <c r="BK355" s="1054"/>
      <c r="BL355" s="1055"/>
      <c r="BM355" s="1054"/>
      <c r="BN355" s="1055"/>
      <c r="BO355" s="1054"/>
      <c r="BP355" s="1055"/>
      <c r="BQ355" s="1054"/>
      <c r="BR355" s="1055"/>
      <c r="BS355" s="1054"/>
      <c r="BT355" s="1055"/>
      <c r="BU355" s="1054"/>
      <c r="BV355" s="1055"/>
      <c r="BW355" s="1054"/>
      <c r="BX355" s="1055"/>
      <c r="BY355" s="1054"/>
      <c r="BZ355" s="1055"/>
      <c r="CA355" s="1054"/>
      <c r="CB355" s="1055"/>
      <c r="CC355" s="1054"/>
      <c r="CD355" s="1055"/>
      <c r="CE355" s="1054"/>
      <c r="CF355" s="1055"/>
      <c r="CG355" s="1054"/>
      <c r="CH355" s="1055"/>
      <c r="CI355" s="1054"/>
      <c r="CJ355" s="1055"/>
      <c r="CK355" s="1054"/>
      <c r="CL355" s="1055"/>
      <c r="CM355" s="1054"/>
      <c r="CN355" s="1055"/>
      <c r="CO355" s="1054"/>
      <c r="CP355" s="1055"/>
      <c r="CQ355" s="1054"/>
      <c r="CR355" s="1055"/>
      <c r="CS355" s="1054"/>
      <c r="CT355" s="1055"/>
      <c r="CU355" s="1054"/>
      <c r="CV355" s="1055"/>
      <c r="CW355" s="1054"/>
      <c r="CX355" s="1055"/>
      <c r="CY355" s="1054"/>
      <c r="CZ355" s="1055"/>
      <c r="DA355" s="1054"/>
      <c r="DB355" s="1055"/>
      <c r="DC355" s="1054"/>
      <c r="DD355" s="1055"/>
      <c r="DE355" s="1054"/>
      <c r="DF355" s="1055"/>
      <c r="DG355" s="1054"/>
      <c r="DH355" s="1055"/>
      <c r="DI355" s="1054"/>
      <c r="DJ355" s="1055"/>
      <c r="DK355" s="1054"/>
      <c r="DL355" s="1055"/>
      <c r="DM355" s="1054"/>
      <c r="DN355" s="1055"/>
      <c r="DO355" s="1054"/>
      <c r="DP355" s="1055"/>
      <c r="DQ355" s="1054"/>
      <c r="DR355" s="1055"/>
      <c r="DS355" s="1054"/>
      <c r="DT355" s="1055"/>
      <c r="DU355" s="1054"/>
      <c r="DV355" s="1055"/>
      <c r="DW355" s="1054"/>
      <c r="DX355" s="1055"/>
      <c r="DY355" s="1054"/>
      <c r="DZ355" s="1055"/>
      <c r="EA355" s="1054"/>
      <c r="EB355" s="1055"/>
      <c r="EC355" s="1054"/>
      <c r="ED355" s="1055"/>
      <c r="EE355" s="1054"/>
      <c r="EF355" s="1055"/>
      <c r="EG355" s="1054"/>
      <c r="EH355" s="1055"/>
      <c r="EI355" s="1054"/>
      <c r="EJ355" s="1055"/>
      <c r="EK355" s="1054"/>
      <c r="EL355" s="1055"/>
      <c r="EM355" s="1054"/>
      <c r="EN355" s="1055"/>
      <c r="EO355" s="1054"/>
      <c r="EP355" s="1055"/>
      <c r="EQ355" s="1054"/>
      <c r="ER355" s="1055"/>
      <c r="ES355" s="1054"/>
      <c r="ET355" s="1055"/>
      <c r="EU355" s="1054"/>
      <c r="EV355" s="1055"/>
      <c r="EW355" s="1054"/>
      <c r="EX355" s="1055"/>
      <c r="EY355" s="1054"/>
      <c r="EZ355" s="1055"/>
      <c r="FA355" s="1054"/>
      <c r="FB355" s="1055"/>
      <c r="FC355" s="1054"/>
      <c r="FD355" s="1055"/>
      <c r="FE355" s="1054"/>
      <c r="FF355" s="1055"/>
      <c r="FG355" s="1054"/>
      <c r="FH355" s="1055"/>
      <c r="FI355" s="1054"/>
      <c r="FJ355" s="1055"/>
      <c r="FK355" s="1054"/>
      <c r="FL355" s="1055"/>
      <c r="FM355" s="1054"/>
      <c r="FN355" s="1055"/>
      <c r="FO355" s="1054"/>
      <c r="FP355" s="1055"/>
      <c r="FQ355" s="1054"/>
      <c r="FR355" s="1055"/>
      <c r="FS355" s="1054"/>
      <c r="FT355" s="1055"/>
      <c r="FU355" s="1054"/>
      <c r="FV355" s="1055"/>
      <c r="FW355" s="1054"/>
      <c r="FX355" s="1055"/>
      <c r="FY355" s="1054"/>
      <c r="FZ355" s="1055"/>
      <c r="GA355" s="1054"/>
      <c r="GB355" s="1055"/>
      <c r="GC355" s="1054"/>
      <c r="GD355" s="1055"/>
      <c r="GE355" s="1054"/>
      <c r="GF355" s="1055"/>
      <c r="GG355" s="1054"/>
      <c r="GH355" s="1055"/>
      <c r="GI355" s="1054"/>
      <c r="GJ355" s="1055"/>
      <c r="GK355" s="1054"/>
      <c r="GL355" s="1055"/>
      <c r="GM355" s="1054"/>
      <c r="GN355" s="1055"/>
      <c r="GO355" s="1054"/>
      <c r="GP355" s="1055"/>
      <c r="GQ355" s="1054"/>
      <c r="GR355" s="1055"/>
      <c r="GS355" s="1054"/>
      <c r="GT355" s="1055"/>
      <c r="GU355" s="1054"/>
      <c r="GV355" s="1055"/>
      <c r="GW355" s="1054"/>
      <c r="GX355" s="1055"/>
      <c r="GY355" s="1054"/>
      <c r="GZ355" s="1055"/>
      <c r="HA355" s="1054"/>
      <c r="HB355" s="1055"/>
      <c r="HC355" s="1054"/>
      <c r="HD355" s="1055"/>
      <c r="HE355" s="1054"/>
      <c r="HF355" s="1055"/>
      <c r="HG355" s="1054"/>
      <c r="HH355" s="1055"/>
      <c r="HI355" s="1054"/>
      <c r="HJ355" s="1055"/>
      <c r="HK355" s="1054"/>
      <c r="HL355" s="1055"/>
      <c r="HM355" s="1054"/>
      <c r="HN355" s="1055"/>
      <c r="HO355" s="1054"/>
      <c r="HP355" s="1055"/>
      <c r="HQ355" s="1054"/>
      <c r="HR355" s="1055"/>
      <c r="HS355" s="1054"/>
      <c r="HT355" s="1055"/>
      <c r="HU355" s="1054"/>
      <c r="HV355" s="1055"/>
      <c r="HW355" s="1054"/>
      <c r="HX355" s="1055"/>
      <c r="HY355" s="1054"/>
      <c r="HZ355" s="1055"/>
      <c r="IA355" s="1054"/>
      <c r="IB355" s="1055"/>
      <c r="IC355" s="1054"/>
      <c r="ID355" s="1055"/>
      <c r="IE355" s="1054"/>
      <c r="IF355" s="1055"/>
      <c r="IG355" s="1054"/>
      <c r="IH355" s="1055"/>
      <c r="II355" s="1054"/>
      <c r="IJ355" s="1055"/>
      <c r="IK355" s="1054"/>
      <c r="IL355" s="1055"/>
      <c r="IM355" s="1054"/>
      <c r="IN355" s="1055"/>
      <c r="IO355" s="1054"/>
      <c r="IP355" s="1055"/>
      <c r="IQ355" s="1054"/>
      <c r="IR355" s="1055"/>
      <c r="IS355" s="1054"/>
      <c r="IT355" s="1055"/>
      <c r="IU355" s="1054"/>
      <c r="IV355" s="1055"/>
      <c r="IW355" s="1054"/>
      <c r="IX355" s="1055"/>
      <c r="IY355" s="1054"/>
      <c r="IZ355" s="1055"/>
      <c r="JA355" s="1054"/>
      <c r="JB355" s="1055"/>
      <c r="JC355" s="1054"/>
      <c r="JD355" s="1055"/>
      <c r="JE355" s="1054"/>
      <c r="JF355" s="1055"/>
      <c r="JG355" s="1054"/>
      <c r="JH355" s="1055"/>
      <c r="JI355" s="1054"/>
      <c r="JJ355" s="1055"/>
      <c r="JK355" s="1054"/>
      <c r="JL355" s="1055"/>
      <c r="JM355" s="1054"/>
      <c r="JN355" s="1055"/>
      <c r="JO355" s="1054"/>
      <c r="JP355" s="1055"/>
      <c r="JQ355" s="1054"/>
      <c r="JR355" s="1055"/>
      <c r="JS355" s="1054"/>
      <c r="JT355" s="1055"/>
      <c r="JU355" s="1054"/>
      <c r="JV355" s="1055"/>
      <c r="JW355" s="1054"/>
      <c r="JX355" s="1055"/>
      <c r="JY355" s="1054"/>
      <c r="JZ355" s="1055"/>
      <c r="KA355" s="1054"/>
      <c r="KB355" s="1055"/>
      <c r="KC355" s="1054"/>
      <c r="KD355" s="1055"/>
      <c r="KE355" s="1054"/>
      <c r="KF355" s="1055"/>
      <c r="KG355" s="1054"/>
      <c r="KH355" s="1055"/>
      <c r="KI355" s="1054"/>
      <c r="KJ355" s="1055"/>
      <c r="KK355" s="1054"/>
      <c r="KL355" s="1055"/>
      <c r="KM355" s="1054"/>
      <c r="KN355" s="1055"/>
      <c r="KO355" s="1054"/>
      <c r="KP355" s="1055"/>
      <c r="KQ355" s="1054"/>
      <c r="KR355" s="1055"/>
      <c r="KS355" s="1054"/>
      <c r="KT355" s="1055"/>
      <c r="KU355" s="1054"/>
      <c r="KV355" s="1055"/>
      <c r="KW355" s="1054"/>
      <c r="KX355" s="1055"/>
      <c r="KY355" s="1054"/>
      <c r="KZ355" s="1055"/>
      <c r="LA355" s="1054"/>
      <c r="LB355" s="1055"/>
      <c r="LC355" s="1054"/>
      <c r="LD355" s="1055"/>
      <c r="LE355" s="1054"/>
      <c r="LF355" s="1055"/>
      <c r="LG355" s="1054"/>
      <c r="LH355" s="1055"/>
      <c r="LI355" s="1054"/>
      <c r="LJ355" s="1055"/>
      <c r="LK355" s="1054"/>
      <c r="LL355" s="1055"/>
      <c r="LM355" s="1054"/>
      <c r="LN355" s="1055"/>
      <c r="LO355" s="1054"/>
      <c r="LP355" s="1055"/>
      <c r="LQ355" s="1054"/>
      <c r="LR355" s="1055"/>
      <c r="LS355" s="1054"/>
      <c r="LT355" s="1055"/>
      <c r="LU355" s="1054"/>
      <c r="LV355" s="1055"/>
      <c r="LW355" s="1054"/>
      <c r="LX355" s="1055"/>
      <c r="LY355" s="1054"/>
      <c r="LZ355" s="1055"/>
      <c r="MA355" s="1054"/>
      <c r="MB355" s="1055"/>
      <c r="MC355" s="1054"/>
      <c r="MD355" s="1055"/>
      <c r="ME355" s="1054"/>
      <c r="MF355" s="1055"/>
      <c r="MG355" s="1054"/>
      <c r="MH355" s="1055"/>
      <c r="MI355" s="1054"/>
      <c r="MJ355" s="1055"/>
      <c r="MK355" s="1054"/>
      <c r="ML355" s="1055"/>
      <c r="MM355" s="1054"/>
      <c r="MN355" s="1055"/>
      <c r="MO355" s="1054"/>
      <c r="MP355" s="1055"/>
      <c r="MQ355" s="1054"/>
      <c r="MR355" s="1055"/>
      <c r="MS355" s="1054"/>
      <c r="MT355" s="1055"/>
      <c r="MU355" s="1054"/>
      <c r="MV355" s="1055"/>
      <c r="MW355" s="1054"/>
      <c r="MX355" s="1055"/>
      <c r="MY355" s="1054"/>
      <c r="MZ355" s="1055"/>
      <c r="NA355" s="1054"/>
      <c r="NB355" s="1055"/>
      <c r="NC355" s="1054"/>
      <c r="ND355" s="1055"/>
      <c r="NE355" s="1054"/>
      <c r="NF355" s="1055"/>
      <c r="NG355" s="1054"/>
      <c r="NH355" s="1055"/>
      <c r="NI355" s="1054"/>
      <c r="NJ355" s="1055"/>
      <c r="NK355" s="1054"/>
      <c r="NL355" s="1055"/>
      <c r="NM355" s="1054"/>
      <c r="NN355" s="1055"/>
      <c r="NO355" s="1054"/>
      <c r="NP355" s="1055"/>
      <c r="NQ355" s="1054"/>
      <c r="NR355" s="1055"/>
      <c r="NS355" s="1054"/>
      <c r="NT355" s="1055"/>
      <c r="NU355" s="1054"/>
      <c r="NV355" s="1055"/>
      <c r="NW355" s="1054"/>
      <c r="NX355" s="1055"/>
      <c r="NY355" s="1054"/>
      <c r="NZ355" s="1055"/>
      <c r="OA355" s="1054"/>
      <c r="OB355" s="1055"/>
      <c r="OC355" s="1054"/>
      <c r="OD355" s="1055"/>
      <c r="OE355" s="1054"/>
      <c r="OF355" s="1055"/>
      <c r="OG355" s="1054"/>
      <c r="OH355" s="1055"/>
      <c r="OI355" s="1054"/>
      <c r="OJ355" s="1055"/>
      <c r="OK355" s="1054"/>
      <c r="OL355" s="1055"/>
      <c r="OM355" s="1054"/>
      <c r="ON355" s="1055"/>
      <c r="OO355" s="1054"/>
      <c r="OP355" s="1055"/>
      <c r="OQ355" s="1054"/>
      <c r="OR355" s="1055"/>
      <c r="OS355" s="1054"/>
      <c r="OT355" s="1055"/>
      <c r="OU355" s="1054"/>
      <c r="OV355" s="1055"/>
      <c r="OW355" s="1054"/>
      <c r="OX355" s="1055"/>
      <c r="OY355" s="1054"/>
      <c r="OZ355" s="1055"/>
      <c r="PA355" s="1054"/>
      <c r="PB355" s="1055"/>
      <c r="PC355" s="1054"/>
      <c r="PD355" s="1055"/>
      <c r="PE355" s="1054"/>
      <c r="PF355" s="1055"/>
      <c r="PG355" s="1054"/>
      <c r="PH355" s="1055"/>
      <c r="PI355" s="1054"/>
      <c r="PJ355" s="1055"/>
      <c r="PK355" s="1054"/>
      <c r="PL355" s="1055"/>
      <c r="PM355" s="1054"/>
      <c r="PN355" s="1055"/>
      <c r="PO355" s="1054"/>
      <c r="PP355" s="1055"/>
      <c r="PQ355" s="1054"/>
      <c r="PR355" s="1055"/>
      <c r="PS355" s="1054"/>
      <c r="PT355" s="1055"/>
      <c r="PU355" s="1054"/>
      <c r="PV355" s="1055"/>
      <c r="PW355" s="1054"/>
      <c r="PX355" s="1055"/>
      <c r="PY355" s="1054"/>
      <c r="PZ355" s="1055"/>
      <c r="QA355" s="1054"/>
      <c r="QB355" s="1055"/>
      <c r="QC355" s="1054"/>
      <c r="QD355" s="1055"/>
      <c r="QE355" s="1054"/>
      <c r="QF355" s="1055"/>
      <c r="QG355" s="1054"/>
      <c r="QH355" s="1055"/>
      <c r="QI355" s="1054"/>
      <c r="QJ355" s="1055"/>
      <c r="QK355" s="1054"/>
      <c r="QL355" s="1055"/>
      <c r="QM355" s="1054"/>
      <c r="QN355" s="1055"/>
      <c r="QO355" s="1054"/>
      <c r="QP355" s="1055"/>
      <c r="QQ355" s="1054"/>
      <c r="QR355" s="1055"/>
      <c r="QS355" s="1054"/>
      <c r="QT355" s="1055"/>
      <c r="QU355" s="1054"/>
      <c r="QV355" s="1055"/>
      <c r="QW355" s="1054"/>
      <c r="QX355" s="1055"/>
      <c r="QY355" s="1054"/>
      <c r="QZ355" s="1055"/>
      <c r="RA355" s="1054"/>
      <c r="RB355" s="1055"/>
      <c r="RC355" s="1054"/>
      <c r="RD355" s="1055"/>
      <c r="RE355" s="1054"/>
      <c r="RF355" s="1055"/>
      <c r="RG355" s="1054"/>
      <c r="RH355" s="1055"/>
      <c r="RI355" s="1054"/>
      <c r="RJ355" s="1055"/>
      <c r="RK355" s="1054"/>
      <c r="RL355" s="1055"/>
      <c r="RM355" s="1054"/>
      <c r="RN355" s="1055"/>
      <c r="RO355" s="1054"/>
      <c r="RP355" s="1055"/>
      <c r="RQ355" s="1054"/>
      <c r="RR355" s="1055"/>
      <c r="RS355" s="1054"/>
      <c r="RT355" s="1055"/>
      <c r="RU355" s="1054"/>
      <c r="RV355" s="1055"/>
      <c r="RW355" s="1054"/>
      <c r="RX355" s="1055"/>
      <c r="RY355" s="1054"/>
      <c r="RZ355" s="1055"/>
      <c r="SA355" s="1054"/>
      <c r="SB355" s="1055"/>
      <c r="SC355" s="1054"/>
      <c r="SD355" s="1055"/>
      <c r="SE355" s="1054"/>
      <c r="SF355" s="1055"/>
      <c r="SG355" s="1054"/>
      <c r="SH355" s="1055"/>
      <c r="SI355" s="1054"/>
      <c r="SJ355" s="1055"/>
      <c r="SK355" s="1054"/>
      <c r="SL355" s="1055"/>
      <c r="SM355" s="1054"/>
      <c r="SN355" s="1055"/>
      <c r="SO355" s="1054"/>
      <c r="SP355" s="1055"/>
      <c r="SQ355" s="1054"/>
      <c r="SR355" s="1055"/>
      <c r="SS355" s="1054"/>
      <c r="ST355" s="1055"/>
      <c r="SU355" s="1054"/>
      <c r="SV355" s="1055"/>
      <c r="SW355" s="1054"/>
      <c r="SX355" s="1055"/>
      <c r="SY355" s="1054"/>
      <c r="SZ355" s="1055"/>
      <c r="TA355" s="1054"/>
      <c r="TB355" s="1055"/>
      <c r="TC355" s="1054"/>
      <c r="TD355" s="1055"/>
      <c r="TE355" s="1054"/>
      <c r="TF355" s="1055"/>
      <c r="TG355" s="1054"/>
      <c r="TH355" s="1055"/>
      <c r="TI355" s="1054"/>
      <c r="TJ355" s="1055"/>
      <c r="TK355" s="1054"/>
      <c r="TL355" s="1055"/>
      <c r="TM355" s="1054"/>
      <c r="TN355" s="1055"/>
      <c r="TO355" s="1054"/>
      <c r="TP355" s="1055"/>
      <c r="TQ355" s="1054"/>
      <c r="TR355" s="1055"/>
      <c r="TS355" s="1054"/>
      <c r="TT355" s="1055"/>
      <c r="TU355" s="1054"/>
      <c r="TV355" s="1055"/>
      <c r="TW355" s="1054"/>
      <c r="TX355" s="1055"/>
      <c r="TY355" s="1054"/>
      <c r="TZ355" s="1055"/>
      <c r="UA355" s="1054"/>
      <c r="UB355" s="1055"/>
      <c r="UC355" s="1054"/>
      <c r="UD355" s="1055"/>
      <c r="UE355" s="1054"/>
      <c r="UF355" s="1055"/>
      <c r="UG355" s="1054"/>
      <c r="UH355" s="1055"/>
      <c r="UI355" s="1054"/>
      <c r="UJ355" s="1055"/>
      <c r="UK355" s="1054"/>
      <c r="UL355" s="1055"/>
      <c r="UM355" s="1054"/>
      <c r="UN355" s="1055"/>
      <c r="UO355" s="1054"/>
      <c r="UP355" s="1055"/>
      <c r="UQ355" s="1054"/>
      <c r="UR355" s="1055"/>
      <c r="US355" s="1054"/>
      <c r="UT355" s="1055"/>
      <c r="UU355" s="1054"/>
      <c r="UV355" s="1055"/>
      <c r="UW355" s="1054"/>
      <c r="UX355" s="1055"/>
      <c r="UY355" s="1054"/>
      <c r="UZ355" s="1055"/>
      <c r="VA355" s="1054"/>
      <c r="VB355" s="1055"/>
      <c r="VC355" s="1054"/>
      <c r="VD355" s="1055"/>
      <c r="VE355" s="1054"/>
      <c r="VF355" s="1055"/>
      <c r="VG355" s="1054"/>
      <c r="VH355" s="1055"/>
      <c r="VI355" s="1054"/>
      <c r="VJ355" s="1055"/>
      <c r="VK355" s="1054"/>
      <c r="VL355" s="1055"/>
      <c r="VM355" s="1054"/>
      <c r="VN355" s="1055"/>
      <c r="VO355" s="1054"/>
      <c r="VP355" s="1055"/>
      <c r="VQ355" s="1054"/>
      <c r="VR355" s="1055"/>
      <c r="VS355" s="1054"/>
      <c r="VT355" s="1055"/>
      <c r="VU355" s="1054"/>
      <c r="VV355" s="1055"/>
      <c r="VW355" s="1054"/>
      <c r="VX355" s="1055"/>
      <c r="VY355" s="1054"/>
      <c r="VZ355" s="1055"/>
      <c r="WA355" s="1054"/>
      <c r="WB355" s="1055"/>
      <c r="WC355" s="1054"/>
      <c r="WD355" s="1055"/>
      <c r="WE355" s="1054"/>
      <c r="WF355" s="1055"/>
      <c r="WG355" s="1054"/>
      <c r="WH355" s="1055"/>
      <c r="WI355" s="1054"/>
      <c r="WJ355" s="1055"/>
      <c r="WK355" s="1054"/>
      <c r="WL355" s="1055"/>
      <c r="WM355" s="1054"/>
      <c r="WN355" s="1055"/>
      <c r="WO355" s="1054"/>
      <c r="WP355" s="1055"/>
      <c r="WQ355" s="1054"/>
      <c r="WR355" s="1055"/>
      <c r="WS355" s="1054"/>
      <c r="WT355" s="1055"/>
      <c r="WU355" s="1054"/>
      <c r="WV355" s="1055"/>
      <c r="WW355" s="1054"/>
      <c r="WX355" s="1055"/>
      <c r="WY355" s="1054"/>
      <c r="WZ355" s="1055"/>
      <c r="XA355" s="1054"/>
      <c r="XB355" s="1055"/>
      <c r="XC355" s="1054"/>
      <c r="XD355" s="1055"/>
      <c r="XE355" s="1054"/>
      <c r="XF355" s="1055"/>
      <c r="XG355" s="1054"/>
      <c r="XH355" s="1055"/>
      <c r="XI355" s="1054"/>
      <c r="XJ355" s="1055"/>
      <c r="XK355" s="1054"/>
      <c r="XL355" s="1055"/>
      <c r="XM355" s="1054"/>
      <c r="XN355" s="1055"/>
      <c r="XO355" s="1054"/>
      <c r="XP355" s="1055"/>
      <c r="XQ355" s="1054"/>
      <c r="XR355" s="1055"/>
      <c r="XS355" s="1054"/>
      <c r="XT355" s="1055"/>
      <c r="XU355" s="1054"/>
      <c r="XV355" s="1055"/>
      <c r="XW355" s="1054"/>
      <c r="XX355" s="1055"/>
      <c r="XY355" s="1054"/>
      <c r="XZ355" s="1055"/>
      <c r="YA355" s="1054"/>
      <c r="YB355" s="1055"/>
      <c r="YC355" s="1054"/>
      <c r="YD355" s="1055"/>
      <c r="YE355" s="1054"/>
      <c r="YF355" s="1055"/>
      <c r="YG355" s="1054"/>
      <c r="YH355" s="1055"/>
      <c r="YI355" s="1054"/>
      <c r="YJ355" s="1055"/>
      <c r="YK355" s="1054"/>
      <c r="YL355" s="1055"/>
      <c r="YM355" s="1054"/>
      <c r="YN355" s="1055"/>
      <c r="YO355" s="1054"/>
      <c r="YP355" s="1055"/>
      <c r="YQ355" s="1054"/>
      <c r="YR355" s="1055"/>
      <c r="YS355" s="1054"/>
      <c r="YT355" s="1055"/>
      <c r="YU355" s="1054"/>
      <c r="YV355" s="1055"/>
      <c r="YW355" s="1054"/>
      <c r="YX355" s="1055"/>
      <c r="YY355" s="1054"/>
      <c r="YZ355" s="1055"/>
      <c r="ZA355" s="1054"/>
      <c r="ZB355" s="1055"/>
      <c r="ZC355" s="1054"/>
      <c r="ZD355" s="1055"/>
      <c r="ZE355" s="1054"/>
      <c r="ZF355" s="1055"/>
      <c r="ZG355" s="1054"/>
      <c r="ZH355" s="1055"/>
      <c r="ZI355" s="1054"/>
      <c r="ZJ355" s="1055"/>
      <c r="ZK355" s="1054"/>
      <c r="ZL355" s="1055"/>
      <c r="ZM355" s="1054"/>
      <c r="ZN355" s="1055"/>
      <c r="ZO355" s="1054"/>
      <c r="ZP355" s="1055"/>
      <c r="ZQ355" s="1054"/>
      <c r="ZR355" s="1055"/>
      <c r="ZS355" s="1054"/>
      <c r="ZT355" s="1055"/>
      <c r="ZU355" s="1054"/>
      <c r="ZV355" s="1055"/>
      <c r="ZW355" s="1054"/>
      <c r="ZX355" s="1055"/>
      <c r="ZY355" s="1054"/>
      <c r="ZZ355" s="1055"/>
      <c r="AAA355" s="1054"/>
      <c r="AAB355" s="1055"/>
      <c r="AAC355" s="1054"/>
      <c r="AAD355" s="1055"/>
      <c r="AAE355" s="1054"/>
      <c r="AAF355" s="1055"/>
      <c r="AAG355" s="1054"/>
      <c r="AAH355" s="1055"/>
      <c r="AAI355" s="1054"/>
      <c r="AAJ355" s="1055"/>
      <c r="AAK355" s="1054"/>
      <c r="AAL355" s="1055"/>
      <c r="AAM355" s="1054"/>
      <c r="AAN355" s="1055"/>
      <c r="AAO355" s="1054"/>
      <c r="AAP355" s="1055"/>
      <c r="AAQ355" s="1054"/>
      <c r="AAR355" s="1055"/>
      <c r="AAS355" s="1054"/>
      <c r="AAT355" s="1055"/>
      <c r="AAU355" s="1054"/>
      <c r="AAV355" s="1055"/>
      <c r="AAW355" s="1054"/>
      <c r="AAX355" s="1055"/>
      <c r="AAY355" s="1054"/>
      <c r="AAZ355" s="1055"/>
      <c r="ABA355" s="1054"/>
      <c r="ABB355" s="1055"/>
      <c r="ABC355" s="1054"/>
      <c r="ABD355" s="1055"/>
      <c r="ABE355" s="1054"/>
      <c r="ABF355" s="1055"/>
      <c r="ABG355" s="1054"/>
      <c r="ABH355" s="1055"/>
      <c r="ABI355" s="1054"/>
      <c r="ABJ355" s="1055"/>
      <c r="ABK355" s="1054"/>
      <c r="ABL355" s="1055"/>
      <c r="ABM355" s="1054"/>
      <c r="ABN355" s="1055"/>
      <c r="ABO355" s="1054"/>
      <c r="ABP355" s="1055"/>
      <c r="ABQ355" s="1054"/>
      <c r="ABR355" s="1055"/>
      <c r="ABS355" s="1054"/>
      <c r="ABT355" s="1055"/>
      <c r="ABU355" s="1054"/>
      <c r="ABV355" s="1055"/>
      <c r="ABW355" s="1054"/>
      <c r="ABX355" s="1055"/>
      <c r="ABY355" s="1054"/>
      <c r="ABZ355" s="1055"/>
      <c r="ACA355" s="1054"/>
      <c r="ACB355" s="1055"/>
      <c r="ACC355" s="1054"/>
      <c r="ACD355" s="1055"/>
      <c r="ACE355" s="1054"/>
      <c r="ACF355" s="1055"/>
      <c r="ACG355" s="1054"/>
      <c r="ACH355" s="1055"/>
      <c r="ACI355" s="1054"/>
      <c r="ACJ355" s="1055"/>
      <c r="ACK355" s="1054"/>
      <c r="ACL355" s="1055"/>
      <c r="ACM355" s="1054"/>
      <c r="ACN355" s="1055"/>
      <c r="ACO355" s="1054"/>
      <c r="ACP355" s="1055"/>
      <c r="ACQ355" s="1054"/>
      <c r="ACR355" s="1055"/>
      <c r="ACS355" s="1054"/>
      <c r="ACT355" s="1055"/>
      <c r="ACU355" s="1054"/>
      <c r="ACV355" s="1055"/>
      <c r="ACW355" s="1054"/>
      <c r="ACX355" s="1055"/>
      <c r="ACY355" s="1054"/>
      <c r="ACZ355" s="1055"/>
      <c r="ADA355" s="1054"/>
      <c r="ADB355" s="1055"/>
      <c r="ADC355" s="1054"/>
      <c r="ADD355" s="1055"/>
      <c r="ADE355" s="1054"/>
      <c r="ADF355" s="1055"/>
      <c r="ADG355" s="1054"/>
      <c r="ADH355" s="1055"/>
      <c r="ADI355" s="1054"/>
      <c r="ADJ355" s="1055"/>
      <c r="ADK355" s="1054"/>
      <c r="ADL355" s="1055"/>
      <c r="ADM355" s="1054"/>
      <c r="ADN355" s="1055"/>
      <c r="ADO355" s="1054"/>
      <c r="ADP355" s="1055"/>
      <c r="ADQ355" s="1054"/>
      <c r="ADR355" s="1055"/>
      <c r="ADS355" s="1054"/>
      <c r="ADT355" s="1055"/>
      <c r="ADU355" s="1054"/>
      <c r="ADV355" s="1055"/>
      <c r="ADW355" s="1054"/>
      <c r="ADX355" s="1055"/>
      <c r="ADY355" s="1054"/>
      <c r="ADZ355" s="1055"/>
      <c r="AEA355" s="1054"/>
      <c r="AEB355" s="1055"/>
      <c r="AEC355" s="1054"/>
      <c r="AED355" s="1055"/>
      <c r="AEE355" s="1054"/>
      <c r="AEF355" s="1055"/>
      <c r="AEG355" s="1054"/>
      <c r="AEH355" s="1055"/>
      <c r="AEI355" s="1054"/>
      <c r="AEJ355" s="1055"/>
      <c r="AEK355" s="1054"/>
      <c r="AEL355" s="1055"/>
      <c r="AEM355" s="1054"/>
      <c r="AEN355" s="1055"/>
      <c r="AEO355" s="1054"/>
      <c r="AEP355" s="1055"/>
      <c r="AEQ355" s="1054"/>
      <c r="AER355" s="1055"/>
      <c r="AES355" s="1054"/>
      <c r="AET355" s="1055"/>
      <c r="AEU355" s="1054"/>
      <c r="AEV355" s="1055"/>
      <c r="AEW355" s="1054"/>
      <c r="AEX355" s="1055"/>
      <c r="AEY355" s="1054"/>
      <c r="AEZ355" s="1055"/>
      <c r="AFA355" s="1054"/>
      <c r="AFB355" s="1055"/>
      <c r="AFC355" s="1054"/>
      <c r="AFD355" s="1055"/>
      <c r="AFE355" s="1054"/>
      <c r="AFF355" s="1055"/>
      <c r="AFG355" s="1054"/>
      <c r="AFH355" s="1055"/>
      <c r="AFI355" s="1054"/>
      <c r="AFJ355" s="1055"/>
      <c r="AFK355" s="1054"/>
      <c r="AFL355" s="1055"/>
      <c r="AFM355" s="1054"/>
      <c r="AFN355" s="1055"/>
      <c r="AFO355" s="1054"/>
      <c r="AFP355" s="1055"/>
      <c r="AFQ355" s="1054"/>
      <c r="AFR355" s="1055"/>
      <c r="AFS355" s="1054"/>
      <c r="AFT355" s="1055"/>
      <c r="AFU355" s="1054"/>
      <c r="AFV355" s="1055"/>
      <c r="AFW355" s="1054"/>
      <c r="AFX355" s="1055"/>
      <c r="AFY355" s="1054"/>
      <c r="AFZ355" s="1055"/>
      <c r="AGA355" s="1054"/>
      <c r="AGB355" s="1055"/>
      <c r="AGC355" s="1054"/>
      <c r="AGD355" s="1055"/>
      <c r="AGE355" s="1054"/>
      <c r="AGF355" s="1055"/>
      <c r="AGG355" s="1054"/>
      <c r="AGH355" s="1055"/>
      <c r="AGI355" s="1054"/>
      <c r="AGJ355" s="1055"/>
      <c r="AGK355" s="1054"/>
      <c r="AGL355" s="1055"/>
      <c r="AGM355" s="1054"/>
      <c r="AGN355" s="1055"/>
      <c r="AGO355" s="1054"/>
      <c r="AGP355" s="1055"/>
      <c r="AGQ355" s="1054"/>
      <c r="AGR355" s="1055"/>
      <c r="AGS355" s="1054"/>
      <c r="AGT355" s="1055"/>
      <c r="AGU355" s="1054"/>
      <c r="AGV355" s="1055"/>
      <c r="AGW355" s="1054"/>
      <c r="AGX355" s="1055"/>
      <c r="AGY355" s="1054"/>
      <c r="AGZ355" s="1055"/>
      <c r="AHA355" s="1054"/>
      <c r="AHB355" s="1055"/>
      <c r="AHC355" s="1054"/>
      <c r="AHD355" s="1055"/>
      <c r="AHE355" s="1054"/>
      <c r="AHF355" s="1055"/>
      <c r="AHG355" s="1054"/>
      <c r="AHH355" s="1055"/>
      <c r="AHI355" s="1054"/>
      <c r="AHJ355" s="1055"/>
      <c r="AHK355" s="1054"/>
      <c r="AHL355" s="1055"/>
      <c r="AHM355" s="1054"/>
      <c r="AHN355" s="1055"/>
      <c r="AHO355" s="1054"/>
      <c r="AHP355" s="1055"/>
      <c r="AHQ355" s="1054"/>
      <c r="AHR355" s="1055"/>
      <c r="AHS355" s="1054"/>
      <c r="AHT355" s="1055"/>
      <c r="AHU355" s="1054"/>
      <c r="AHV355" s="1055"/>
      <c r="AHW355" s="1054"/>
      <c r="AHX355" s="1055"/>
      <c r="AHY355" s="1054"/>
      <c r="AHZ355" s="1055"/>
      <c r="AIA355" s="1054"/>
      <c r="AIB355" s="1055"/>
      <c r="AIC355" s="1054"/>
      <c r="AID355" s="1055"/>
      <c r="AIE355" s="1054"/>
      <c r="AIF355" s="1055"/>
      <c r="AIG355" s="1054"/>
      <c r="AIH355" s="1055"/>
      <c r="AII355" s="1054"/>
      <c r="AIJ355" s="1055"/>
      <c r="AIK355" s="1054"/>
      <c r="AIL355" s="1055"/>
      <c r="AIM355" s="1054"/>
      <c r="AIN355" s="1055"/>
      <c r="AIO355" s="1054"/>
      <c r="AIP355" s="1055"/>
      <c r="AIQ355" s="1054"/>
      <c r="AIR355" s="1055"/>
      <c r="AIS355" s="1054"/>
      <c r="AIT355" s="1055"/>
      <c r="AIU355" s="1054"/>
      <c r="AIV355" s="1055"/>
      <c r="AIW355" s="1054"/>
      <c r="AIX355" s="1055"/>
      <c r="AIY355" s="1054"/>
      <c r="AIZ355" s="1055"/>
      <c r="AJA355" s="1054"/>
      <c r="AJB355" s="1055"/>
      <c r="AJC355" s="1054"/>
      <c r="AJD355" s="1055"/>
      <c r="AJE355" s="1054"/>
      <c r="AJF355" s="1055"/>
      <c r="AJG355" s="1054"/>
      <c r="AJH355" s="1055"/>
      <c r="AJI355" s="1054"/>
      <c r="AJJ355" s="1055"/>
      <c r="AJK355" s="1054"/>
      <c r="AJL355" s="1055"/>
      <c r="AJM355" s="1054"/>
      <c r="AJN355" s="1055"/>
      <c r="AJO355" s="1054"/>
      <c r="AJP355" s="1055"/>
      <c r="AJQ355" s="1054"/>
      <c r="AJR355" s="1055"/>
      <c r="AJS355" s="1054"/>
      <c r="AJT355" s="1055"/>
      <c r="AJU355" s="1054"/>
      <c r="AJV355" s="1055"/>
      <c r="AJW355" s="1054"/>
      <c r="AJX355" s="1055"/>
      <c r="AJY355" s="1054"/>
      <c r="AJZ355" s="1055"/>
      <c r="AKA355" s="1054"/>
      <c r="AKB355" s="1055"/>
      <c r="AKC355" s="1054"/>
      <c r="AKD355" s="1055"/>
      <c r="AKE355" s="1054"/>
      <c r="AKF355" s="1055"/>
      <c r="AKG355" s="1054"/>
      <c r="AKH355" s="1055"/>
      <c r="AKI355" s="1054"/>
      <c r="AKJ355" s="1055"/>
      <c r="AKK355" s="1054"/>
      <c r="AKL355" s="1055"/>
      <c r="AKM355" s="1054"/>
      <c r="AKN355" s="1055"/>
      <c r="AKO355" s="1054"/>
      <c r="AKP355" s="1055"/>
      <c r="AKQ355" s="1054"/>
      <c r="AKR355" s="1055"/>
      <c r="AKS355" s="1054"/>
      <c r="AKT355" s="1055"/>
      <c r="AKU355" s="1054"/>
      <c r="AKV355" s="1055"/>
      <c r="AKW355" s="1054"/>
      <c r="AKX355" s="1055"/>
      <c r="AKY355" s="1054"/>
      <c r="AKZ355" s="1055"/>
      <c r="ALA355" s="1054"/>
      <c r="ALB355" s="1055"/>
      <c r="ALC355" s="1054"/>
      <c r="ALD355" s="1055"/>
      <c r="ALE355" s="1054"/>
      <c r="ALF355" s="1055"/>
      <c r="ALG355" s="1054"/>
      <c r="ALH355" s="1055"/>
      <c r="ALI355" s="1054"/>
      <c r="ALJ355" s="1055"/>
      <c r="ALK355" s="1054"/>
      <c r="ALL355" s="1055"/>
      <c r="ALM355" s="1054"/>
      <c r="ALN355" s="1055"/>
      <c r="ALO355" s="1054"/>
      <c r="ALP355" s="1055"/>
      <c r="ALQ355" s="1054"/>
      <c r="ALR355" s="1055"/>
      <c r="ALS355" s="1054"/>
      <c r="ALT355" s="1055"/>
      <c r="ALU355" s="1054"/>
      <c r="ALV355" s="1055"/>
      <c r="ALW355" s="1054"/>
      <c r="ALX355" s="1055"/>
      <c r="ALY355" s="1054"/>
      <c r="ALZ355" s="1055"/>
      <c r="AMA355" s="1054"/>
      <c r="AMB355" s="1055"/>
      <c r="AMC355" s="1054"/>
      <c r="AMD355" s="1055"/>
      <c r="AME355" s="1054"/>
      <c r="AMF355" s="1055"/>
      <c r="AMG355" s="1054"/>
      <c r="AMH355" s="1055"/>
      <c r="AMI355" s="1054"/>
      <c r="AMJ355" s="1055"/>
      <c r="AMK355" s="1054"/>
      <c r="AML355" s="1055"/>
      <c r="AMM355" s="1054"/>
      <c r="AMN355" s="1055"/>
      <c r="AMO355" s="1054"/>
      <c r="AMP355" s="1055"/>
      <c r="AMQ355" s="1054"/>
      <c r="AMR355" s="1055"/>
      <c r="AMS355" s="1054"/>
      <c r="AMT355" s="1055"/>
      <c r="AMU355" s="1054"/>
      <c r="AMV355" s="1055"/>
      <c r="AMW355" s="1054"/>
      <c r="AMX355" s="1055"/>
      <c r="AMY355" s="1054"/>
      <c r="AMZ355" s="1055"/>
      <c r="ANA355" s="1054"/>
      <c r="ANB355" s="1055"/>
      <c r="ANC355" s="1054"/>
      <c r="AND355" s="1055"/>
      <c r="ANE355" s="1054"/>
      <c r="ANF355" s="1055"/>
      <c r="ANG355" s="1054"/>
      <c r="ANH355" s="1055"/>
      <c r="ANI355" s="1054"/>
      <c r="ANJ355" s="1055"/>
      <c r="ANK355" s="1054"/>
      <c r="ANL355" s="1055"/>
      <c r="ANM355" s="1054"/>
      <c r="ANN355" s="1055"/>
      <c r="ANO355" s="1054"/>
      <c r="ANP355" s="1055"/>
      <c r="ANQ355" s="1054"/>
      <c r="ANR355" s="1055"/>
      <c r="ANS355" s="1054"/>
      <c r="ANT355" s="1055"/>
      <c r="ANU355" s="1054"/>
      <c r="ANV355" s="1055"/>
      <c r="ANW355" s="1054"/>
      <c r="ANX355" s="1055"/>
      <c r="ANY355" s="1054"/>
      <c r="ANZ355" s="1055"/>
      <c r="AOA355" s="1054"/>
      <c r="AOB355" s="1055"/>
      <c r="AOC355" s="1054"/>
      <c r="AOD355" s="1055"/>
      <c r="AOE355" s="1054"/>
      <c r="AOF355" s="1055"/>
      <c r="AOG355" s="1054"/>
      <c r="AOH355" s="1055"/>
      <c r="AOI355" s="1054"/>
      <c r="AOJ355" s="1055"/>
      <c r="AOK355" s="1054"/>
      <c r="AOL355" s="1055"/>
      <c r="AOM355" s="1054"/>
      <c r="AON355" s="1055"/>
      <c r="AOO355" s="1054"/>
      <c r="AOP355" s="1055"/>
      <c r="AOQ355" s="1054"/>
      <c r="AOR355" s="1055"/>
      <c r="AOS355" s="1054"/>
      <c r="AOT355" s="1055"/>
      <c r="AOU355" s="1054"/>
      <c r="AOV355" s="1055"/>
      <c r="AOW355" s="1054"/>
      <c r="AOX355" s="1055"/>
      <c r="AOY355" s="1054"/>
      <c r="AOZ355" s="1055"/>
      <c r="APA355" s="1054"/>
      <c r="APB355" s="1055"/>
      <c r="APC355" s="1054"/>
      <c r="APD355" s="1055"/>
      <c r="APE355" s="1054"/>
      <c r="APF355" s="1055"/>
      <c r="APG355" s="1054"/>
      <c r="APH355" s="1055"/>
      <c r="API355" s="1054"/>
      <c r="APJ355" s="1055"/>
      <c r="APK355" s="1054"/>
      <c r="APL355" s="1055"/>
      <c r="APM355" s="1054"/>
      <c r="APN355" s="1055"/>
      <c r="APO355" s="1054"/>
      <c r="APP355" s="1055"/>
      <c r="APQ355" s="1054"/>
      <c r="APR355" s="1055"/>
      <c r="APS355" s="1054"/>
      <c r="APT355" s="1055"/>
      <c r="APU355" s="1054"/>
      <c r="APV355" s="1055"/>
      <c r="APW355" s="1054"/>
      <c r="APX355" s="1055"/>
      <c r="APY355" s="1054"/>
      <c r="APZ355" s="1055"/>
      <c r="AQA355" s="1054"/>
      <c r="AQB355" s="1055"/>
      <c r="AQC355" s="1054"/>
      <c r="AQD355" s="1055"/>
      <c r="AQE355" s="1054"/>
      <c r="AQF355" s="1055"/>
      <c r="AQG355" s="1054"/>
      <c r="AQH355" s="1055"/>
      <c r="AQI355" s="1054"/>
      <c r="AQJ355" s="1055"/>
      <c r="AQK355" s="1054"/>
      <c r="AQL355" s="1055"/>
      <c r="AQM355" s="1054"/>
      <c r="AQN355" s="1055"/>
      <c r="AQO355" s="1054"/>
      <c r="AQP355" s="1055"/>
      <c r="AQQ355" s="1054"/>
      <c r="AQR355" s="1055"/>
      <c r="AQS355" s="1054"/>
      <c r="AQT355" s="1055"/>
      <c r="AQU355" s="1054"/>
      <c r="AQV355" s="1055"/>
      <c r="AQW355" s="1054"/>
      <c r="AQX355" s="1055"/>
      <c r="AQY355" s="1054"/>
      <c r="AQZ355" s="1055"/>
      <c r="ARA355" s="1054"/>
      <c r="ARB355" s="1055"/>
      <c r="ARC355" s="1054"/>
      <c r="ARD355" s="1055"/>
      <c r="ARE355" s="1054"/>
      <c r="ARF355" s="1055"/>
      <c r="ARG355" s="1054"/>
      <c r="ARH355" s="1055"/>
      <c r="ARI355" s="1054"/>
      <c r="ARJ355" s="1055"/>
      <c r="ARK355" s="1054"/>
      <c r="ARL355" s="1055"/>
      <c r="ARM355" s="1054"/>
      <c r="ARN355" s="1055"/>
      <c r="ARO355" s="1054"/>
      <c r="ARP355" s="1055"/>
      <c r="ARQ355" s="1054"/>
      <c r="ARR355" s="1055"/>
      <c r="ARS355" s="1054"/>
      <c r="ART355" s="1055"/>
      <c r="ARU355" s="1054"/>
      <c r="ARV355" s="1055"/>
      <c r="ARW355" s="1054"/>
      <c r="ARX355" s="1055"/>
      <c r="ARY355" s="1054"/>
      <c r="ARZ355" s="1055"/>
      <c r="ASA355" s="1054"/>
      <c r="ASB355" s="1055"/>
      <c r="ASC355" s="1054"/>
      <c r="ASD355" s="1055"/>
      <c r="ASE355" s="1054"/>
      <c r="ASF355" s="1055"/>
      <c r="ASG355" s="1054"/>
      <c r="ASH355" s="1055"/>
      <c r="ASI355" s="1054"/>
      <c r="ASJ355" s="1055"/>
      <c r="ASK355" s="1054"/>
      <c r="ASL355" s="1055"/>
      <c r="ASM355" s="1054"/>
      <c r="ASN355" s="1055"/>
      <c r="ASO355" s="1054"/>
      <c r="ASP355" s="1055"/>
      <c r="ASQ355" s="1054"/>
      <c r="ASR355" s="1055"/>
      <c r="ASS355" s="1054"/>
      <c r="AST355" s="1055"/>
      <c r="ASU355" s="1054"/>
      <c r="ASV355" s="1055"/>
      <c r="ASW355" s="1054"/>
      <c r="ASX355" s="1055"/>
      <c r="ASY355" s="1054"/>
      <c r="ASZ355" s="1055"/>
      <c r="ATA355" s="1054"/>
      <c r="ATB355" s="1055"/>
      <c r="ATC355" s="1054"/>
      <c r="ATD355" s="1055"/>
      <c r="ATE355" s="1054"/>
      <c r="ATF355" s="1055"/>
      <c r="ATG355" s="1054"/>
      <c r="ATH355" s="1055"/>
      <c r="ATI355" s="1054"/>
      <c r="ATJ355" s="1055"/>
      <c r="ATK355" s="1054"/>
      <c r="ATL355" s="1055"/>
      <c r="ATM355" s="1054"/>
      <c r="ATN355" s="1055"/>
      <c r="ATO355" s="1054"/>
      <c r="ATP355" s="1055"/>
      <c r="ATQ355" s="1054"/>
      <c r="ATR355" s="1055"/>
      <c r="ATS355" s="1054"/>
      <c r="ATT355" s="1055"/>
      <c r="ATU355" s="1054"/>
      <c r="ATV355" s="1055"/>
      <c r="ATW355" s="1054"/>
      <c r="ATX355" s="1055"/>
      <c r="ATY355" s="1054"/>
      <c r="ATZ355" s="1055"/>
      <c r="AUA355" s="1054"/>
      <c r="AUB355" s="1055"/>
      <c r="AUC355" s="1054"/>
      <c r="AUD355" s="1055"/>
      <c r="AUE355" s="1054"/>
      <c r="AUF355" s="1055"/>
      <c r="AUG355" s="1054"/>
      <c r="AUH355" s="1055"/>
      <c r="AUI355" s="1054"/>
      <c r="AUJ355" s="1055"/>
      <c r="AUK355" s="1054"/>
      <c r="AUL355" s="1055"/>
      <c r="AUM355" s="1054"/>
      <c r="AUN355" s="1055"/>
      <c r="AUO355" s="1054"/>
      <c r="AUP355" s="1055"/>
      <c r="AUQ355" s="1054"/>
      <c r="AUR355" s="1055"/>
      <c r="AUS355" s="1054"/>
      <c r="AUT355" s="1055"/>
      <c r="AUU355" s="1054"/>
      <c r="AUV355" s="1055"/>
      <c r="AUW355" s="1054"/>
      <c r="AUX355" s="1055"/>
      <c r="AUY355" s="1054"/>
      <c r="AUZ355" s="1055"/>
      <c r="AVA355" s="1054"/>
      <c r="AVB355" s="1055"/>
      <c r="AVC355" s="1054"/>
      <c r="AVD355" s="1055"/>
      <c r="AVE355" s="1054"/>
      <c r="AVF355" s="1055"/>
      <c r="AVG355" s="1054"/>
      <c r="AVH355" s="1055"/>
      <c r="AVI355" s="1054"/>
      <c r="AVJ355" s="1055"/>
      <c r="AVK355" s="1054"/>
      <c r="AVL355" s="1055"/>
      <c r="AVM355" s="1054"/>
      <c r="AVN355" s="1055"/>
      <c r="AVO355" s="1054"/>
      <c r="AVP355" s="1055"/>
      <c r="AVQ355" s="1054"/>
      <c r="AVR355" s="1055"/>
      <c r="AVS355" s="1054"/>
      <c r="AVT355" s="1055"/>
      <c r="AVU355" s="1054"/>
      <c r="AVV355" s="1055"/>
      <c r="AVW355" s="1054"/>
      <c r="AVX355" s="1055"/>
      <c r="AVY355" s="1054"/>
      <c r="AVZ355" s="1055"/>
      <c r="AWA355" s="1054"/>
      <c r="AWB355" s="1055"/>
      <c r="AWC355" s="1054"/>
      <c r="AWD355" s="1055"/>
      <c r="AWE355" s="1054"/>
      <c r="AWF355" s="1055"/>
      <c r="AWG355" s="1054"/>
      <c r="AWH355" s="1055"/>
      <c r="AWI355" s="1054"/>
      <c r="AWJ355" s="1055"/>
      <c r="AWK355" s="1054"/>
      <c r="AWL355" s="1055"/>
      <c r="AWM355" s="1054"/>
      <c r="AWN355" s="1055"/>
      <c r="AWO355" s="1054"/>
      <c r="AWP355" s="1055"/>
      <c r="AWQ355" s="1054"/>
      <c r="AWR355" s="1055"/>
      <c r="AWS355" s="1054"/>
      <c r="AWT355" s="1055"/>
      <c r="AWU355" s="1054"/>
      <c r="AWV355" s="1055"/>
      <c r="AWW355" s="1054"/>
      <c r="AWX355" s="1055"/>
      <c r="AWY355" s="1054"/>
      <c r="AWZ355" s="1055"/>
      <c r="AXA355" s="1054"/>
      <c r="AXB355" s="1055"/>
      <c r="AXC355" s="1054"/>
      <c r="AXD355" s="1055"/>
      <c r="AXE355" s="1054"/>
      <c r="AXF355" s="1055"/>
      <c r="AXG355" s="1054"/>
      <c r="AXH355" s="1055"/>
      <c r="AXI355" s="1054"/>
      <c r="AXJ355" s="1055"/>
      <c r="AXK355" s="1054"/>
      <c r="AXL355" s="1055"/>
      <c r="AXM355" s="1054"/>
      <c r="AXN355" s="1055"/>
      <c r="AXO355" s="1054"/>
      <c r="AXP355" s="1055"/>
      <c r="AXQ355" s="1054"/>
      <c r="AXR355" s="1055"/>
      <c r="AXS355" s="1054"/>
      <c r="AXT355" s="1055"/>
      <c r="AXU355" s="1054"/>
      <c r="AXV355" s="1055"/>
      <c r="AXW355" s="1054"/>
      <c r="AXX355" s="1055"/>
      <c r="AXY355" s="1054"/>
      <c r="AXZ355" s="1055"/>
      <c r="AYA355" s="1054"/>
      <c r="AYB355" s="1055"/>
      <c r="AYC355" s="1054"/>
      <c r="AYD355" s="1055"/>
      <c r="AYE355" s="1054"/>
      <c r="AYF355" s="1055"/>
      <c r="AYG355" s="1054"/>
      <c r="AYH355" s="1055"/>
      <c r="AYI355" s="1054"/>
      <c r="AYJ355" s="1055"/>
      <c r="AYK355" s="1054"/>
      <c r="AYL355" s="1055"/>
      <c r="AYM355" s="1054"/>
      <c r="AYN355" s="1055"/>
      <c r="AYO355" s="1054"/>
      <c r="AYP355" s="1055"/>
      <c r="AYQ355" s="1054"/>
      <c r="AYR355" s="1055"/>
      <c r="AYS355" s="1054"/>
      <c r="AYT355" s="1055"/>
      <c r="AYU355" s="1054"/>
      <c r="AYV355" s="1055"/>
      <c r="AYW355" s="1054"/>
      <c r="AYX355" s="1055"/>
      <c r="AYY355" s="1054"/>
      <c r="AYZ355" s="1055"/>
      <c r="AZA355" s="1054"/>
      <c r="AZB355" s="1055"/>
      <c r="AZC355" s="1054"/>
      <c r="AZD355" s="1055"/>
      <c r="AZE355" s="1054"/>
      <c r="AZF355" s="1055"/>
      <c r="AZG355" s="1054"/>
      <c r="AZH355" s="1055"/>
      <c r="AZI355" s="1054"/>
      <c r="AZJ355" s="1055"/>
      <c r="AZK355" s="1054"/>
      <c r="AZL355" s="1055"/>
      <c r="AZM355" s="1054"/>
      <c r="AZN355" s="1055"/>
      <c r="AZO355" s="1054"/>
      <c r="AZP355" s="1055"/>
      <c r="AZQ355" s="1054"/>
      <c r="AZR355" s="1055"/>
      <c r="AZS355" s="1054"/>
      <c r="AZT355" s="1055"/>
      <c r="AZU355" s="1054"/>
      <c r="AZV355" s="1055"/>
      <c r="AZW355" s="1054"/>
      <c r="AZX355" s="1055"/>
      <c r="AZY355" s="1054"/>
      <c r="AZZ355" s="1055"/>
      <c r="BAA355" s="1054"/>
      <c r="BAB355" s="1055"/>
      <c r="BAC355" s="1054"/>
      <c r="BAD355" s="1055"/>
      <c r="BAE355" s="1054"/>
      <c r="BAF355" s="1055"/>
      <c r="BAG355" s="1054"/>
      <c r="BAH355" s="1055"/>
      <c r="BAI355" s="1054"/>
      <c r="BAJ355" s="1055"/>
      <c r="BAK355" s="1054"/>
      <c r="BAL355" s="1055"/>
      <c r="BAM355" s="1054"/>
      <c r="BAN355" s="1055"/>
      <c r="BAO355" s="1054"/>
      <c r="BAP355" s="1055"/>
      <c r="BAQ355" s="1054"/>
      <c r="BAR355" s="1055"/>
      <c r="BAS355" s="1054"/>
      <c r="BAT355" s="1055"/>
      <c r="BAU355" s="1054"/>
      <c r="BAV355" s="1055"/>
      <c r="BAW355" s="1054"/>
      <c r="BAX355" s="1055"/>
      <c r="BAY355" s="1054"/>
      <c r="BAZ355" s="1055"/>
      <c r="BBA355" s="1054"/>
      <c r="BBB355" s="1055"/>
      <c r="BBC355" s="1054"/>
      <c r="BBD355" s="1055"/>
      <c r="BBE355" s="1054"/>
      <c r="BBF355" s="1055"/>
      <c r="BBG355" s="1054"/>
      <c r="BBH355" s="1055"/>
      <c r="BBI355" s="1054"/>
      <c r="BBJ355" s="1055"/>
      <c r="BBK355" s="1054"/>
      <c r="BBL355" s="1055"/>
      <c r="BBM355" s="1054"/>
      <c r="BBN355" s="1055"/>
      <c r="BBO355" s="1054"/>
      <c r="BBP355" s="1055"/>
      <c r="BBQ355" s="1054"/>
      <c r="BBR355" s="1055"/>
      <c r="BBS355" s="1054"/>
      <c r="BBT355" s="1055"/>
      <c r="BBU355" s="1054"/>
      <c r="BBV355" s="1055"/>
      <c r="BBW355" s="1054"/>
      <c r="BBX355" s="1055"/>
      <c r="BBY355" s="1054"/>
      <c r="BBZ355" s="1055"/>
      <c r="BCA355" s="1054"/>
      <c r="BCB355" s="1055"/>
      <c r="BCC355" s="1054"/>
      <c r="BCD355" s="1055"/>
      <c r="BCE355" s="1054"/>
      <c r="BCF355" s="1055"/>
      <c r="BCG355" s="1054"/>
      <c r="BCH355" s="1055"/>
      <c r="BCI355" s="1054"/>
      <c r="BCJ355" s="1055"/>
      <c r="BCK355" s="1054"/>
      <c r="BCL355" s="1055"/>
      <c r="BCM355" s="1054"/>
      <c r="BCN355" s="1055"/>
      <c r="BCO355" s="1054"/>
      <c r="BCP355" s="1055"/>
      <c r="BCQ355" s="1054"/>
      <c r="BCR355" s="1055"/>
      <c r="BCS355" s="1054"/>
      <c r="BCT355" s="1055"/>
      <c r="BCU355" s="1054"/>
      <c r="BCV355" s="1055"/>
      <c r="BCW355" s="1054"/>
      <c r="BCX355" s="1055"/>
      <c r="BCY355" s="1054"/>
      <c r="BCZ355" s="1055"/>
      <c r="BDA355" s="1054"/>
      <c r="BDB355" s="1055"/>
      <c r="BDC355" s="1054"/>
      <c r="BDD355" s="1055"/>
      <c r="BDE355" s="1054"/>
      <c r="BDF355" s="1055"/>
      <c r="BDG355" s="1054"/>
      <c r="BDH355" s="1055"/>
      <c r="BDI355" s="1054"/>
      <c r="BDJ355" s="1055"/>
      <c r="BDK355" s="1054"/>
      <c r="BDL355" s="1055"/>
      <c r="BDM355" s="1054"/>
      <c r="BDN355" s="1055"/>
      <c r="BDO355" s="1054"/>
      <c r="BDP355" s="1055"/>
      <c r="BDQ355" s="1054"/>
      <c r="BDR355" s="1055"/>
      <c r="BDS355" s="1054"/>
      <c r="BDT355" s="1055"/>
      <c r="BDU355" s="1054"/>
      <c r="BDV355" s="1055"/>
      <c r="BDW355" s="1054"/>
      <c r="BDX355" s="1055"/>
      <c r="BDY355" s="1054"/>
      <c r="BDZ355" s="1055"/>
      <c r="BEA355" s="1054"/>
      <c r="BEB355" s="1055"/>
      <c r="BEC355" s="1054"/>
      <c r="BED355" s="1055"/>
      <c r="BEE355" s="1054"/>
      <c r="BEF355" s="1055"/>
      <c r="BEG355" s="1054"/>
      <c r="BEH355" s="1055"/>
      <c r="BEI355" s="1054"/>
      <c r="BEJ355" s="1055"/>
      <c r="BEK355" s="1054"/>
      <c r="BEL355" s="1055"/>
      <c r="BEM355" s="1054"/>
      <c r="BEN355" s="1055"/>
      <c r="BEO355" s="1054"/>
      <c r="BEP355" s="1055"/>
      <c r="BEQ355" s="1054"/>
      <c r="BER355" s="1055"/>
      <c r="BES355" s="1054"/>
      <c r="BET355" s="1055"/>
      <c r="BEU355" s="1054"/>
      <c r="BEV355" s="1055"/>
      <c r="BEW355" s="1054"/>
      <c r="BEX355" s="1055"/>
      <c r="BEY355" s="1054"/>
      <c r="BEZ355" s="1055"/>
      <c r="BFA355" s="1054"/>
      <c r="BFB355" s="1055"/>
      <c r="BFC355" s="1054"/>
      <c r="BFD355" s="1055"/>
      <c r="BFE355" s="1054"/>
      <c r="BFF355" s="1055"/>
      <c r="BFG355" s="1054"/>
      <c r="BFH355" s="1055"/>
      <c r="BFI355" s="1054"/>
      <c r="BFJ355" s="1055"/>
      <c r="BFK355" s="1054"/>
      <c r="BFL355" s="1055"/>
      <c r="BFM355" s="1054"/>
      <c r="BFN355" s="1055"/>
      <c r="BFO355" s="1054"/>
      <c r="BFP355" s="1055"/>
      <c r="BFQ355" s="1054"/>
      <c r="BFR355" s="1055"/>
      <c r="BFS355" s="1054"/>
      <c r="BFT355" s="1055"/>
      <c r="BFU355" s="1054"/>
      <c r="BFV355" s="1055"/>
      <c r="BFW355" s="1054"/>
      <c r="BFX355" s="1055"/>
      <c r="BFY355" s="1054"/>
      <c r="BFZ355" s="1055"/>
      <c r="BGA355" s="1054"/>
      <c r="BGB355" s="1055"/>
      <c r="BGC355" s="1054"/>
      <c r="BGD355" s="1055"/>
      <c r="BGE355" s="1054"/>
      <c r="BGF355" s="1055"/>
      <c r="BGG355" s="1054"/>
      <c r="BGH355" s="1055"/>
      <c r="BGI355" s="1054"/>
      <c r="BGJ355" s="1055"/>
      <c r="BGK355" s="1054"/>
      <c r="BGL355" s="1055"/>
      <c r="BGM355" s="1054"/>
      <c r="BGN355" s="1055"/>
      <c r="BGO355" s="1054"/>
      <c r="BGP355" s="1055"/>
      <c r="BGQ355" s="1054"/>
      <c r="BGR355" s="1055"/>
      <c r="BGS355" s="1054"/>
      <c r="BGT355" s="1055"/>
      <c r="BGU355" s="1054"/>
      <c r="BGV355" s="1055"/>
      <c r="BGW355" s="1054"/>
      <c r="BGX355" s="1055"/>
      <c r="BGY355" s="1054"/>
      <c r="BGZ355" s="1055"/>
      <c r="BHA355" s="1054"/>
      <c r="BHB355" s="1055"/>
      <c r="BHC355" s="1054"/>
      <c r="BHD355" s="1055"/>
      <c r="BHE355" s="1054"/>
      <c r="BHF355" s="1055"/>
      <c r="BHG355" s="1054"/>
      <c r="BHH355" s="1055"/>
      <c r="BHI355" s="1054"/>
      <c r="BHJ355" s="1055"/>
      <c r="BHK355" s="1054"/>
      <c r="BHL355" s="1055"/>
      <c r="BHM355" s="1054"/>
      <c r="BHN355" s="1055"/>
      <c r="BHO355" s="1054"/>
      <c r="BHP355" s="1055"/>
      <c r="BHQ355" s="1054"/>
      <c r="BHR355" s="1055"/>
      <c r="BHS355" s="1054"/>
      <c r="BHT355" s="1055"/>
      <c r="BHU355" s="1054"/>
      <c r="BHV355" s="1055"/>
      <c r="BHW355" s="1054"/>
      <c r="BHX355" s="1055"/>
      <c r="BHY355" s="1054"/>
      <c r="BHZ355" s="1055"/>
      <c r="BIA355" s="1054"/>
      <c r="BIB355" s="1055"/>
      <c r="BIC355" s="1054"/>
      <c r="BID355" s="1055"/>
      <c r="BIE355" s="1054"/>
      <c r="BIF355" s="1055"/>
      <c r="BIG355" s="1054"/>
      <c r="BIH355" s="1055"/>
      <c r="BII355" s="1054"/>
      <c r="BIJ355" s="1055"/>
      <c r="BIK355" s="1054"/>
      <c r="BIL355" s="1055"/>
      <c r="BIM355" s="1054"/>
      <c r="BIN355" s="1055"/>
      <c r="BIO355" s="1054"/>
      <c r="BIP355" s="1055"/>
      <c r="BIQ355" s="1054"/>
      <c r="BIR355" s="1055"/>
      <c r="BIS355" s="1054"/>
      <c r="BIT355" s="1055"/>
      <c r="BIU355" s="1054"/>
      <c r="BIV355" s="1055"/>
      <c r="BIW355" s="1054"/>
      <c r="BIX355" s="1055"/>
      <c r="BIY355" s="1054"/>
      <c r="BIZ355" s="1055"/>
      <c r="BJA355" s="1054"/>
      <c r="BJB355" s="1055"/>
      <c r="BJC355" s="1054"/>
      <c r="BJD355" s="1055"/>
      <c r="BJE355" s="1054"/>
      <c r="BJF355" s="1055"/>
      <c r="BJG355" s="1054"/>
      <c r="BJH355" s="1055"/>
      <c r="BJI355" s="1054"/>
      <c r="BJJ355" s="1055"/>
      <c r="BJK355" s="1054"/>
      <c r="BJL355" s="1055"/>
      <c r="BJM355" s="1054"/>
      <c r="BJN355" s="1055"/>
      <c r="BJO355" s="1054"/>
      <c r="BJP355" s="1055"/>
      <c r="BJQ355" s="1054"/>
      <c r="BJR355" s="1055"/>
      <c r="BJS355" s="1054"/>
      <c r="BJT355" s="1055"/>
      <c r="BJU355" s="1054"/>
      <c r="BJV355" s="1055"/>
      <c r="BJW355" s="1054"/>
      <c r="BJX355" s="1055"/>
      <c r="BJY355" s="1054"/>
      <c r="BJZ355" s="1055"/>
      <c r="BKA355" s="1054"/>
      <c r="BKB355" s="1055"/>
      <c r="BKC355" s="1054"/>
      <c r="BKD355" s="1055"/>
      <c r="BKE355" s="1054"/>
      <c r="BKF355" s="1055"/>
      <c r="BKG355" s="1054"/>
      <c r="BKH355" s="1055"/>
      <c r="BKI355" s="1054"/>
      <c r="BKJ355" s="1055"/>
      <c r="BKK355" s="1054"/>
      <c r="BKL355" s="1055"/>
      <c r="BKM355" s="1054"/>
      <c r="BKN355" s="1055"/>
      <c r="BKO355" s="1054"/>
      <c r="BKP355" s="1055"/>
      <c r="BKQ355" s="1054"/>
      <c r="BKR355" s="1055"/>
      <c r="BKS355" s="1054"/>
      <c r="BKT355" s="1055"/>
      <c r="BKU355" s="1054"/>
      <c r="BKV355" s="1055"/>
      <c r="BKW355" s="1054"/>
      <c r="BKX355" s="1055"/>
      <c r="BKY355" s="1054"/>
      <c r="BKZ355" s="1055"/>
      <c r="BLA355" s="1054"/>
      <c r="BLB355" s="1055"/>
      <c r="BLC355" s="1054"/>
      <c r="BLD355" s="1055"/>
      <c r="BLE355" s="1054"/>
      <c r="BLF355" s="1055"/>
      <c r="BLG355" s="1054"/>
      <c r="BLH355" s="1055"/>
      <c r="BLI355" s="1054"/>
      <c r="BLJ355" s="1055"/>
      <c r="BLK355" s="1054"/>
      <c r="BLL355" s="1055"/>
      <c r="BLM355" s="1054"/>
      <c r="BLN355" s="1055"/>
      <c r="BLO355" s="1054"/>
      <c r="BLP355" s="1055"/>
      <c r="BLQ355" s="1054"/>
      <c r="BLR355" s="1055"/>
      <c r="BLS355" s="1054"/>
      <c r="BLT355" s="1055"/>
      <c r="BLU355" s="1054"/>
      <c r="BLV355" s="1055"/>
      <c r="BLW355" s="1054"/>
      <c r="BLX355" s="1055"/>
      <c r="BLY355" s="1054"/>
      <c r="BLZ355" s="1055"/>
      <c r="BMA355" s="1054"/>
      <c r="BMB355" s="1055"/>
      <c r="BMC355" s="1054"/>
      <c r="BMD355" s="1055"/>
      <c r="BME355" s="1054"/>
      <c r="BMF355" s="1055"/>
      <c r="BMG355" s="1054"/>
      <c r="BMH355" s="1055"/>
      <c r="BMI355" s="1054"/>
      <c r="BMJ355" s="1055"/>
      <c r="BMK355" s="1054"/>
      <c r="BML355" s="1055"/>
      <c r="BMM355" s="1054"/>
      <c r="BMN355" s="1055"/>
      <c r="BMO355" s="1054"/>
      <c r="BMP355" s="1055"/>
      <c r="BMQ355" s="1054"/>
      <c r="BMR355" s="1055"/>
      <c r="BMS355" s="1054"/>
      <c r="BMT355" s="1055"/>
      <c r="BMU355" s="1054"/>
      <c r="BMV355" s="1055"/>
      <c r="BMW355" s="1054"/>
      <c r="BMX355" s="1055"/>
      <c r="BMY355" s="1054"/>
      <c r="BMZ355" s="1055"/>
      <c r="BNA355" s="1054"/>
      <c r="BNB355" s="1055"/>
      <c r="BNC355" s="1054"/>
      <c r="BND355" s="1055"/>
      <c r="BNE355" s="1054"/>
      <c r="BNF355" s="1055"/>
      <c r="BNG355" s="1054"/>
      <c r="BNH355" s="1055"/>
      <c r="BNI355" s="1054"/>
      <c r="BNJ355" s="1055"/>
      <c r="BNK355" s="1054"/>
      <c r="BNL355" s="1055"/>
      <c r="BNM355" s="1054"/>
      <c r="BNN355" s="1055"/>
      <c r="BNO355" s="1054"/>
      <c r="BNP355" s="1055"/>
      <c r="BNQ355" s="1054"/>
      <c r="BNR355" s="1055"/>
      <c r="BNS355" s="1054"/>
      <c r="BNT355" s="1055"/>
      <c r="BNU355" s="1054"/>
      <c r="BNV355" s="1055"/>
      <c r="BNW355" s="1054"/>
      <c r="BNX355" s="1055"/>
      <c r="BNY355" s="1054"/>
      <c r="BNZ355" s="1055"/>
      <c r="BOA355" s="1054"/>
      <c r="BOB355" s="1055"/>
      <c r="BOC355" s="1054"/>
      <c r="BOD355" s="1055"/>
      <c r="BOE355" s="1054"/>
      <c r="BOF355" s="1055"/>
      <c r="BOG355" s="1054"/>
      <c r="BOH355" s="1055"/>
      <c r="BOI355" s="1054"/>
      <c r="BOJ355" s="1055"/>
      <c r="BOK355" s="1054"/>
      <c r="BOL355" s="1055"/>
      <c r="BOM355" s="1054"/>
      <c r="BON355" s="1055"/>
      <c r="BOO355" s="1054"/>
      <c r="BOP355" s="1055"/>
      <c r="BOQ355" s="1054"/>
      <c r="BOR355" s="1055"/>
      <c r="BOS355" s="1054"/>
      <c r="BOT355" s="1055"/>
      <c r="BOU355" s="1054"/>
      <c r="BOV355" s="1055"/>
      <c r="BOW355" s="1054"/>
      <c r="BOX355" s="1055"/>
      <c r="BOY355" s="1054"/>
      <c r="BOZ355" s="1055"/>
      <c r="BPA355" s="1054"/>
      <c r="BPB355" s="1055"/>
      <c r="BPC355" s="1054"/>
      <c r="BPD355" s="1055"/>
      <c r="BPE355" s="1054"/>
      <c r="BPF355" s="1055"/>
      <c r="BPG355" s="1054"/>
      <c r="BPH355" s="1055"/>
      <c r="BPI355" s="1054"/>
      <c r="BPJ355" s="1055"/>
      <c r="BPK355" s="1054"/>
      <c r="BPL355" s="1055"/>
      <c r="BPM355" s="1054"/>
      <c r="BPN355" s="1055"/>
      <c r="BPO355" s="1054"/>
      <c r="BPP355" s="1055"/>
      <c r="BPQ355" s="1054"/>
      <c r="BPR355" s="1055"/>
      <c r="BPS355" s="1054"/>
      <c r="BPT355" s="1055"/>
      <c r="BPU355" s="1054"/>
      <c r="BPV355" s="1055"/>
      <c r="BPW355" s="1054"/>
      <c r="BPX355" s="1055"/>
      <c r="BPY355" s="1054"/>
      <c r="BPZ355" s="1055"/>
      <c r="BQA355" s="1054"/>
      <c r="BQB355" s="1055"/>
      <c r="BQC355" s="1054"/>
      <c r="BQD355" s="1055"/>
      <c r="BQE355" s="1054"/>
      <c r="BQF355" s="1055"/>
      <c r="BQG355" s="1054"/>
      <c r="BQH355" s="1055"/>
      <c r="BQI355" s="1054"/>
      <c r="BQJ355" s="1055"/>
      <c r="BQK355" s="1054"/>
      <c r="BQL355" s="1055"/>
      <c r="BQM355" s="1054"/>
      <c r="BQN355" s="1055"/>
      <c r="BQO355" s="1054"/>
      <c r="BQP355" s="1055"/>
      <c r="BQQ355" s="1054"/>
      <c r="BQR355" s="1055"/>
      <c r="BQS355" s="1054"/>
      <c r="BQT355" s="1055"/>
      <c r="BQU355" s="1054"/>
      <c r="BQV355" s="1055"/>
      <c r="BQW355" s="1054"/>
      <c r="BQX355" s="1055"/>
      <c r="BQY355" s="1054"/>
      <c r="BQZ355" s="1055"/>
      <c r="BRA355" s="1054"/>
      <c r="BRB355" s="1055"/>
      <c r="BRC355" s="1054"/>
      <c r="BRD355" s="1055"/>
      <c r="BRE355" s="1054"/>
      <c r="BRF355" s="1055"/>
      <c r="BRG355" s="1054"/>
      <c r="BRH355" s="1055"/>
      <c r="BRI355" s="1054"/>
      <c r="BRJ355" s="1055"/>
      <c r="BRK355" s="1054"/>
      <c r="BRL355" s="1055"/>
      <c r="BRM355" s="1054"/>
      <c r="BRN355" s="1055"/>
      <c r="BRO355" s="1054"/>
      <c r="BRP355" s="1055"/>
      <c r="BRQ355" s="1054"/>
      <c r="BRR355" s="1055"/>
      <c r="BRS355" s="1054"/>
      <c r="BRT355" s="1055"/>
      <c r="BRU355" s="1054"/>
      <c r="BRV355" s="1055"/>
      <c r="BRW355" s="1054"/>
      <c r="BRX355" s="1055"/>
      <c r="BRY355" s="1054"/>
      <c r="BRZ355" s="1055"/>
      <c r="BSA355" s="1054"/>
      <c r="BSB355" s="1055"/>
      <c r="BSC355" s="1054"/>
      <c r="BSD355" s="1055"/>
      <c r="BSE355" s="1054"/>
      <c r="BSF355" s="1055"/>
      <c r="BSG355" s="1054"/>
      <c r="BSH355" s="1055"/>
      <c r="BSI355" s="1054"/>
      <c r="BSJ355" s="1055"/>
      <c r="BSK355" s="1054"/>
      <c r="BSL355" s="1055"/>
      <c r="BSM355" s="1054"/>
      <c r="BSN355" s="1055"/>
      <c r="BSO355" s="1054"/>
      <c r="BSP355" s="1055"/>
      <c r="BSQ355" s="1054"/>
      <c r="BSR355" s="1055"/>
      <c r="BSS355" s="1054"/>
      <c r="BST355" s="1055"/>
      <c r="BSU355" s="1054"/>
      <c r="BSV355" s="1055"/>
      <c r="BSW355" s="1054"/>
      <c r="BSX355" s="1055"/>
      <c r="BSY355" s="1054"/>
      <c r="BSZ355" s="1055"/>
      <c r="BTA355" s="1054"/>
      <c r="BTB355" s="1055"/>
      <c r="BTC355" s="1054"/>
      <c r="BTD355" s="1055"/>
      <c r="BTE355" s="1054"/>
      <c r="BTF355" s="1055"/>
      <c r="BTG355" s="1054"/>
      <c r="BTH355" s="1055"/>
      <c r="BTI355" s="1054"/>
      <c r="BTJ355" s="1055"/>
      <c r="BTK355" s="1054"/>
      <c r="BTL355" s="1055"/>
      <c r="BTM355" s="1054"/>
      <c r="BTN355" s="1055"/>
      <c r="BTO355" s="1054"/>
      <c r="BTP355" s="1055"/>
      <c r="BTQ355" s="1054"/>
      <c r="BTR355" s="1055"/>
      <c r="BTS355" s="1054"/>
      <c r="BTT355" s="1055"/>
      <c r="BTU355" s="1054"/>
      <c r="BTV355" s="1055"/>
      <c r="BTW355" s="1054"/>
      <c r="BTX355" s="1055"/>
      <c r="BTY355" s="1054"/>
      <c r="BTZ355" s="1055"/>
      <c r="BUA355" s="1054"/>
      <c r="BUB355" s="1055"/>
      <c r="BUC355" s="1054"/>
      <c r="BUD355" s="1055"/>
      <c r="BUE355" s="1054"/>
      <c r="BUF355" s="1055"/>
      <c r="BUG355" s="1054"/>
      <c r="BUH355" s="1055"/>
      <c r="BUI355" s="1054"/>
      <c r="BUJ355" s="1055"/>
      <c r="BUK355" s="1054"/>
      <c r="BUL355" s="1055"/>
      <c r="BUM355" s="1054"/>
      <c r="BUN355" s="1055"/>
      <c r="BUO355" s="1054"/>
      <c r="BUP355" s="1055"/>
      <c r="BUQ355" s="1054"/>
      <c r="BUR355" s="1055"/>
      <c r="BUS355" s="1054"/>
      <c r="BUT355" s="1055"/>
      <c r="BUU355" s="1054"/>
      <c r="BUV355" s="1055"/>
      <c r="BUW355" s="1054"/>
      <c r="BUX355" s="1055"/>
      <c r="BUY355" s="1054"/>
      <c r="BUZ355" s="1055"/>
      <c r="BVA355" s="1054"/>
      <c r="BVB355" s="1055"/>
      <c r="BVC355" s="1054"/>
      <c r="BVD355" s="1055"/>
      <c r="BVE355" s="1054"/>
      <c r="BVF355" s="1055"/>
      <c r="BVG355" s="1054"/>
      <c r="BVH355" s="1055"/>
      <c r="BVI355" s="1054"/>
      <c r="BVJ355" s="1055"/>
      <c r="BVK355" s="1054"/>
      <c r="BVL355" s="1055"/>
      <c r="BVM355" s="1054"/>
      <c r="BVN355" s="1055"/>
      <c r="BVO355" s="1054"/>
      <c r="BVP355" s="1055"/>
      <c r="BVQ355" s="1054"/>
      <c r="BVR355" s="1055"/>
      <c r="BVS355" s="1054"/>
      <c r="BVT355" s="1055"/>
      <c r="BVU355" s="1054"/>
      <c r="BVV355" s="1055"/>
      <c r="BVW355" s="1054"/>
      <c r="BVX355" s="1055"/>
      <c r="BVY355" s="1054"/>
      <c r="BVZ355" s="1055"/>
      <c r="BWA355" s="1054"/>
      <c r="BWB355" s="1055"/>
      <c r="BWC355" s="1054"/>
      <c r="BWD355" s="1055"/>
      <c r="BWE355" s="1054"/>
      <c r="BWF355" s="1055"/>
      <c r="BWG355" s="1054"/>
      <c r="BWH355" s="1055"/>
      <c r="BWI355" s="1054"/>
      <c r="BWJ355" s="1055"/>
      <c r="BWK355" s="1054"/>
      <c r="BWL355" s="1055"/>
      <c r="BWM355" s="1054"/>
      <c r="BWN355" s="1055"/>
      <c r="BWO355" s="1054"/>
      <c r="BWP355" s="1055"/>
      <c r="BWQ355" s="1054"/>
      <c r="BWR355" s="1055"/>
      <c r="BWS355" s="1054"/>
      <c r="BWT355" s="1055"/>
      <c r="BWU355" s="1054"/>
      <c r="BWV355" s="1055"/>
      <c r="BWW355" s="1054"/>
      <c r="BWX355" s="1055"/>
      <c r="BWY355" s="1054"/>
      <c r="BWZ355" s="1055"/>
      <c r="BXA355" s="1054"/>
      <c r="BXB355" s="1055"/>
      <c r="BXC355" s="1054"/>
      <c r="BXD355" s="1055"/>
      <c r="BXE355" s="1054"/>
      <c r="BXF355" s="1055"/>
      <c r="BXG355" s="1054"/>
      <c r="BXH355" s="1055"/>
      <c r="BXI355" s="1054"/>
      <c r="BXJ355" s="1055"/>
      <c r="BXK355" s="1054"/>
      <c r="BXL355" s="1055"/>
      <c r="BXM355" s="1054"/>
      <c r="BXN355" s="1055"/>
      <c r="BXO355" s="1054"/>
      <c r="BXP355" s="1055"/>
      <c r="BXQ355" s="1054"/>
      <c r="BXR355" s="1055"/>
      <c r="BXS355" s="1054"/>
      <c r="BXT355" s="1055"/>
      <c r="BXU355" s="1054"/>
      <c r="BXV355" s="1055"/>
      <c r="BXW355" s="1054"/>
      <c r="BXX355" s="1055"/>
      <c r="BXY355" s="1054"/>
      <c r="BXZ355" s="1055"/>
      <c r="BYA355" s="1054"/>
      <c r="BYB355" s="1055"/>
      <c r="BYC355" s="1054"/>
      <c r="BYD355" s="1055"/>
      <c r="BYE355" s="1054"/>
      <c r="BYF355" s="1055"/>
      <c r="BYG355" s="1054"/>
      <c r="BYH355" s="1055"/>
      <c r="BYI355" s="1054"/>
      <c r="BYJ355" s="1055"/>
      <c r="BYK355" s="1054"/>
      <c r="BYL355" s="1055"/>
      <c r="BYM355" s="1054"/>
      <c r="BYN355" s="1055"/>
      <c r="BYO355" s="1054"/>
      <c r="BYP355" s="1055"/>
      <c r="BYQ355" s="1054"/>
      <c r="BYR355" s="1055"/>
      <c r="BYS355" s="1054"/>
      <c r="BYT355" s="1055"/>
      <c r="BYU355" s="1054"/>
      <c r="BYV355" s="1055"/>
      <c r="BYW355" s="1054"/>
      <c r="BYX355" s="1055"/>
      <c r="BYY355" s="1054"/>
      <c r="BYZ355" s="1055"/>
      <c r="BZA355" s="1054"/>
      <c r="BZB355" s="1055"/>
      <c r="BZC355" s="1054"/>
      <c r="BZD355" s="1055"/>
      <c r="BZE355" s="1054"/>
      <c r="BZF355" s="1055"/>
      <c r="BZG355" s="1054"/>
      <c r="BZH355" s="1055"/>
      <c r="BZI355" s="1054"/>
      <c r="BZJ355" s="1055"/>
      <c r="BZK355" s="1054"/>
      <c r="BZL355" s="1055"/>
      <c r="BZM355" s="1054"/>
      <c r="BZN355" s="1055"/>
      <c r="BZO355" s="1054"/>
      <c r="BZP355" s="1055"/>
      <c r="BZQ355" s="1054"/>
      <c r="BZR355" s="1055"/>
      <c r="BZS355" s="1054"/>
      <c r="BZT355" s="1055"/>
      <c r="BZU355" s="1054"/>
      <c r="BZV355" s="1055"/>
      <c r="BZW355" s="1054"/>
      <c r="BZX355" s="1055"/>
      <c r="BZY355" s="1054"/>
      <c r="BZZ355" s="1055"/>
      <c r="CAA355" s="1054"/>
      <c r="CAB355" s="1055"/>
      <c r="CAC355" s="1054"/>
      <c r="CAD355" s="1055"/>
      <c r="CAE355" s="1054"/>
      <c r="CAF355" s="1055"/>
      <c r="CAG355" s="1054"/>
      <c r="CAH355" s="1055"/>
      <c r="CAI355" s="1054"/>
      <c r="CAJ355" s="1055"/>
      <c r="CAK355" s="1054"/>
      <c r="CAL355" s="1055"/>
      <c r="CAM355" s="1054"/>
      <c r="CAN355" s="1055"/>
      <c r="CAO355" s="1054"/>
      <c r="CAP355" s="1055"/>
      <c r="CAQ355" s="1054"/>
      <c r="CAR355" s="1055"/>
      <c r="CAS355" s="1054"/>
      <c r="CAT355" s="1055"/>
      <c r="CAU355" s="1054"/>
      <c r="CAV355" s="1055"/>
      <c r="CAW355" s="1054"/>
      <c r="CAX355" s="1055"/>
      <c r="CAY355" s="1054"/>
      <c r="CAZ355" s="1055"/>
      <c r="CBA355" s="1054"/>
      <c r="CBB355" s="1055"/>
      <c r="CBC355" s="1054"/>
      <c r="CBD355" s="1055"/>
      <c r="CBE355" s="1054"/>
      <c r="CBF355" s="1055"/>
      <c r="CBG355" s="1054"/>
      <c r="CBH355" s="1055"/>
      <c r="CBI355" s="1054"/>
      <c r="CBJ355" s="1055"/>
      <c r="CBK355" s="1054"/>
      <c r="CBL355" s="1055"/>
      <c r="CBM355" s="1054"/>
      <c r="CBN355" s="1055"/>
      <c r="CBO355" s="1054"/>
      <c r="CBP355" s="1055"/>
      <c r="CBQ355" s="1054"/>
      <c r="CBR355" s="1055"/>
      <c r="CBS355" s="1054"/>
      <c r="CBT355" s="1055"/>
      <c r="CBU355" s="1054"/>
      <c r="CBV355" s="1055"/>
      <c r="CBW355" s="1054"/>
      <c r="CBX355" s="1055"/>
      <c r="CBY355" s="1054"/>
      <c r="CBZ355" s="1055"/>
      <c r="CCA355" s="1054"/>
      <c r="CCB355" s="1055"/>
      <c r="CCC355" s="1054"/>
      <c r="CCD355" s="1055"/>
      <c r="CCE355" s="1054"/>
      <c r="CCF355" s="1055"/>
      <c r="CCG355" s="1054"/>
      <c r="CCH355" s="1055"/>
      <c r="CCI355" s="1054"/>
      <c r="CCJ355" s="1055"/>
      <c r="CCK355" s="1054"/>
      <c r="CCL355" s="1055"/>
      <c r="CCM355" s="1054"/>
      <c r="CCN355" s="1055"/>
      <c r="CCO355" s="1054"/>
      <c r="CCP355" s="1055"/>
      <c r="CCQ355" s="1054"/>
      <c r="CCR355" s="1055"/>
      <c r="CCS355" s="1054"/>
      <c r="CCT355" s="1055"/>
      <c r="CCU355" s="1054"/>
      <c r="CCV355" s="1055"/>
      <c r="CCW355" s="1054"/>
      <c r="CCX355" s="1055"/>
      <c r="CCY355" s="1054"/>
      <c r="CCZ355" s="1055"/>
      <c r="CDA355" s="1054"/>
      <c r="CDB355" s="1055"/>
      <c r="CDC355" s="1054"/>
      <c r="CDD355" s="1055"/>
      <c r="CDE355" s="1054"/>
      <c r="CDF355" s="1055"/>
      <c r="CDG355" s="1054"/>
      <c r="CDH355" s="1055"/>
      <c r="CDI355" s="1054"/>
      <c r="CDJ355" s="1055"/>
      <c r="CDK355" s="1054"/>
      <c r="CDL355" s="1055"/>
      <c r="CDM355" s="1054"/>
      <c r="CDN355" s="1055"/>
      <c r="CDO355" s="1054"/>
      <c r="CDP355" s="1055"/>
      <c r="CDQ355" s="1054"/>
      <c r="CDR355" s="1055"/>
      <c r="CDS355" s="1054"/>
      <c r="CDT355" s="1055"/>
      <c r="CDU355" s="1054"/>
      <c r="CDV355" s="1055"/>
      <c r="CDW355" s="1054"/>
      <c r="CDX355" s="1055"/>
      <c r="CDY355" s="1054"/>
      <c r="CDZ355" s="1055"/>
      <c r="CEA355" s="1054"/>
      <c r="CEB355" s="1055"/>
      <c r="CEC355" s="1054"/>
      <c r="CED355" s="1055"/>
      <c r="CEE355" s="1054"/>
      <c r="CEF355" s="1055"/>
      <c r="CEG355" s="1054"/>
      <c r="CEH355" s="1055"/>
      <c r="CEI355" s="1054"/>
      <c r="CEJ355" s="1055"/>
      <c r="CEK355" s="1054"/>
      <c r="CEL355" s="1055"/>
      <c r="CEM355" s="1054"/>
      <c r="CEN355" s="1055"/>
      <c r="CEO355" s="1054"/>
      <c r="CEP355" s="1055"/>
      <c r="CEQ355" s="1054"/>
      <c r="CER355" s="1055"/>
      <c r="CES355" s="1054"/>
      <c r="CET355" s="1055"/>
      <c r="CEU355" s="1054"/>
      <c r="CEV355" s="1055"/>
      <c r="CEW355" s="1054"/>
      <c r="CEX355" s="1055"/>
      <c r="CEY355" s="1054"/>
      <c r="CEZ355" s="1055"/>
      <c r="CFA355" s="1054"/>
      <c r="CFB355" s="1055"/>
      <c r="CFC355" s="1054"/>
      <c r="CFD355" s="1055"/>
      <c r="CFE355" s="1054"/>
      <c r="CFF355" s="1055"/>
      <c r="CFG355" s="1054"/>
      <c r="CFH355" s="1055"/>
      <c r="CFI355" s="1054"/>
      <c r="CFJ355" s="1055"/>
      <c r="CFK355" s="1054"/>
      <c r="CFL355" s="1055"/>
      <c r="CFM355" s="1054"/>
      <c r="CFN355" s="1055"/>
      <c r="CFO355" s="1054"/>
      <c r="CFP355" s="1055"/>
      <c r="CFQ355" s="1054"/>
      <c r="CFR355" s="1055"/>
      <c r="CFS355" s="1054"/>
      <c r="CFT355" s="1055"/>
      <c r="CFU355" s="1054"/>
      <c r="CFV355" s="1055"/>
      <c r="CFW355" s="1054"/>
      <c r="CFX355" s="1055"/>
      <c r="CFY355" s="1054"/>
      <c r="CFZ355" s="1055"/>
      <c r="CGA355" s="1054"/>
      <c r="CGB355" s="1055"/>
      <c r="CGC355" s="1054"/>
      <c r="CGD355" s="1055"/>
      <c r="CGE355" s="1054"/>
      <c r="CGF355" s="1055"/>
      <c r="CGG355" s="1054"/>
      <c r="CGH355" s="1055"/>
      <c r="CGI355" s="1054"/>
      <c r="CGJ355" s="1055"/>
      <c r="CGK355" s="1054"/>
      <c r="CGL355" s="1055"/>
      <c r="CGM355" s="1054"/>
      <c r="CGN355" s="1055"/>
      <c r="CGO355" s="1054"/>
      <c r="CGP355" s="1055"/>
      <c r="CGQ355" s="1054"/>
      <c r="CGR355" s="1055"/>
      <c r="CGS355" s="1054"/>
      <c r="CGT355" s="1055"/>
      <c r="CGU355" s="1054"/>
      <c r="CGV355" s="1055"/>
      <c r="CGW355" s="1054"/>
      <c r="CGX355" s="1055"/>
      <c r="CGY355" s="1054"/>
      <c r="CGZ355" s="1055"/>
      <c r="CHA355" s="1054"/>
      <c r="CHB355" s="1055"/>
      <c r="CHC355" s="1054"/>
      <c r="CHD355" s="1055"/>
      <c r="CHE355" s="1054"/>
      <c r="CHF355" s="1055"/>
      <c r="CHG355" s="1054"/>
      <c r="CHH355" s="1055"/>
      <c r="CHI355" s="1054"/>
      <c r="CHJ355" s="1055"/>
      <c r="CHK355" s="1054"/>
      <c r="CHL355" s="1055"/>
      <c r="CHM355" s="1054"/>
      <c r="CHN355" s="1055"/>
      <c r="CHO355" s="1054"/>
      <c r="CHP355" s="1055"/>
      <c r="CHQ355" s="1054"/>
      <c r="CHR355" s="1055"/>
      <c r="CHS355" s="1054"/>
      <c r="CHT355" s="1055"/>
      <c r="CHU355" s="1054"/>
      <c r="CHV355" s="1055"/>
      <c r="CHW355" s="1054"/>
      <c r="CHX355" s="1055"/>
      <c r="CHY355" s="1054"/>
      <c r="CHZ355" s="1055"/>
      <c r="CIA355" s="1054"/>
      <c r="CIB355" s="1055"/>
      <c r="CIC355" s="1054"/>
      <c r="CID355" s="1055"/>
      <c r="CIE355" s="1054"/>
      <c r="CIF355" s="1055"/>
      <c r="CIG355" s="1054"/>
      <c r="CIH355" s="1055"/>
      <c r="CII355" s="1054"/>
      <c r="CIJ355" s="1055"/>
      <c r="CIK355" s="1054"/>
      <c r="CIL355" s="1055"/>
      <c r="CIM355" s="1054"/>
      <c r="CIN355" s="1055"/>
      <c r="CIO355" s="1054"/>
      <c r="CIP355" s="1055"/>
      <c r="CIQ355" s="1054"/>
      <c r="CIR355" s="1055"/>
      <c r="CIS355" s="1054"/>
      <c r="CIT355" s="1055"/>
      <c r="CIU355" s="1054"/>
      <c r="CIV355" s="1055"/>
      <c r="CIW355" s="1054"/>
      <c r="CIX355" s="1055"/>
      <c r="CIY355" s="1054"/>
      <c r="CIZ355" s="1055"/>
      <c r="CJA355" s="1054"/>
      <c r="CJB355" s="1055"/>
      <c r="CJC355" s="1054"/>
      <c r="CJD355" s="1055"/>
      <c r="CJE355" s="1054"/>
      <c r="CJF355" s="1055"/>
      <c r="CJG355" s="1054"/>
      <c r="CJH355" s="1055"/>
      <c r="CJI355" s="1054"/>
      <c r="CJJ355" s="1055"/>
      <c r="CJK355" s="1054"/>
      <c r="CJL355" s="1055"/>
      <c r="CJM355" s="1054"/>
      <c r="CJN355" s="1055"/>
      <c r="CJO355" s="1054"/>
      <c r="CJP355" s="1055"/>
      <c r="CJQ355" s="1054"/>
      <c r="CJR355" s="1055"/>
      <c r="CJS355" s="1054"/>
      <c r="CJT355" s="1055"/>
      <c r="CJU355" s="1054"/>
      <c r="CJV355" s="1055"/>
      <c r="CJW355" s="1054"/>
      <c r="CJX355" s="1055"/>
      <c r="CJY355" s="1054"/>
      <c r="CJZ355" s="1055"/>
      <c r="CKA355" s="1054"/>
      <c r="CKB355" s="1055"/>
      <c r="CKC355" s="1054"/>
      <c r="CKD355" s="1055"/>
      <c r="CKE355" s="1054"/>
      <c r="CKF355" s="1055"/>
      <c r="CKG355" s="1054"/>
      <c r="CKH355" s="1055"/>
      <c r="CKI355" s="1054"/>
      <c r="CKJ355" s="1055"/>
      <c r="CKK355" s="1054"/>
      <c r="CKL355" s="1055"/>
      <c r="CKM355" s="1054"/>
      <c r="CKN355" s="1055"/>
      <c r="CKO355" s="1054"/>
      <c r="CKP355" s="1055"/>
      <c r="CKQ355" s="1054"/>
      <c r="CKR355" s="1055"/>
      <c r="CKS355" s="1054"/>
      <c r="CKT355" s="1055"/>
      <c r="CKU355" s="1054"/>
      <c r="CKV355" s="1055"/>
      <c r="CKW355" s="1054"/>
      <c r="CKX355" s="1055"/>
      <c r="CKY355" s="1054"/>
      <c r="CKZ355" s="1055"/>
      <c r="CLA355" s="1054"/>
      <c r="CLB355" s="1055"/>
      <c r="CLC355" s="1054"/>
      <c r="CLD355" s="1055"/>
      <c r="CLE355" s="1054"/>
      <c r="CLF355" s="1055"/>
      <c r="CLG355" s="1054"/>
      <c r="CLH355" s="1055"/>
      <c r="CLI355" s="1054"/>
      <c r="CLJ355" s="1055"/>
      <c r="CLK355" s="1054"/>
      <c r="CLL355" s="1055"/>
      <c r="CLM355" s="1054"/>
      <c r="CLN355" s="1055"/>
      <c r="CLO355" s="1054"/>
      <c r="CLP355" s="1055"/>
      <c r="CLQ355" s="1054"/>
      <c r="CLR355" s="1055"/>
      <c r="CLS355" s="1054"/>
      <c r="CLT355" s="1055"/>
      <c r="CLU355" s="1054"/>
      <c r="CLV355" s="1055"/>
      <c r="CLW355" s="1054"/>
      <c r="CLX355" s="1055"/>
      <c r="CLY355" s="1054"/>
      <c r="CLZ355" s="1055"/>
      <c r="CMA355" s="1054"/>
      <c r="CMB355" s="1055"/>
      <c r="CMC355" s="1054"/>
      <c r="CMD355" s="1055"/>
      <c r="CME355" s="1054"/>
      <c r="CMF355" s="1055"/>
      <c r="CMG355" s="1054"/>
      <c r="CMH355" s="1055"/>
      <c r="CMI355" s="1054"/>
      <c r="CMJ355" s="1055"/>
      <c r="CMK355" s="1054"/>
      <c r="CML355" s="1055"/>
      <c r="CMM355" s="1054"/>
      <c r="CMN355" s="1055"/>
      <c r="CMO355" s="1054"/>
      <c r="CMP355" s="1055"/>
      <c r="CMQ355" s="1054"/>
      <c r="CMR355" s="1055"/>
      <c r="CMS355" s="1054"/>
      <c r="CMT355" s="1055"/>
      <c r="CMU355" s="1054"/>
      <c r="CMV355" s="1055"/>
      <c r="CMW355" s="1054"/>
      <c r="CMX355" s="1055"/>
      <c r="CMY355" s="1054"/>
      <c r="CMZ355" s="1055"/>
      <c r="CNA355" s="1054"/>
      <c r="CNB355" s="1055"/>
      <c r="CNC355" s="1054"/>
      <c r="CND355" s="1055"/>
      <c r="CNE355" s="1054"/>
      <c r="CNF355" s="1055"/>
      <c r="CNG355" s="1054"/>
      <c r="CNH355" s="1055"/>
      <c r="CNI355" s="1054"/>
      <c r="CNJ355" s="1055"/>
      <c r="CNK355" s="1054"/>
      <c r="CNL355" s="1055"/>
      <c r="CNM355" s="1054"/>
      <c r="CNN355" s="1055"/>
      <c r="CNO355" s="1054"/>
      <c r="CNP355" s="1055"/>
      <c r="CNQ355" s="1054"/>
      <c r="CNR355" s="1055"/>
      <c r="CNS355" s="1054"/>
      <c r="CNT355" s="1055"/>
      <c r="CNU355" s="1054"/>
      <c r="CNV355" s="1055"/>
      <c r="CNW355" s="1054"/>
      <c r="CNX355" s="1055"/>
      <c r="CNY355" s="1054"/>
      <c r="CNZ355" s="1055"/>
      <c r="COA355" s="1054"/>
      <c r="COB355" s="1055"/>
      <c r="COC355" s="1054"/>
      <c r="COD355" s="1055"/>
      <c r="COE355" s="1054"/>
      <c r="COF355" s="1055"/>
      <c r="COG355" s="1054"/>
      <c r="COH355" s="1055"/>
      <c r="COI355" s="1054"/>
      <c r="COJ355" s="1055"/>
      <c r="COK355" s="1054"/>
      <c r="COL355" s="1055"/>
      <c r="COM355" s="1054"/>
      <c r="CON355" s="1055"/>
      <c r="COO355" s="1054"/>
      <c r="COP355" s="1055"/>
      <c r="COQ355" s="1054"/>
      <c r="COR355" s="1055"/>
      <c r="COS355" s="1054"/>
      <c r="COT355" s="1055"/>
      <c r="COU355" s="1054"/>
      <c r="COV355" s="1055"/>
      <c r="COW355" s="1054"/>
      <c r="COX355" s="1055"/>
      <c r="COY355" s="1054"/>
      <c r="COZ355" s="1055"/>
      <c r="CPA355" s="1054"/>
      <c r="CPB355" s="1055"/>
      <c r="CPC355" s="1054"/>
      <c r="CPD355" s="1055"/>
      <c r="CPE355" s="1054"/>
      <c r="CPF355" s="1055"/>
      <c r="CPG355" s="1054"/>
      <c r="CPH355" s="1055"/>
      <c r="CPI355" s="1054"/>
      <c r="CPJ355" s="1055"/>
      <c r="CPK355" s="1054"/>
      <c r="CPL355" s="1055"/>
      <c r="CPM355" s="1054"/>
      <c r="CPN355" s="1055"/>
      <c r="CPO355" s="1054"/>
      <c r="CPP355" s="1055"/>
      <c r="CPQ355" s="1054"/>
      <c r="CPR355" s="1055"/>
      <c r="CPS355" s="1054"/>
      <c r="CPT355" s="1055"/>
      <c r="CPU355" s="1054"/>
      <c r="CPV355" s="1055"/>
      <c r="CPW355" s="1054"/>
      <c r="CPX355" s="1055"/>
      <c r="CPY355" s="1054"/>
      <c r="CPZ355" s="1055"/>
      <c r="CQA355" s="1054"/>
      <c r="CQB355" s="1055"/>
      <c r="CQC355" s="1054"/>
      <c r="CQD355" s="1055"/>
      <c r="CQE355" s="1054"/>
      <c r="CQF355" s="1055"/>
      <c r="CQG355" s="1054"/>
      <c r="CQH355" s="1055"/>
      <c r="CQI355" s="1054"/>
      <c r="CQJ355" s="1055"/>
      <c r="CQK355" s="1054"/>
      <c r="CQL355" s="1055"/>
      <c r="CQM355" s="1054"/>
      <c r="CQN355" s="1055"/>
      <c r="CQO355" s="1054"/>
      <c r="CQP355" s="1055"/>
      <c r="CQQ355" s="1054"/>
      <c r="CQR355" s="1055"/>
      <c r="CQS355" s="1054"/>
      <c r="CQT355" s="1055"/>
      <c r="CQU355" s="1054"/>
      <c r="CQV355" s="1055"/>
      <c r="CQW355" s="1054"/>
      <c r="CQX355" s="1055"/>
      <c r="CQY355" s="1054"/>
      <c r="CQZ355" s="1055"/>
      <c r="CRA355" s="1054"/>
      <c r="CRB355" s="1055"/>
      <c r="CRC355" s="1054"/>
      <c r="CRD355" s="1055"/>
      <c r="CRE355" s="1054"/>
      <c r="CRF355" s="1055"/>
      <c r="CRG355" s="1054"/>
      <c r="CRH355" s="1055"/>
      <c r="CRI355" s="1054"/>
      <c r="CRJ355" s="1055"/>
      <c r="CRK355" s="1054"/>
      <c r="CRL355" s="1055"/>
      <c r="CRM355" s="1054"/>
      <c r="CRN355" s="1055"/>
      <c r="CRO355" s="1054"/>
      <c r="CRP355" s="1055"/>
      <c r="CRQ355" s="1054"/>
      <c r="CRR355" s="1055"/>
      <c r="CRS355" s="1054"/>
      <c r="CRT355" s="1055"/>
      <c r="CRU355" s="1054"/>
      <c r="CRV355" s="1055"/>
      <c r="CRW355" s="1054"/>
      <c r="CRX355" s="1055"/>
      <c r="CRY355" s="1054"/>
      <c r="CRZ355" s="1055"/>
      <c r="CSA355" s="1054"/>
      <c r="CSB355" s="1055"/>
      <c r="CSC355" s="1054"/>
      <c r="CSD355" s="1055"/>
      <c r="CSE355" s="1054"/>
      <c r="CSF355" s="1055"/>
      <c r="CSG355" s="1054"/>
      <c r="CSH355" s="1055"/>
      <c r="CSI355" s="1054"/>
      <c r="CSJ355" s="1055"/>
      <c r="CSK355" s="1054"/>
      <c r="CSL355" s="1055"/>
      <c r="CSM355" s="1054"/>
      <c r="CSN355" s="1055"/>
      <c r="CSO355" s="1054"/>
      <c r="CSP355" s="1055"/>
      <c r="CSQ355" s="1054"/>
      <c r="CSR355" s="1055"/>
      <c r="CSS355" s="1054"/>
      <c r="CST355" s="1055"/>
      <c r="CSU355" s="1054"/>
      <c r="CSV355" s="1055"/>
      <c r="CSW355" s="1054"/>
      <c r="CSX355" s="1055"/>
      <c r="CSY355" s="1054"/>
      <c r="CSZ355" s="1055"/>
      <c r="CTA355" s="1054"/>
      <c r="CTB355" s="1055"/>
      <c r="CTC355" s="1054"/>
      <c r="CTD355" s="1055"/>
      <c r="CTE355" s="1054"/>
      <c r="CTF355" s="1055"/>
      <c r="CTG355" s="1054"/>
      <c r="CTH355" s="1055"/>
      <c r="CTI355" s="1054"/>
      <c r="CTJ355" s="1055"/>
      <c r="CTK355" s="1054"/>
      <c r="CTL355" s="1055"/>
      <c r="CTM355" s="1054"/>
      <c r="CTN355" s="1055"/>
      <c r="CTO355" s="1054"/>
      <c r="CTP355" s="1055"/>
      <c r="CTQ355" s="1054"/>
      <c r="CTR355" s="1055"/>
      <c r="CTS355" s="1054"/>
      <c r="CTT355" s="1055"/>
      <c r="CTU355" s="1054"/>
      <c r="CTV355" s="1055"/>
      <c r="CTW355" s="1054"/>
      <c r="CTX355" s="1055"/>
      <c r="CTY355" s="1054"/>
      <c r="CTZ355" s="1055"/>
      <c r="CUA355" s="1054"/>
      <c r="CUB355" s="1055"/>
      <c r="CUC355" s="1054"/>
      <c r="CUD355" s="1055"/>
      <c r="CUE355" s="1054"/>
      <c r="CUF355" s="1055"/>
      <c r="CUG355" s="1054"/>
      <c r="CUH355" s="1055"/>
      <c r="CUI355" s="1054"/>
      <c r="CUJ355" s="1055"/>
      <c r="CUK355" s="1054"/>
      <c r="CUL355" s="1055"/>
      <c r="CUM355" s="1054"/>
      <c r="CUN355" s="1055"/>
      <c r="CUO355" s="1054"/>
      <c r="CUP355" s="1055"/>
      <c r="CUQ355" s="1054"/>
      <c r="CUR355" s="1055"/>
      <c r="CUS355" s="1054"/>
      <c r="CUT355" s="1055"/>
      <c r="CUU355" s="1054"/>
      <c r="CUV355" s="1055"/>
      <c r="CUW355" s="1054"/>
      <c r="CUX355" s="1055"/>
      <c r="CUY355" s="1054"/>
      <c r="CUZ355" s="1055"/>
      <c r="CVA355" s="1054"/>
      <c r="CVB355" s="1055"/>
      <c r="CVC355" s="1054"/>
      <c r="CVD355" s="1055"/>
      <c r="CVE355" s="1054"/>
      <c r="CVF355" s="1055"/>
      <c r="CVG355" s="1054"/>
      <c r="CVH355" s="1055"/>
      <c r="CVI355" s="1054"/>
      <c r="CVJ355" s="1055"/>
      <c r="CVK355" s="1054"/>
      <c r="CVL355" s="1055"/>
      <c r="CVM355" s="1054"/>
      <c r="CVN355" s="1055"/>
      <c r="CVO355" s="1054"/>
      <c r="CVP355" s="1055"/>
      <c r="CVQ355" s="1054"/>
      <c r="CVR355" s="1055"/>
      <c r="CVS355" s="1054"/>
      <c r="CVT355" s="1055"/>
      <c r="CVU355" s="1054"/>
      <c r="CVV355" s="1055"/>
      <c r="CVW355" s="1054"/>
      <c r="CVX355" s="1055"/>
      <c r="CVY355" s="1054"/>
      <c r="CVZ355" s="1055"/>
      <c r="CWA355" s="1054"/>
      <c r="CWB355" s="1055"/>
      <c r="CWC355" s="1054"/>
      <c r="CWD355" s="1055"/>
      <c r="CWE355" s="1054"/>
      <c r="CWF355" s="1055"/>
      <c r="CWG355" s="1054"/>
      <c r="CWH355" s="1055"/>
      <c r="CWI355" s="1054"/>
      <c r="CWJ355" s="1055"/>
      <c r="CWK355" s="1054"/>
      <c r="CWL355" s="1055"/>
      <c r="CWM355" s="1054"/>
      <c r="CWN355" s="1055"/>
      <c r="CWO355" s="1054"/>
      <c r="CWP355" s="1055"/>
      <c r="CWQ355" s="1054"/>
      <c r="CWR355" s="1055"/>
      <c r="CWS355" s="1054"/>
      <c r="CWT355" s="1055"/>
      <c r="CWU355" s="1054"/>
      <c r="CWV355" s="1055"/>
      <c r="CWW355" s="1054"/>
      <c r="CWX355" s="1055"/>
      <c r="CWY355" s="1054"/>
      <c r="CWZ355" s="1055"/>
      <c r="CXA355" s="1054"/>
      <c r="CXB355" s="1055"/>
      <c r="CXC355" s="1054"/>
      <c r="CXD355" s="1055"/>
      <c r="CXE355" s="1054"/>
      <c r="CXF355" s="1055"/>
      <c r="CXG355" s="1054"/>
      <c r="CXH355" s="1055"/>
      <c r="CXI355" s="1054"/>
      <c r="CXJ355" s="1055"/>
      <c r="CXK355" s="1054"/>
      <c r="CXL355" s="1055"/>
      <c r="CXM355" s="1054"/>
      <c r="CXN355" s="1055"/>
      <c r="CXO355" s="1054"/>
      <c r="CXP355" s="1055"/>
      <c r="CXQ355" s="1054"/>
      <c r="CXR355" s="1055"/>
      <c r="CXS355" s="1054"/>
      <c r="CXT355" s="1055"/>
      <c r="CXU355" s="1054"/>
      <c r="CXV355" s="1055"/>
      <c r="CXW355" s="1054"/>
      <c r="CXX355" s="1055"/>
      <c r="CXY355" s="1054"/>
      <c r="CXZ355" s="1055"/>
      <c r="CYA355" s="1054"/>
      <c r="CYB355" s="1055"/>
      <c r="CYC355" s="1054"/>
      <c r="CYD355" s="1055"/>
      <c r="CYE355" s="1054"/>
      <c r="CYF355" s="1055"/>
      <c r="CYG355" s="1054"/>
      <c r="CYH355" s="1055"/>
      <c r="CYI355" s="1054"/>
      <c r="CYJ355" s="1055"/>
      <c r="CYK355" s="1054"/>
      <c r="CYL355" s="1055"/>
      <c r="CYM355" s="1054"/>
      <c r="CYN355" s="1055"/>
      <c r="CYO355" s="1054"/>
      <c r="CYP355" s="1055"/>
      <c r="CYQ355" s="1054"/>
      <c r="CYR355" s="1055"/>
      <c r="CYS355" s="1054"/>
      <c r="CYT355" s="1055"/>
      <c r="CYU355" s="1054"/>
      <c r="CYV355" s="1055"/>
      <c r="CYW355" s="1054"/>
      <c r="CYX355" s="1055"/>
      <c r="CYY355" s="1054"/>
      <c r="CYZ355" s="1055"/>
      <c r="CZA355" s="1054"/>
      <c r="CZB355" s="1055"/>
      <c r="CZC355" s="1054"/>
      <c r="CZD355" s="1055"/>
      <c r="CZE355" s="1054"/>
      <c r="CZF355" s="1055"/>
      <c r="CZG355" s="1054"/>
      <c r="CZH355" s="1055"/>
      <c r="CZI355" s="1054"/>
      <c r="CZJ355" s="1055"/>
      <c r="CZK355" s="1054"/>
      <c r="CZL355" s="1055"/>
      <c r="CZM355" s="1054"/>
      <c r="CZN355" s="1055"/>
      <c r="CZO355" s="1054"/>
      <c r="CZP355" s="1055"/>
      <c r="CZQ355" s="1054"/>
      <c r="CZR355" s="1055"/>
      <c r="CZS355" s="1054"/>
      <c r="CZT355" s="1055"/>
      <c r="CZU355" s="1054"/>
      <c r="CZV355" s="1055"/>
      <c r="CZW355" s="1054"/>
      <c r="CZX355" s="1055"/>
      <c r="CZY355" s="1054"/>
      <c r="CZZ355" s="1055"/>
      <c r="DAA355" s="1054"/>
      <c r="DAB355" s="1055"/>
      <c r="DAC355" s="1054"/>
      <c r="DAD355" s="1055"/>
      <c r="DAE355" s="1054"/>
      <c r="DAF355" s="1055"/>
      <c r="DAG355" s="1054"/>
      <c r="DAH355" s="1055"/>
      <c r="DAI355" s="1054"/>
      <c r="DAJ355" s="1055"/>
      <c r="DAK355" s="1054"/>
      <c r="DAL355" s="1055"/>
      <c r="DAM355" s="1054"/>
      <c r="DAN355" s="1055"/>
      <c r="DAO355" s="1054"/>
      <c r="DAP355" s="1055"/>
      <c r="DAQ355" s="1054"/>
      <c r="DAR355" s="1055"/>
      <c r="DAS355" s="1054"/>
      <c r="DAT355" s="1055"/>
      <c r="DAU355" s="1054"/>
      <c r="DAV355" s="1055"/>
      <c r="DAW355" s="1054"/>
      <c r="DAX355" s="1055"/>
      <c r="DAY355" s="1054"/>
      <c r="DAZ355" s="1055"/>
      <c r="DBA355" s="1054"/>
      <c r="DBB355" s="1055"/>
      <c r="DBC355" s="1054"/>
      <c r="DBD355" s="1055"/>
      <c r="DBE355" s="1054"/>
      <c r="DBF355" s="1055"/>
      <c r="DBG355" s="1054"/>
      <c r="DBH355" s="1055"/>
      <c r="DBI355" s="1054"/>
      <c r="DBJ355" s="1055"/>
      <c r="DBK355" s="1054"/>
      <c r="DBL355" s="1055"/>
      <c r="DBM355" s="1054"/>
      <c r="DBN355" s="1055"/>
      <c r="DBO355" s="1054"/>
      <c r="DBP355" s="1055"/>
      <c r="DBQ355" s="1054"/>
      <c r="DBR355" s="1055"/>
      <c r="DBS355" s="1054"/>
      <c r="DBT355" s="1055"/>
      <c r="DBU355" s="1054"/>
      <c r="DBV355" s="1055"/>
      <c r="DBW355" s="1054"/>
      <c r="DBX355" s="1055"/>
      <c r="DBY355" s="1054"/>
      <c r="DBZ355" s="1055"/>
      <c r="DCA355" s="1054"/>
      <c r="DCB355" s="1055"/>
      <c r="DCC355" s="1054"/>
      <c r="DCD355" s="1055"/>
      <c r="DCE355" s="1054"/>
      <c r="DCF355" s="1055"/>
      <c r="DCG355" s="1054"/>
      <c r="DCH355" s="1055"/>
      <c r="DCI355" s="1054"/>
      <c r="DCJ355" s="1055"/>
      <c r="DCK355" s="1054"/>
      <c r="DCL355" s="1055"/>
      <c r="DCM355" s="1054"/>
      <c r="DCN355" s="1055"/>
      <c r="DCO355" s="1054"/>
      <c r="DCP355" s="1055"/>
      <c r="DCQ355" s="1054"/>
      <c r="DCR355" s="1055"/>
      <c r="DCS355" s="1054"/>
      <c r="DCT355" s="1055"/>
      <c r="DCU355" s="1054"/>
      <c r="DCV355" s="1055"/>
      <c r="DCW355" s="1054"/>
      <c r="DCX355" s="1055"/>
      <c r="DCY355" s="1054"/>
      <c r="DCZ355" s="1055"/>
      <c r="DDA355" s="1054"/>
      <c r="DDB355" s="1055"/>
      <c r="DDC355" s="1054"/>
      <c r="DDD355" s="1055"/>
      <c r="DDE355" s="1054"/>
      <c r="DDF355" s="1055"/>
      <c r="DDG355" s="1054"/>
      <c r="DDH355" s="1055"/>
      <c r="DDI355" s="1054"/>
      <c r="DDJ355" s="1055"/>
      <c r="DDK355" s="1054"/>
      <c r="DDL355" s="1055"/>
      <c r="DDM355" s="1054"/>
      <c r="DDN355" s="1055"/>
      <c r="DDO355" s="1054"/>
      <c r="DDP355" s="1055"/>
      <c r="DDQ355" s="1054"/>
      <c r="DDR355" s="1055"/>
      <c r="DDS355" s="1054"/>
      <c r="DDT355" s="1055"/>
      <c r="DDU355" s="1054"/>
      <c r="DDV355" s="1055"/>
      <c r="DDW355" s="1054"/>
      <c r="DDX355" s="1055"/>
      <c r="DDY355" s="1054"/>
      <c r="DDZ355" s="1055"/>
      <c r="DEA355" s="1054"/>
      <c r="DEB355" s="1055"/>
      <c r="DEC355" s="1054"/>
      <c r="DED355" s="1055"/>
      <c r="DEE355" s="1054"/>
      <c r="DEF355" s="1055"/>
      <c r="DEG355" s="1054"/>
      <c r="DEH355" s="1055"/>
      <c r="DEI355" s="1054"/>
      <c r="DEJ355" s="1055"/>
      <c r="DEK355" s="1054"/>
      <c r="DEL355" s="1055"/>
      <c r="DEM355" s="1054"/>
      <c r="DEN355" s="1055"/>
      <c r="DEO355" s="1054"/>
      <c r="DEP355" s="1055"/>
      <c r="DEQ355" s="1054"/>
      <c r="DER355" s="1055"/>
      <c r="DES355" s="1054"/>
      <c r="DET355" s="1055"/>
      <c r="DEU355" s="1054"/>
      <c r="DEV355" s="1055"/>
      <c r="DEW355" s="1054"/>
      <c r="DEX355" s="1055"/>
      <c r="DEY355" s="1054"/>
      <c r="DEZ355" s="1055"/>
      <c r="DFA355" s="1054"/>
      <c r="DFB355" s="1055"/>
      <c r="DFC355" s="1054"/>
      <c r="DFD355" s="1055"/>
      <c r="DFE355" s="1054"/>
      <c r="DFF355" s="1055"/>
      <c r="DFG355" s="1054"/>
      <c r="DFH355" s="1055"/>
      <c r="DFI355" s="1054"/>
      <c r="DFJ355" s="1055"/>
      <c r="DFK355" s="1054"/>
      <c r="DFL355" s="1055"/>
      <c r="DFM355" s="1054"/>
      <c r="DFN355" s="1055"/>
      <c r="DFO355" s="1054"/>
      <c r="DFP355" s="1055"/>
      <c r="DFQ355" s="1054"/>
      <c r="DFR355" s="1055"/>
      <c r="DFS355" s="1054"/>
      <c r="DFT355" s="1055"/>
      <c r="DFU355" s="1054"/>
      <c r="DFV355" s="1055"/>
      <c r="DFW355" s="1054"/>
      <c r="DFX355" s="1055"/>
      <c r="DFY355" s="1054"/>
      <c r="DFZ355" s="1055"/>
      <c r="DGA355" s="1054"/>
      <c r="DGB355" s="1055"/>
      <c r="DGC355" s="1054"/>
      <c r="DGD355" s="1055"/>
      <c r="DGE355" s="1054"/>
      <c r="DGF355" s="1055"/>
      <c r="DGG355" s="1054"/>
      <c r="DGH355" s="1055"/>
      <c r="DGI355" s="1054"/>
      <c r="DGJ355" s="1055"/>
      <c r="DGK355" s="1054"/>
      <c r="DGL355" s="1055"/>
      <c r="DGM355" s="1054"/>
      <c r="DGN355" s="1055"/>
      <c r="DGO355" s="1054"/>
      <c r="DGP355" s="1055"/>
      <c r="DGQ355" s="1054"/>
      <c r="DGR355" s="1055"/>
      <c r="DGS355" s="1054"/>
      <c r="DGT355" s="1055"/>
      <c r="DGU355" s="1054"/>
      <c r="DGV355" s="1055"/>
      <c r="DGW355" s="1054"/>
      <c r="DGX355" s="1055"/>
      <c r="DGY355" s="1054"/>
      <c r="DGZ355" s="1055"/>
      <c r="DHA355" s="1054"/>
      <c r="DHB355" s="1055"/>
      <c r="DHC355" s="1054"/>
      <c r="DHD355" s="1055"/>
      <c r="DHE355" s="1054"/>
      <c r="DHF355" s="1055"/>
      <c r="DHG355" s="1054"/>
      <c r="DHH355" s="1055"/>
      <c r="DHI355" s="1054"/>
      <c r="DHJ355" s="1055"/>
      <c r="DHK355" s="1054"/>
      <c r="DHL355" s="1055"/>
      <c r="DHM355" s="1054"/>
      <c r="DHN355" s="1055"/>
      <c r="DHO355" s="1054"/>
      <c r="DHP355" s="1055"/>
      <c r="DHQ355" s="1054"/>
      <c r="DHR355" s="1055"/>
      <c r="DHS355" s="1054"/>
      <c r="DHT355" s="1055"/>
      <c r="DHU355" s="1054"/>
      <c r="DHV355" s="1055"/>
      <c r="DHW355" s="1054"/>
      <c r="DHX355" s="1055"/>
      <c r="DHY355" s="1054"/>
      <c r="DHZ355" s="1055"/>
      <c r="DIA355" s="1054"/>
      <c r="DIB355" s="1055"/>
      <c r="DIC355" s="1054"/>
      <c r="DID355" s="1055"/>
      <c r="DIE355" s="1054"/>
      <c r="DIF355" s="1055"/>
      <c r="DIG355" s="1054"/>
      <c r="DIH355" s="1055"/>
      <c r="DII355" s="1054"/>
      <c r="DIJ355" s="1055"/>
      <c r="DIK355" s="1054"/>
      <c r="DIL355" s="1055"/>
      <c r="DIM355" s="1054"/>
      <c r="DIN355" s="1055"/>
      <c r="DIO355" s="1054"/>
      <c r="DIP355" s="1055"/>
      <c r="DIQ355" s="1054"/>
      <c r="DIR355" s="1055"/>
      <c r="DIS355" s="1054"/>
      <c r="DIT355" s="1055"/>
      <c r="DIU355" s="1054"/>
      <c r="DIV355" s="1055"/>
      <c r="DIW355" s="1054"/>
      <c r="DIX355" s="1055"/>
      <c r="DIY355" s="1054"/>
      <c r="DIZ355" s="1055"/>
      <c r="DJA355" s="1054"/>
      <c r="DJB355" s="1055"/>
      <c r="DJC355" s="1054"/>
      <c r="DJD355" s="1055"/>
      <c r="DJE355" s="1054"/>
      <c r="DJF355" s="1055"/>
      <c r="DJG355" s="1054"/>
      <c r="DJH355" s="1055"/>
      <c r="DJI355" s="1054"/>
      <c r="DJJ355" s="1055"/>
      <c r="DJK355" s="1054"/>
      <c r="DJL355" s="1055"/>
      <c r="DJM355" s="1054"/>
      <c r="DJN355" s="1055"/>
      <c r="DJO355" s="1054"/>
      <c r="DJP355" s="1055"/>
      <c r="DJQ355" s="1054"/>
      <c r="DJR355" s="1055"/>
      <c r="DJS355" s="1054"/>
      <c r="DJT355" s="1055"/>
      <c r="DJU355" s="1054"/>
      <c r="DJV355" s="1055"/>
      <c r="DJW355" s="1054"/>
      <c r="DJX355" s="1055"/>
      <c r="DJY355" s="1054"/>
      <c r="DJZ355" s="1055"/>
      <c r="DKA355" s="1054"/>
      <c r="DKB355" s="1055"/>
      <c r="DKC355" s="1054"/>
      <c r="DKD355" s="1055"/>
      <c r="DKE355" s="1054"/>
      <c r="DKF355" s="1055"/>
      <c r="DKG355" s="1054"/>
      <c r="DKH355" s="1055"/>
      <c r="DKI355" s="1054"/>
      <c r="DKJ355" s="1055"/>
      <c r="DKK355" s="1054"/>
      <c r="DKL355" s="1055"/>
      <c r="DKM355" s="1054"/>
      <c r="DKN355" s="1055"/>
      <c r="DKO355" s="1054"/>
      <c r="DKP355" s="1055"/>
      <c r="DKQ355" s="1054"/>
      <c r="DKR355" s="1055"/>
      <c r="DKS355" s="1054"/>
      <c r="DKT355" s="1055"/>
      <c r="DKU355" s="1054"/>
      <c r="DKV355" s="1055"/>
      <c r="DKW355" s="1054"/>
      <c r="DKX355" s="1055"/>
      <c r="DKY355" s="1054"/>
      <c r="DKZ355" s="1055"/>
      <c r="DLA355" s="1054"/>
      <c r="DLB355" s="1055"/>
      <c r="DLC355" s="1054"/>
      <c r="DLD355" s="1055"/>
      <c r="DLE355" s="1054"/>
      <c r="DLF355" s="1055"/>
      <c r="DLG355" s="1054"/>
      <c r="DLH355" s="1055"/>
      <c r="DLI355" s="1054"/>
      <c r="DLJ355" s="1055"/>
      <c r="DLK355" s="1054"/>
      <c r="DLL355" s="1055"/>
      <c r="DLM355" s="1054"/>
      <c r="DLN355" s="1055"/>
      <c r="DLO355" s="1054"/>
      <c r="DLP355" s="1055"/>
      <c r="DLQ355" s="1054"/>
      <c r="DLR355" s="1055"/>
      <c r="DLS355" s="1054"/>
      <c r="DLT355" s="1055"/>
      <c r="DLU355" s="1054"/>
      <c r="DLV355" s="1055"/>
      <c r="DLW355" s="1054"/>
      <c r="DLX355" s="1055"/>
      <c r="DLY355" s="1054"/>
      <c r="DLZ355" s="1055"/>
      <c r="DMA355" s="1054"/>
      <c r="DMB355" s="1055"/>
      <c r="DMC355" s="1054"/>
      <c r="DMD355" s="1055"/>
      <c r="DME355" s="1054"/>
      <c r="DMF355" s="1055"/>
      <c r="DMG355" s="1054"/>
      <c r="DMH355" s="1055"/>
      <c r="DMI355" s="1054"/>
      <c r="DMJ355" s="1055"/>
      <c r="DMK355" s="1054"/>
      <c r="DML355" s="1055"/>
      <c r="DMM355" s="1054"/>
      <c r="DMN355" s="1055"/>
      <c r="DMO355" s="1054"/>
      <c r="DMP355" s="1055"/>
      <c r="DMQ355" s="1054"/>
      <c r="DMR355" s="1055"/>
      <c r="DMS355" s="1054"/>
      <c r="DMT355" s="1055"/>
      <c r="DMU355" s="1054"/>
      <c r="DMV355" s="1055"/>
      <c r="DMW355" s="1054"/>
      <c r="DMX355" s="1055"/>
      <c r="DMY355" s="1054"/>
      <c r="DMZ355" s="1055"/>
      <c r="DNA355" s="1054"/>
      <c r="DNB355" s="1055"/>
      <c r="DNC355" s="1054"/>
      <c r="DND355" s="1055"/>
      <c r="DNE355" s="1054"/>
      <c r="DNF355" s="1055"/>
      <c r="DNG355" s="1054"/>
      <c r="DNH355" s="1055"/>
      <c r="DNI355" s="1054"/>
      <c r="DNJ355" s="1055"/>
      <c r="DNK355" s="1054"/>
      <c r="DNL355" s="1055"/>
      <c r="DNM355" s="1054"/>
      <c r="DNN355" s="1055"/>
      <c r="DNO355" s="1054"/>
      <c r="DNP355" s="1055"/>
      <c r="DNQ355" s="1054"/>
      <c r="DNR355" s="1055"/>
      <c r="DNS355" s="1054"/>
      <c r="DNT355" s="1055"/>
      <c r="DNU355" s="1054"/>
      <c r="DNV355" s="1055"/>
      <c r="DNW355" s="1054"/>
      <c r="DNX355" s="1055"/>
      <c r="DNY355" s="1054"/>
      <c r="DNZ355" s="1055"/>
      <c r="DOA355" s="1054"/>
      <c r="DOB355" s="1055"/>
      <c r="DOC355" s="1054"/>
      <c r="DOD355" s="1055"/>
      <c r="DOE355" s="1054"/>
      <c r="DOF355" s="1055"/>
      <c r="DOG355" s="1054"/>
      <c r="DOH355" s="1055"/>
      <c r="DOI355" s="1054"/>
      <c r="DOJ355" s="1055"/>
      <c r="DOK355" s="1054"/>
      <c r="DOL355" s="1055"/>
      <c r="DOM355" s="1054"/>
      <c r="DON355" s="1055"/>
      <c r="DOO355" s="1054"/>
      <c r="DOP355" s="1055"/>
      <c r="DOQ355" s="1054"/>
      <c r="DOR355" s="1055"/>
      <c r="DOS355" s="1054"/>
      <c r="DOT355" s="1055"/>
      <c r="DOU355" s="1054"/>
      <c r="DOV355" s="1055"/>
      <c r="DOW355" s="1054"/>
      <c r="DOX355" s="1055"/>
      <c r="DOY355" s="1054"/>
      <c r="DOZ355" s="1055"/>
      <c r="DPA355" s="1054"/>
      <c r="DPB355" s="1055"/>
      <c r="DPC355" s="1054"/>
      <c r="DPD355" s="1055"/>
      <c r="DPE355" s="1054"/>
      <c r="DPF355" s="1055"/>
      <c r="DPG355" s="1054"/>
      <c r="DPH355" s="1055"/>
      <c r="DPI355" s="1054"/>
      <c r="DPJ355" s="1055"/>
      <c r="DPK355" s="1054"/>
      <c r="DPL355" s="1055"/>
      <c r="DPM355" s="1054"/>
      <c r="DPN355" s="1055"/>
      <c r="DPO355" s="1054"/>
      <c r="DPP355" s="1055"/>
      <c r="DPQ355" s="1054"/>
      <c r="DPR355" s="1055"/>
      <c r="DPS355" s="1054"/>
      <c r="DPT355" s="1055"/>
      <c r="DPU355" s="1054"/>
      <c r="DPV355" s="1055"/>
      <c r="DPW355" s="1054"/>
      <c r="DPX355" s="1055"/>
      <c r="DPY355" s="1054"/>
      <c r="DPZ355" s="1055"/>
      <c r="DQA355" s="1054"/>
      <c r="DQB355" s="1055"/>
      <c r="DQC355" s="1054"/>
      <c r="DQD355" s="1055"/>
      <c r="DQE355" s="1054"/>
      <c r="DQF355" s="1055"/>
      <c r="DQG355" s="1054"/>
      <c r="DQH355" s="1055"/>
      <c r="DQI355" s="1054"/>
      <c r="DQJ355" s="1055"/>
      <c r="DQK355" s="1054"/>
      <c r="DQL355" s="1055"/>
      <c r="DQM355" s="1054"/>
      <c r="DQN355" s="1055"/>
      <c r="DQO355" s="1054"/>
      <c r="DQP355" s="1055"/>
      <c r="DQQ355" s="1054"/>
      <c r="DQR355" s="1055"/>
      <c r="DQS355" s="1054"/>
      <c r="DQT355" s="1055"/>
      <c r="DQU355" s="1054"/>
      <c r="DQV355" s="1055"/>
      <c r="DQW355" s="1054"/>
      <c r="DQX355" s="1055"/>
      <c r="DQY355" s="1054"/>
      <c r="DQZ355" s="1055"/>
      <c r="DRA355" s="1054"/>
      <c r="DRB355" s="1055"/>
      <c r="DRC355" s="1054"/>
      <c r="DRD355" s="1055"/>
      <c r="DRE355" s="1054"/>
      <c r="DRF355" s="1055"/>
      <c r="DRG355" s="1054"/>
      <c r="DRH355" s="1055"/>
      <c r="DRI355" s="1054"/>
      <c r="DRJ355" s="1055"/>
      <c r="DRK355" s="1054"/>
      <c r="DRL355" s="1055"/>
      <c r="DRM355" s="1054"/>
      <c r="DRN355" s="1055"/>
      <c r="DRO355" s="1054"/>
      <c r="DRP355" s="1055"/>
      <c r="DRQ355" s="1054"/>
      <c r="DRR355" s="1055"/>
      <c r="DRS355" s="1054"/>
      <c r="DRT355" s="1055"/>
      <c r="DRU355" s="1054"/>
      <c r="DRV355" s="1055"/>
      <c r="DRW355" s="1054"/>
      <c r="DRX355" s="1055"/>
      <c r="DRY355" s="1054"/>
      <c r="DRZ355" s="1055"/>
      <c r="DSA355" s="1054"/>
      <c r="DSB355" s="1055"/>
      <c r="DSC355" s="1054"/>
      <c r="DSD355" s="1055"/>
      <c r="DSE355" s="1054"/>
      <c r="DSF355" s="1055"/>
      <c r="DSG355" s="1054"/>
      <c r="DSH355" s="1055"/>
      <c r="DSI355" s="1054"/>
      <c r="DSJ355" s="1055"/>
      <c r="DSK355" s="1054"/>
      <c r="DSL355" s="1055"/>
      <c r="DSM355" s="1054"/>
      <c r="DSN355" s="1055"/>
      <c r="DSO355" s="1054"/>
      <c r="DSP355" s="1055"/>
      <c r="DSQ355" s="1054"/>
      <c r="DSR355" s="1055"/>
      <c r="DSS355" s="1054"/>
      <c r="DST355" s="1055"/>
      <c r="DSU355" s="1054"/>
      <c r="DSV355" s="1055"/>
      <c r="DSW355" s="1054"/>
      <c r="DSX355" s="1055"/>
      <c r="DSY355" s="1054"/>
      <c r="DSZ355" s="1055"/>
      <c r="DTA355" s="1054"/>
      <c r="DTB355" s="1055"/>
      <c r="DTC355" s="1054"/>
      <c r="DTD355" s="1055"/>
      <c r="DTE355" s="1054"/>
      <c r="DTF355" s="1055"/>
      <c r="DTG355" s="1054"/>
      <c r="DTH355" s="1055"/>
      <c r="DTI355" s="1054"/>
      <c r="DTJ355" s="1055"/>
      <c r="DTK355" s="1054"/>
      <c r="DTL355" s="1055"/>
      <c r="DTM355" s="1054"/>
      <c r="DTN355" s="1055"/>
      <c r="DTO355" s="1054"/>
      <c r="DTP355" s="1055"/>
      <c r="DTQ355" s="1054"/>
      <c r="DTR355" s="1055"/>
      <c r="DTS355" s="1054"/>
      <c r="DTT355" s="1055"/>
      <c r="DTU355" s="1054"/>
      <c r="DTV355" s="1055"/>
      <c r="DTW355" s="1054"/>
      <c r="DTX355" s="1055"/>
      <c r="DTY355" s="1054"/>
      <c r="DTZ355" s="1055"/>
      <c r="DUA355" s="1054"/>
      <c r="DUB355" s="1055"/>
      <c r="DUC355" s="1054"/>
      <c r="DUD355" s="1055"/>
      <c r="DUE355" s="1054"/>
      <c r="DUF355" s="1055"/>
      <c r="DUG355" s="1054"/>
      <c r="DUH355" s="1055"/>
      <c r="DUI355" s="1054"/>
      <c r="DUJ355" s="1055"/>
      <c r="DUK355" s="1054"/>
      <c r="DUL355" s="1055"/>
      <c r="DUM355" s="1054"/>
      <c r="DUN355" s="1055"/>
      <c r="DUO355" s="1054"/>
      <c r="DUP355" s="1055"/>
      <c r="DUQ355" s="1054"/>
      <c r="DUR355" s="1055"/>
      <c r="DUS355" s="1054"/>
      <c r="DUT355" s="1055"/>
      <c r="DUU355" s="1054"/>
      <c r="DUV355" s="1055"/>
      <c r="DUW355" s="1054"/>
      <c r="DUX355" s="1055"/>
      <c r="DUY355" s="1054"/>
      <c r="DUZ355" s="1055"/>
      <c r="DVA355" s="1054"/>
      <c r="DVB355" s="1055"/>
      <c r="DVC355" s="1054"/>
      <c r="DVD355" s="1055"/>
      <c r="DVE355" s="1054"/>
      <c r="DVF355" s="1055"/>
      <c r="DVG355" s="1054"/>
      <c r="DVH355" s="1055"/>
      <c r="DVI355" s="1054"/>
      <c r="DVJ355" s="1055"/>
      <c r="DVK355" s="1054"/>
      <c r="DVL355" s="1055"/>
      <c r="DVM355" s="1054"/>
      <c r="DVN355" s="1055"/>
      <c r="DVO355" s="1054"/>
      <c r="DVP355" s="1055"/>
      <c r="DVQ355" s="1054"/>
      <c r="DVR355" s="1055"/>
      <c r="DVS355" s="1054"/>
      <c r="DVT355" s="1055"/>
      <c r="DVU355" s="1054"/>
      <c r="DVV355" s="1055"/>
      <c r="DVW355" s="1054"/>
      <c r="DVX355" s="1055"/>
      <c r="DVY355" s="1054"/>
      <c r="DVZ355" s="1055"/>
      <c r="DWA355" s="1054"/>
      <c r="DWB355" s="1055"/>
      <c r="DWC355" s="1054"/>
      <c r="DWD355" s="1055"/>
      <c r="DWE355" s="1054"/>
      <c r="DWF355" s="1055"/>
      <c r="DWG355" s="1054"/>
      <c r="DWH355" s="1055"/>
      <c r="DWI355" s="1054"/>
      <c r="DWJ355" s="1055"/>
      <c r="DWK355" s="1054"/>
      <c r="DWL355" s="1055"/>
      <c r="DWM355" s="1054"/>
      <c r="DWN355" s="1055"/>
      <c r="DWO355" s="1054"/>
      <c r="DWP355" s="1055"/>
      <c r="DWQ355" s="1054"/>
      <c r="DWR355" s="1055"/>
      <c r="DWS355" s="1054"/>
      <c r="DWT355" s="1055"/>
      <c r="DWU355" s="1054"/>
      <c r="DWV355" s="1055"/>
      <c r="DWW355" s="1054"/>
      <c r="DWX355" s="1055"/>
      <c r="DWY355" s="1054"/>
      <c r="DWZ355" s="1055"/>
      <c r="DXA355" s="1054"/>
      <c r="DXB355" s="1055"/>
      <c r="DXC355" s="1054"/>
      <c r="DXD355" s="1055"/>
      <c r="DXE355" s="1054"/>
      <c r="DXF355" s="1055"/>
      <c r="DXG355" s="1054"/>
      <c r="DXH355" s="1055"/>
      <c r="DXI355" s="1054"/>
      <c r="DXJ355" s="1055"/>
      <c r="DXK355" s="1054"/>
      <c r="DXL355" s="1055"/>
      <c r="DXM355" s="1054"/>
      <c r="DXN355" s="1055"/>
      <c r="DXO355" s="1054"/>
      <c r="DXP355" s="1055"/>
      <c r="DXQ355" s="1054"/>
      <c r="DXR355" s="1055"/>
      <c r="DXS355" s="1054"/>
      <c r="DXT355" s="1055"/>
      <c r="DXU355" s="1054"/>
      <c r="DXV355" s="1055"/>
      <c r="DXW355" s="1054"/>
      <c r="DXX355" s="1055"/>
      <c r="DXY355" s="1054"/>
      <c r="DXZ355" s="1055"/>
      <c r="DYA355" s="1054"/>
      <c r="DYB355" s="1055"/>
      <c r="DYC355" s="1054"/>
      <c r="DYD355" s="1055"/>
      <c r="DYE355" s="1054"/>
      <c r="DYF355" s="1055"/>
      <c r="DYG355" s="1054"/>
      <c r="DYH355" s="1055"/>
      <c r="DYI355" s="1054"/>
      <c r="DYJ355" s="1055"/>
      <c r="DYK355" s="1054"/>
      <c r="DYL355" s="1055"/>
      <c r="DYM355" s="1054"/>
      <c r="DYN355" s="1055"/>
      <c r="DYO355" s="1054"/>
      <c r="DYP355" s="1055"/>
      <c r="DYQ355" s="1054"/>
      <c r="DYR355" s="1055"/>
      <c r="DYS355" s="1054"/>
      <c r="DYT355" s="1055"/>
      <c r="DYU355" s="1054"/>
      <c r="DYV355" s="1055"/>
      <c r="DYW355" s="1054"/>
      <c r="DYX355" s="1055"/>
      <c r="DYY355" s="1054"/>
      <c r="DYZ355" s="1055"/>
      <c r="DZA355" s="1054"/>
      <c r="DZB355" s="1055"/>
      <c r="DZC355" s="1054"/>
      <c r="DZD355" s="1055"/>
      <c r="DZE355" s="1054"/>
      <c r="DZF355" s="1055"/>
      <c r="DZG355" s="1054"/>
      <c r="DZH355" s="1055"/>
      <c r="DZI355" s="1054"/>
      <c r="DZJ355" s="1055"/>
      <c r="DZK355" s="1054"/>
      <c r="DZL355" s="1055"/>
      <c r="DZM355" s="1054"/>
      <c r="DZN355" s="1055"/>
      <c r="DZO355" s="1054"/>
      <c r="DZP355" s="1055"/>
      <c r="DZQ355" s="1054"/>
      <c r="DZR355" s="1055"/>
      <c r="DZS355" s="1054"/>
      <c r="DZT355" s="1055"/>
      <c r="DZU355" s="1054"/>
      <c r="DZV355" s="1055"/>
      <c r="DZW355" s="1054"/>
      <c r="DZX355" s="1055"/>
      <c r="DZY355" s="1054"/>
      <c r="DZZ355" s="1055"/>
      <c r="EAA355" s="1054"/>
      <c r="EAB355" s="1055"/>
      <c r="EAC355" s="1054"/>
      <c r="EAD355" s="1055"/>
      <c r="EAE355" s="1054"/>
      <c r="EAF355" s="1055"/>
      <c r="EAG355" s="1054"/>
      <c r="EAH355" s="1055"/>
      <c r="EAI355" s="1054"/>
      <c r="EAJ355" s="1055"/>
      <c r="EAK355" s="1054"/>
      <c r="EAL355" s="1055"/>
      <c r="EAM355" s="1054"/>
      <c r="EAN355" s="1055"/>
      <c r="EAO355" s="1054"/>
      <c r="EAP355" s="1055"/>
      <c r="EAQ355" s="1054"/>
      <c r="EAR355" s="1055"/>
      <c r="EAS355" s="1054"/>
      <c r="EAT355" s="1055"/>
      <c r="EAU355" s="1054"/>
      <c r="EAV355" s="1055"/>
      <c r="EAW355" s="1054"/>
      <c r="EAX355" s="1055"/>
      <c r="EAY355" s="1054"/>
      <c r="EAZ355" s="1055"/>
      <c r="EBA355" s="1054"/>
      <c r="EBB355" s="1055"/>
      <c r="EBC355" s="1054"/>
      <c r="EBD355" s="1055"/>
      <c r="EBE355" s="1054"/>
      <c r="EBF355" s="1055"/>
      <c r="EBG355" s="1054"/>
      <c r="EBH355" s="1055"/>
      <c r="EBI355" s="1054"/>
      <c r="EBJ355" s="1055"/>
      <c r="EBK355" s="1054"/>
      <c r="EBL355" s="1055"/>
      <c r="EBM355" s="1054"/>
      <c r="EBN355" s="1055"/>
      <c r="EBO355" s="1054"/>
      <c r="EBP355" s="1055"/>
      <c r="EBQ355" s="1054"/>
      <c r="EBR355" s="1055"/>
      <c r="EBS355" s="1054"/>
      <c r="EBT355" s="1055"/>
      <c r="EBU355" s="1054"/>
      <c r="EBV355" s="1055"/>
      <c r="EBW355" s="1054"/>
      <c r="EBX355" s="1055"/>
      <c r="EBY355" s="1054"/>
      <c r="EBZ355" s="1055"/>
      <c r="ECA355" s="1054"/>
      <c r="ECB355" s="1055"/>
      <c r="ECC355" s="1054"/>
      <c r="ECD355" s="1055"/>
      <c r="ECE355" s="1054"/>
      <c r="ECF355" s="1055"/>
      <c r="ECG355" s="1054"/>
      <c r="ECH355" s="1055"/>
      <c r="ECI355" s="1054"/>
      <c r="ECJ355" s="1055"/>
      <c r="ECK355" s="1054"/>
      <c r="ECL355" s="1055"/>
      <c r="ECM355" s="1054"/>
      <c r="ECN355" s="1055"/>
      <c r="ECO355" s="1054"/>
      <c r="ECP355" s="1055"/>
      <c r="ECQ355" s="1054"/>
      <c r="ECR355" s="1055"/>
      <c r="ECS355" s="1054"/>
      <c r="ECT355" s="1055"/>
      <c r="ECU355" s="1054"/>
      <c r="ECV355" s="1055"/>
      <c r="ECW355" s="1054"/>
      <c r="ECX355" s="1055"/>
      <c r="ECY355" s="1054"/>
      <c r="ECZ355" s="1055"/>
      <c r="EDA355" s="1054"/>
      <c r="EDB355" s="1055"/>
      <c r="EDC355" s="1054"/>
      <c r="EDD355" s="1055"/>
      <c r="EDE355" s="1054"/>
      <c r="EDF355" s="1055"/>
      <c r="EDG355" s="1054"/>
      <c r="EDH355" s="1055"/>
      <c r="EDI355" s="1054"/>
      <c r="EDJ355" s="1055"/>
      <c r="EDK355" s="1054"/>
      <c r="EDL355" s="1055"/>
      <c r="EDM355" s="1054"/>
      <c r="EDN355" s="1055"/>
      <c r="EDO355" s="1054"/>
      <c r="EDP355" s="1055"/>
      <c r="EDQ355" s="1054"/>
      <c r="EDR355" s="1055"/>
      <c r="EDS355" s="1054"/>
      <c r="EDT355" s="1055"/>
      <c r="EDU355" s="1054"/>
      <c r="EDV355" s="1055"/>
      <c r="EDW355" s="1054"/>
      <c r="EDX355" s="1055"/>
      <c r="EDY355" s="1054"/>
      <c r="EDZ355" s="1055"/>
      <c r="EEA355" s="1054"/>
      <c r="EEB355" s="1055"/>
      <c r="EEC355" s="1054"/>
      <c r="EED355" s="1055"/>
      <c r="EEE355" s="1054"/>
      <c r="EEF355" s="1055"/>
      <c r="EEG355" s="1054"/>
      <c r="EEH355" s="1055"/>
      <c r="EEI355" s="1054"/>
      <c r="EEJ355" s="1055"/>
      <c r="EEK355" s="1054"/>
      <c r="EEL355" s="1055"/>
      <c r="EEM355" s="1054"/>
      <c r="EEN355" s="1055"/>
      <c r="EEO355" s="1054"/>
      <c r="EEP355" s="1055"/>
      <c r="EEQ355" s="1054"/>
      <c r="EER355" s="1055"/>
      <c r="EES355" s="1054"/>
      <c r="EET355" s="1055"/>
      <c r="EEU355" s="1054"/>
      <c r="EEV355" s="1055"/>
      <c r="EEW355" s="1054"/>
      <c r="EEX355" s="1055"/>
      <c r="EEY355" s="1054"/>
      <c r="EEZ355" s="1055"/>
      <c r="EFA355" s="1054"/>
      <c r="EFB355" s="1055"/>
      <c r="EFC355" s="1054"/>
      <c r="EFD355" s="1055"/>
      <c r="EFE355" s="1054"/>
      <c r="EFF355" s="1055"/>
      <c r="EFG355" s="1054"/>
      <c r="EFH355" s="1055"/>
      <c r="EFI355" s="1054"/>
      <c r="EFJ355" s="1055"/>
      <c r="EFK355" s="1054"/>
      <c r="EFL355" s="1055"/>
      <c r="EFM355" s="1054"/>
      <c r="EFN355" s="1055"/>
      <c r="EFO355" s="1054"/>
      <c r="EFP355" s="1055"/>
      <c r="EFQ355" s="1054"/>
      <c r="EFR355" s="1055"/>
      <c r="EFS355" s="1054"/>
      <c r="EFT355" s="1055"/>
      <c r="EFU355" s="1054"/>
      <c r="EFV355" s="1055"/>
      <c r="EFW355" s="1054"/>
      <c r="EFX355" s="1055"/>
      <c r="EFY355" s="1054"/>
      <c r="EFZ355" s="1055"/>
      <c r="EGA355" s="1054"/>
      <c r="EGB355" s="1055"/>
      <c r="EGC355" s="1054"/>
      <c r="EGD355" s="1055"/>
      <c r="EGE355" s="1054"/>
      <c r="EGF355" s="1055"/>
      <c r="EGG355" s="1054"/>
      <c r="EGH355" s="1055"/>
      <c r="EGI355" s="1054"/>
      <c r="EGJ355" s="1055"/>
      <c r="EGK355" s="1054"/>
      <c r="EGL355" s="1055"/>
      <c r="EGM355" s="1054"/>
      <c r="EGN355" s="1055"/>
      <c r="EGO355" s="1054"/>
      <c r="EGP355" s="1055"/>
      <c r="EGQ355" s="1054"/>
      <c r="EGR355" s="1055"/>
      <c r="EGS355" s="1054"/>
      <c r="EGT355" s="1055"/>
      <c r="EGU355" s="1054"/>
      <c r="EGV355" s="1055"/>
      <c r="EGW355" s="1054"/>
      <c r="EGX355" s="1055"/>
      <c r="EGY355" s="1054"/>
      <c r="EGZ355" s="1055"/>
      <c r="EHA355" s="1054"/>
      <c r="EHB355" s="1055"/>
      <c r="EHC355" s="1054"/>
      <c r="EHD355" s="1055"/>
      <c r="EHE355" s="1054"/>
      <c r="EHF355" s="1055"/>
      <c r="EHG355" s="1054"/>
      <c r="EHH355" s="1055"/>
      <c r="EHI355" s="1054"/>
      <c r="EHJ355" s="1055"/>
      <c r="EHK355" s="1054"/>
      <c r="EHL355" s="1055"/>
      <c r="EHM355" s="1054"/>
      <c r="EHN355" s="1055"/>
      <c r="EHO355" s="1054"/>
      <c r="EHP355" s="1055"/>
      <c r="EHQ355" s="1054"/>
      <c r="EHR355" s="1055"/>
      <c r="EHS355" s="1054"/>
      <c r="EHT355" s="1055"/>
      <c r="EHU355" s="1054"/>
      <c r="EHV355" s="1055"/>
      <c r="EHW355" s="1054"/>
      <c r="EHX355" s="1055"/>
      <c r="EHY355" s="1054"/>
      <c r="EHZ355" s="1055"/>
      <c r="EIA355" s="1054"/>
      <c r="EIB355" s="1055"/>
      <c r="EIC355" s="1054"/>
      <c r="EID355" s="1055"/>
      <c r="EIE355" s="1054"/>
      <c r="EIF355" s="1055"/>
      <c r="EIG355" s="1054"/>
      <c r="EIH355" s="1055"/>
      <c r="EII355" s="1054"/>
      <c r="EIJ355" s="1055"/>
      <c r="EIK355" s="1054"/>
      <c r="EIL355" s="1055"/>
      <c r="EIM355" s="1054"/>
      <c r="EIN355" s="1055"/>
      <c r="EIO355" s="1054"/>
      <c r="EIP355" s="1055"/>
      <c r="EIQ355" s="1054"/>
      <c r="EIR355" s="1055"/>
      <c r="EIS355" s="1054"/>
      <c r="EIT355" s="1055"/>
      <c r="EIU355" s="1054"/>
      <c r="EIV355" s="1055"/>
      <c r="EIW355" s="1054"/>
      <c r="EIX355" s="1055"/>
      <c r="EIY355" s="1054"/>
      <c r="EIZ355" s="1055"/>
      <c r="EJA355" s="1054"/>
      <c r="EJB355" s="1055"/>
      <c r="EJC355" s="1054"/>
      <c r="EJD355" s="1055"/>
      <c r="EJE355" s="1054"/>
      <c r="EJF355" s="1055"/>
      <c r="EJG355" s="1054"/>
      <c r="EJH355" s="1055"/>
      <c r="EJI355" s="1054"/>
      <c r="EJJ355" s="1055"/>
      <c r="EJK355" s="1054"/>
      <c r="EJL355" s="1055"/>
      <c r="EJM355" s="1054"/>
      <c r="EJN355" s="1055"/>
      <c r="EJO355" s="1054"/>
      <c r="EJP355" s="1055"/>
      <c r="EJQ355" s="1054"/>
      <c r="EJR355" s="1055"/>
      <c r="EJS355" s="1054"/>
      <c r="EJT355" s="1055"/>
      <c r="EJU355" s="1054"/>
      <c r="EJV355" s="1055"/>
      <c r="EJW355" s="1054"/>
      <c r="EJX355" s="1055"/>
      <c r="EJY355" s="1054"/>
      <c r="EJZ355" s="1055"/>
      <c r="EKA355" s="1054"/>
      <c r="EKB355" s="1055"/>
      <c r="EKC355" s="1054"/>
      <c r="EKD355" s="1055"/>
      <c r="EKE355" s="1054"/>
      <c r="EKF355" s="1055"/>
      <c r="EKG355" s="1054"/>
      <c r="EKH355" s="1055"/>
      <c r="EKI355" s="1054"/>
      <c r="EKJ355" s="1055"/>
      <c r="EKK355" s="1054"/>
      <c r="EKL355" s="1055"/>
      <c r="EKM355" s="1054"/>
      <c r="EKN355" s="1055"/>
      <c r="EKO355" s="1054"/>
      <c r="EKP355" s="1055"/>
      <c r="EKQ355" s="1054"/>
      <c r="EKR355" s="1055"/>
      <c r="EKS355" s="1054"/>
      <c r="EKT355" s="1055"/>
      <c r="EKU355" s="1054"/>
      <c r="EKV355" s="1055"/>
      <c r="EKW355" s="1054"/>
      <c r="EKX355" s="1055"/>
      <c r="EKY355" s="1054"/>
      <c r="EKZ355" s="1055"/>
      <c r="ELA355" s="1054"/>
      <c r="ELB355" s="1055"/>
      <c r="ELC355" s="1054"/>
      <c r="ELD355" s="1055"/>
      <c r="ELE355" s="1054"/>
      <c r="ELF355" s="1055"/>
      <c r="ELG355" s="1054"/>
      <c r="ELH355" s="1055"/>
      <c r="ELI355" s="1054"/>
      <c r="ELJ355" s="1055"/>
      <c r="ELK355" s="1054"/>
      <c r="ELL355" s="1055"/>
      <c r="ELM355" s="1054"/>
      <c r="ELN355" s="1055"/>
      <c r="ELO355" s="1054"/>
      <c r="ELP355" s="1055"/>
      <c r="ELQ355" s="1054"/>
      <c r="ELR355" s="1055"/>
      <c r="ELS355" s="1054"/>
      <c r="ELT355" s="1055"/>
      <c r="ELU355" s="1054"/>
      <c r="ELV355" s="1055"/>
      <c r="ELW355" s="1054"/>
      <c r="ELX355" s="1055"/>
      <c r="ELY355" s="1054"/>
      <c r="ELZ355" s="1055"/>
      <c r="EMA355" s="1054"/>
      <c r="EMB355" s="1055"/>
      <c r="EMC355" s="1054"/>
      <c r="EMD355" s="1055"/>
      <c r="EME355" s="1054"/>
      <c r="EMF355" s="1055"/>
      <c r="EMG355" s="1054"/>
      <c r="EMH355" s="1055"/>
      <c r="EMI355" s="1054"/>
      <c r="EMJ355" s="1055"/>
      <c r="EMK355" s="1054"/>
      <c r="EML355" s="1055"/>
      <c r="EMM355" s="1054"/>
      <c r="EMN355" s="1055"/>
      <c r="EMO355" s="1054"/>
      <c r="EMP355" s="1055"/>
      <c r="EMQ355" s="1054"/>
      <c r="EMR355" s="1055"/>
      <c r="EMS355" s="1054"/>
      <c r="EMT355" s="1055"/>
      <c r="EMU355" s="1054"/>
      <c r="EMV355" s="1055"/>
      <c r="EMW355" s="1054"/>
      <c r="EMX355" s="1055"/>
      <c r="EMY355" s="1054"/>
      <c r="EMZ355" s="1055"/>
      <c r="ENA355" s="1054"/>
      <c r="ENB355" s="1055"/>
      <c r="ENC355" s="1054"/>
      <c r="END355" s="1055"/>
      <c r="ENE355" s="1054"/>
      <c r="ENF355" s="1055"/>
      <c r="ENG355" s="1054"/>
      <c r="ENH355" s="1055"/>
      <c r="ENI355" s="1054"/>
      <c r="ENJ355" s="1055"/>
      <c r="ENK355" s="1054"/>
      <c r="ENL355" s="1055"/>
      <c r="ENM355" s="1054"/>
      <c r="ENN355" s="1055"/>
      <c r="ENO355" s="1054"/>
      <c r="ENP355" s="1055"/>
      <c r="ENQ355" s="1054"/>
      <c r="ENR355" s="1055"/>
      <c r="ENS355" s="1054"/>
      <c r="ENT355" s="1055"/>
      <c r="ENU355" s="1054"/>
      <c r="ENV355" s="1055"/>
      <c r="ENW355" s="1054"/>
      <c r="ENX355" s="1055"/>
      <c r="ENY355" s="1054"/>
      <c r="ENZ355" s="1055"/>
      <c r="EOA355" s="1054"/>
      <c r="EOB355" s="1055"/>
      <c r="EOC355" s="1054"/>
      <c r="EOD355" s="1055"/>
      <c r="EOE355" s="1054"/>
      <c r="EOF355" s="1055"/>
      <c r="EOG355" s="1054"/>
      <c r="EOH355" s="1055"/>
      <c r="EOI355" s="1054"/>
      <c r="EOJ355" s="1055"/>
      <c r="EOK355" s="1054"/>
      <c r="EOL355" s="1055"/>
      <c r="EOM355" s="1054"/>
      <c r="EON355" s="1055"/>
      <c r="EOO355" s="1054"/>
      <c r="EOP355" s="1055"/>
      <c r="EOQ355" s="1054"/>
      <c r="EOR355" s="1055"/>
      <c r="EOS355" s="1054"/>
      <c r="EOT355" s="1055"/>
      <c r="EOU355" s="1054"/>
      <c r="EOV355" s="1055"/>
      <c r="EOW355" s="1054"/>
      <c r="EOX355" s="1055"/>
      <c r="EOY355" s="1054"/>
      <c r="EOZ355" s="1055"/>
      <c r="EPA355" s="1054"/>
      <c r="EPB355" s="1055"/>
      <c r="EPC355" s="1054"/>
      <c r="EPD355" s="1055"/>
      <c r="EPE355" s="1054"/>
      <c r="EPF355" s="1055"/>
      <c r="EPG355" s="1054"/>
      <c r="EPH355" s="1055"/>
      <c r="EPI355" s="1054"/>
      <c r="EPJ355" s="1055"/>
      <c r="EPK355" s="1054"/>
      <c r="EPL355" s="1055"/>
      <c r="EPM355" s="1054"/>
      <c r="EPN355" s="1055"/>
      <c r="EPO355" s="1054"/>
      <c r="EPP355" s="1055"/>
      <c r="EPQ355" s="1054"/>
      <c r="EPR355" s="1055"/>
      <c r="EPS355" s="1054"/>
      <c r="EPT355" s="1055"/>
      <c r="EPU355" s="1054"/>
      <c r="EPV355" s="1055"/>
      <c r="EPW355" s="1054"/>
      <c r="EPX355" s="1055"/>
      <c r="EPY355" s="1054"/>
      <c r="EPZ355" s="1055"/>
      <c r="EQA355" s="1054"/>
      <c r="EQB355" s="1055"/>
      <c r="EQC355" s="1054"/>
      <c r="EQD355" s="1055"/>
      <c r="EQE355" s="1054"/>
      <c r="EQF355" s="1055"/>
      <c r="EQG355" s="1054"/>
      <c r="EQH355" s="1055"/>
      <c r="EQI355" s="1054"/>
      <c r="EQJ355" s="1055"/>
      <c r="EQK355" s="1054"/>
      <c r="EQL355" s="1055"/>
      <c r="EQM355" s="1054"/>
      <c r="EQN355" s="1055"/>
      <c r="EQO355" s="1054"/>
      <c r="EQP355" s="1055"/>
      <c r="EQQ355" s="1054"/>
      <c r="EQR355" s="1055"/>
      <c r="EQS355" s="1054"/>
      <c r="EQT355" s="1055"/>
      <c r="EQU355" s="1054"/>
      <c r="EQV355" s="1055"/>
      <c r="EQW355" s="1054"/>
      <c r="EQX355" s="1055"/>
      <c r="EQY355" s="1054"/>
      <c r="EQZ355" s="1055"/>
      <c r="ERA355" s="1054"/>
      <c r="ERB355" s="1055"/>
      <c r="ERC355" s="1054"/>
      <c r="ERD355" s="1055"/>
      <c r="ERE355" s="1054"/>
      <c r="ERF355" s="1055"/>
      <c r="ERG355" s="1054"/>
      <c r="ERH355" s="1055"/>
      <c r="ERI355" s="1054"/>
      <c r="ERJ355" s="1055"/>
      <c r="ERK355" s="1054"/>
      <c r="ERL355" s="1055"/>
      <c r="ERM355" s="1054"/>
      <c r="ERN355" s="1055"/>
      <c r="ERO355" s="1054"/>
      <c r="ERP355" s="1055"/>
      <c r="ERQ355" s="1054"/>
      <c r="ERR355" s="1055"/>
      <c r="ERS355" s="1054"/>
      <c r="ERT355" s="1055"/>
      <c r="ERU355" s="1054"/>
      <c r="ERV355" s="1055"/>
      <c r="ERW355" s="1054"/>
      <c r="ERX355" s="1055"/>
      <c r="ERY355" s="1054"/>
      <c r="ERZ355" s="1055"/>
      <c r="ESA355" s="1054"/>
      <c r="ESB355" s="1055"/>
      <c r="ESC355" s="1054"/>
      <c r="ESD355" s="1055"/>
      <c r="ESE355" s="1054"/>
      <c r="ESF355" s="1055"/>
      <c r="ESG355" s="1054"/>
      <c r="ESH355" s="1055"/>
      <c r="ESI355" s="1054"/>
      <c r="ESJ355" s="1055"/>
      <c r="ESK355" s="1054"/>
      <c r="ESL355" s="1055"/>
      <c r="ESM355" s="1054"/>
      <c r="ESN355" s="1055"/>
      <c r="ESO355" s="1054"/>
      <c r="ESP355" s="1055"/>
      <c r="ESQ355" s="1054"/>
      <c r="ESR355" s="1055"/>
      <c r="ESS355" s="1054"/>
      <c r="EST355" s="1055"/>
      <c r="ESU355" s="1054"/>
      <c r="ESV355" s="1055"/>
      <c r="ESW355" s="1054"/>
      <c r="ESX355" s="1055"/>
      <c r="ESY355" s="1054"/>
      <c r="ESZ355" s="1055"/>
      <c r="ETA355" s="1054"/>
      <c r="ETB355" s="1055"/>
      <c r="ETC355" s="1054"/>
      <c r="ETD355" s="1055"/>
      <c r="ETE355" s="1054"/>
      <c r="ETF355" s="1055"/>
      <c r="ETG355" s="1054"/>
      <c r="ETH355" s="1055"/>
      <c r="ETI355" s="1054"/>
      <c r="ETJ355" s="1055"/>
      <c r="ETK355" s="1054"/>
      <c r="ETL355" s="1055"/>
      <c r="ETM355" s="1054"/>
      <c r="ETN355" s="1055"/>
      <c r="ETO355" s="1054"/>
      <c r="ETP355" s="1055"/>
      <c r="ETQ355" s="1054"/>
      <c r="ETR355" s="1055"/>
      <c r="ETS355" s="1054"/>
      <c r="ETT355" s="1055"/>
      <c r="ETU355" s="1054"/>
      <c r="ETV355" s="1055"/>
      <c r="ETW355" s="1054"/>
      <c r="ETX355" s="1055"/>
      <c r="ETY355" s="1054"/>
      <c r="ETZ355" s="1055"/>
      <c r="EUA355" s="1054"/>
      <c r="EUB355" s="1055"/>
      <c r="EUC355" s="1054"/>
      <c r="EUD355" s="1055"/>
      <c r="EUE355" s="1054"/>
      <c r="EUF355" s="1055"/>
      <c r="EUG355" s="1054"/>
      <c r="EUH355" s="1055"/>
      <c r="EUI355" s="1054"/>
      <c r="EUJ355" s="1055"/>
      <c r="EUK355" s="1054"/>
      <c r="EUL355" s="1055"/>
      <c r="EUM355" s="1054"/>
      <c r="EUN355" s="1055"/>
      <c r="EUO355" s="1054"/>
      <c r="EUP355" s="1055"/>
      <c r="EUQ355" s="1054"/>
      <c r="EUR355" s="1055"/>
      <c r="EUS355" s="1054"/>
      <c r="EUT355" s="1055"/>
      <c r="EUU355" s="1054"/>
      <c r="EUV355" s="1055"/>
      <c r="EUW355" s="1054"/>
      <c r="EUX355" s="1055"/>
      <c r="EUY355" s="1054"/>
      <c r="EUZ355" s="1055"/>
      <c r="EVA355" s="1054"/>
      <c r="EVB355" s="1055"/>
      <c r="EVC355" s="1054"/>
      <c r="EVD355" s="1055"/>
      <c r="EVE355" s="1054"/>
      <c r="EVF355" s="1055"/>
      <c r="EVG355" s="1054"/>
      <c r="EVH355" s="1055"/>
      <c r="EVI355" s="1054"/>
      <c r="EVJ355" s="1055"/>
      <c r="EVK355" s="1054"/>
      <c r="EVL355" s="1055"/>
      <c r="EVM355" s="1054"/>
      <c r="EVN355" s="1055"/>
      <c r="EVO355" s="1054"/>
      <c r="EVP355" s="1055"/>
      <c r="EVQ355" s="1054"/>
      <c r="EVR355" s="1055"/>
      <c r="EVS355" s="1054"/>
      <c r="EVT355" s="1055"/>
      <c r="EVU355" s="1054"/>
      <c r="EVV355" s="1055"/>
      <c r="EVW355" s="1054"/>
      <c r="EVX355" s="1055"/>
      <c r="EVY355" s="1054"/>
      <c r="EVZ355" s="1055"/>
      <c r="EWA355" s="1054"/>
      <c r="EWB355" s="1055"/>
      <c r="EWC355" s="1054"/>
      <c r="EWD355" s="1055"/>
      <c r="EWE355" s="1054"/>
      <c r="EWF355" s="1055"/>
      <c r="EWG355" s="1054"/>
      <c r="EWH355" s="1055"/>
      <c r="EWI355" s="1054"/>
      <c r="EWJ355" s="1055"/>
      <c r="EWK355" s="1054"/>
      <c r="EWL355" s="1055"/>
      <c r="EWM355" s="1054"/>
      <c r="EWN355" s="1055"/>
      <c r="EWO355" s="1054"/>
      <c r="EWP355" s="1055"/>
      <c r="EWQ355" s="1054"/>
      <c r="EWR355" s="1055"/>
      <c r="EWS355" s="1054"/>
      <c r="EWT355" s="1055"/>
      <c r="EWU355" s="1054"/>
      <c r="EWV355" s="1055"/>
      <c r="EWW355" s="1054"/>
      <c r="EWX355" s="1055"/>
      <c r="EWY355" s="1054"/>
      <c r="EWZ355" s="1055"/>
      <c r="EXA355" s="1054"/>
      <c r="EXB355" s="1055"/>
      <c r="EXC355" s="1054"/>
      <c r="EXD355" s="1055"/>
      <c r="EXE355" s="1054"/>
      <c r="EXF355" s="1055"/>
      <c r="EXG355" s="1054"/>
      <c r="EXH355" s="1055"/>
      <c r="EXI355" s="1054"/>
      <c r="EXJ355" s="1055"/>
      <c r="EXK355" s="1054"/>
      <c r="EXL355" s="1055"/>
      <c r="EXM355" s="1054"/>
      <c r="EXN355" s="1055"/>
      <c r="EXO355" s="1054"/>
      <c r="EXP355" s="1055"/>
      <c r="EXQ355" s="1054"/>
      <c r="EXR355" s="1055"/>
      <c r="EXS355" s="1054"/>
      <c r="EXT355" s="1055"/>
      <c r="EXU355" s="1054"/>
      <c r="EXV355" s="1055"/>
      <c r="EXW355" s="1054"/>
      <c r="EXX355" s="1055"/>
      <c r="EXY355" s="1054"/>
      <c r="EXZ355" s="1055"/>
      <c r="EYA355" s="1054"/>
      <c r="EYB355" s="1055"/>
      <c r="EYC355" s="1054"/>
      <c r="EYD355" s="1055"/>
      <c r="EYE355" s="1054"/>
      <c r="EYF355" s="1055"/>
      <c r="EYG355" s="1054"/>
      <c r="EYH355" s="1055"/>
      <c r="EYI355" s="1054"/>
      <c r="EYJ355" s="1055"/>
      <c r="EYK355" s="1054"/>
      <c r="EYL355" s="1055"/>
      <c r="EYM355" s="1054"/>
      <c r="EYN355" s="1055"/>
      <c r="EYO355" s="1054"/>
      <c r="EYP355" s="1055"/>
      <c r="EYQ355" s="1054"/>
      <c r="EYR355" s="1055"/>
      <c r="EYS355" s="1054"/>
      <c r="EYT355" s="1055"/>
      <c r="EYU355" s="1054"/>
      <c r="EYV355" s="1055"/>
      <c r="EYW355" s="1054"/>
      <c r="EYX355" s="1055"/>
      <c r="EYY355" s="1054"/>
      <c r="EYZ355" s="1055"/>
      <c r="EZA355" s="1054"/>
      <c r="EZB355" s="1055"/>
      <c r="EZC355" s="1054"/>
      <c r="EZD355" s="1055"/>
      <c r="EZE355" s="1054"/>
      <c r="EZF355" s="1055"/>
      <c r="EZG355" s="1054"/>
      <c r="EZH355" s="1055"/>
      <c r="EZI355" s="1054"/>
      <c r="EZJ355" s="1055"/>
      <c r="EZK355" s="1054"/>
      <c r="EZL355" s="1055"/>
      <c r="EZM355" s="1054"/>
      <c r="EZN355" s="1055"/>
      <c r="EZO355" s="1054"/>
      <c r="EZP355" s="1055"/>
      <c r="EZQ355" s="1054"/>
      <c r="EZR355" s="1055"/>
      <c r="EZS355" s="1054"/>
      <c r="EZT355" s="1055"/>
      <c r="EZU355" s="1054"/>
      <c r="EZV355" s="1055"/>
      <c r="EZW355" s="1054"/>
      <c r="EZX355" s="1055"/>
      <c r="EZY355" s="1054"/>
      <c r="EZZ355" s="1055"/>
      <c r="FAA355" s="1054"/>
      <c r="FAB355" s="1055"/>
      <c r="FAC355" s="1054"/>
      <c r="FAD355" s="1055"/>
      <c r="FAE355" s="1054"/>
      <c r="FAF355" s="1055"/>
      <c r="FAG355" s="1054"/>
      <c r="FAH355" s="1055"/>
      <c r="FAI355" s="1054"/>
      <c r="FAJ355" s="1055"/>
      <c r="FAK355" s="1054"/>
      <c r="FAL355" s="1055"/>
      <c r="FAM355" s="1054"/>
      <c r="FAN355" s="1055"/>
      <c r="FAO355" s="1054"/>
      <c r="FAP355" s="1055"/>
      <c r="FAQ355" s="1054"/>
      <c r="FAR355" s="1055"/>
      <c r="FAS355" s="1054"/>
      <c r="FAT355" s="1055"/>
      <c r="FAU355" s="1054"/>
      <c r="FAV355" s="1055"/>
      <c r="FAW355" s="1054"/>
      <c r="FAX355" s="1055"/>
      <c r="FAY355" s="1054"/>
      <c r="FAZ355" s="1055"/>
      <c r="FBA355" s="1054"/>
      <c r="FBB355" s="1055"/>
      <c r="FBC355" s="1054"/>
      <c r="FBD355" s="1055"/>
      <c r="FBE355" s="1054"/>
      <c r="FBF355" s="1055"/>
      <c r="FBG355" s="1054"/>
      <c r="FBH355" s="1055"/>
      <c r="FBI355" s="1054"/>
      <c r="FBJ355" s="1055"/>
      <c r="FBK355" s="1054"/>
      <c r="FBL355" s="1055"/>
      <c r="FBM355" s="1054"/>
      <c r="FBN355" s="1055"/>
      <c r="FBO355" s="1054"/>
      <c r="FBP355" s="1055"/>
      <c r="FBQ355" s="1054"/>
      <c r="FBR355" s="1055"/>
      <c r="FBS355" s="1054"/>
      <c r="FBT355" s="1055"/>
      <c r="FBU355" s="1054"/>
      <c r="FBV355" s="1055"/>
      <c r="FBW355" s="1054"/>
      <c r="FBX355" s="1055"/>
      <c r="FBY355" s="1054"/>
      <c r="FBZ355" s="1055"/>
      <c r="FCA355" s="1054"/>
      <c r="FCB355" s="1055"/>
      <c r="FCC355" s="1054"/>
      <c r="FCD355" s="1055"/>
      <c r="FCE355" s="1054"/>
      <c r="FCF355" s="1055"/>
      <c r="FCG355" s="1054"/>
      <c r="FCH355" s="1055"/>
      <c r="FCI355" s="1054"/>
      <c r="FCJ355" s="1055"/>
      <c r="FCK355" s="1054"/>
      <c r="FCL355" s="1055"/>
      <c r="FCM355" s="1054"/>
      <c r="FCN355" s="1055"/>
      <c r="FCO355" s="1054"/>
      <c r="FCP355" s="1055"/>
      <c r="FCQ355" s="1054"/>
      <c r="FCR355" s="1055"/>
      <c r="FCS355" s="1054"/>
      <c r="FCT355" s="1055"/>
      <c r="FCU355" s="1054"/>
      <c r="FCV355" s="1055"/>
      <c r="FCW355" s="1054"/>
      <c r="FCX355" s="1055"/>
      <c r="FCY355" s="1054"/>
      <c r="FCZ355" s="1055"/>
      <c r="FDA355" s="1054"/>
      <c r="FDB355" s="1055"/>
      <c r="FDC355" s="1054"/>
      <c r="FDD355" s="1055"/>
      <c r="FDE355" s="1054"/>
      <c r="FDF355" s="1055"/>
      <c r="FDG355" s="1054"/>
      <c r="FDH355" s="1055"/>
      <c r="FDI355" s="1054"/>
      <c r="FDJ355" s="1055"/>
      <c r="FDK355" s="1054"/>
      <c r="FDL355" s="1055"/>
      <c r="FDM355" s="1054"/>
      <c r="FDN355" s="1055"/>
      <c r="FDO355" s="1054"/>
      <c r="FDP355" s="1055"/>
      <c r="FDQ355" s="1054"/>
      <c r="FDR355" s="1055"/>
      <c r="FDS355" s="1054"/>
      <c r="FDT355" s="1055"/>
      <c r="FDU355" s="1054"/>
      <c r="FDV355" s="1055"/>
      <c r="FDW355" s="1054"/>
      <c r="FDX355" s="1055"/>
      <c r="FDY355" s="1054"/>
      <c r="FDZ355" s="1055"/>
      <c r="FEA355" s="1054"/>
      <c r="FEB355" s="1055"/>
      <c r="FEC355" s="1054"/>
      <c r="FED355" s="1055"/>
      <c r="FEE355" s="1054"/>
      <c r="FEF355" s="1055"/>
      <c r="FEG355" s="1054"/>
      <c r="FEH355" s="1055"/>
      <c r="FEI355" s="1054"/>
      <c r="FEJ355" s="1055"/>
      <c r="FEK355" s="1054"/>
      <c r="FEL355" s="1055"/>
      <c r="FEM355" s="1054"/>
      <c r="FEN355" s="1055"/>
      <c r="FEO355" s="1054"/>
      <c r="FEP355" s="1055"/>
      <c r="FEQ355" s="1054"/>
      <c r="FER355" s="1055"/>
      <c r="FES355" s="1054"/>
      <c r="FET355" s="1055"/>
      <c r="FEU355" s="1054"/>
      <c r="FEV355" s="1055"/>
      <c r="FEW355" s="1054"/>
      <c r="FEX355" s="1055"/>
      <c r="FEY355" s="1054"/>
      <c r="FEZ355" s="1055"/>
      <c r="FFA355" s="1054"/>
      <c r="FFB355" s="1055"/>
      <c r="FFC355" s="1054"/>
      <c r="FFD355" s="1055"/>
      <c r="FFE355" s="1054"/>
      <c r="FFF355" s="1055"/>
      <c r="FFG355" s="1054"/>
      <c r="FFH355" s="1055"/>
      <c r="FFI355" s="1054"/>
      <c r="FFJ355" s="1055"/>
      <c r="FFK355" s="1054"/>
      <c r="FFL355" s="1055"/>
      <c r="FFM355" s="1054"/>
      <c r="FFN355" s="1055"/>
      <c r="FFO355" s="1054"/>
      <c r="FFP355" s="1055"/>
      <c r="FFQ355" s="1054"/>
      <c r="FFR355" s="1055"/>
      <c r="FFS355" s="1054"/>
      <c r="FFT355" s="1055"/>
      <c r="FFU355" s="1054"/>
      <c r="FFV355" s="1055"/>
      <c r="FFW355" s="1054"/>
      <c r="FFX355" s="1055"/>
      <c r="FFY355" s="1054"/>
      <c r="FFZ355" s="1055"/>
      <c r="FGA355" s="1054"/>
      <c r="FGB355" s="1055"/>
      <c r="FGC355" s="1054"/>
      <c r="FGD355" s="1055"/>
      <c r="FGE355" s="1054"/>
      <c r="FGF355" s="1055"/>
      <c r="FGG355" s="1054"/>
      <c r="FGH355" s="1055"/>
      <c r="FGI355" s="1054"/>
      <c r="FGJ355" s="1055"/>
      <c r="FGK355" s="1054"/>
      <c r="FGL355" s="1055"/>
      <c r="FGM355" s="1054"/>
      <c r="FGN355" s="1055"/>
      <c r="FGO355" s="1054"/>
      <c r="FGP355" s="1055"/>
      <c r="FGQ355" s="1054"/>
      <c r="FGR355" s="1055"/>
      <c r="FGS355" s="1054"/>
      <c r="FGT355" s="1055"/>
      <c r="FGU355" s="1054"/>
      <c r="FGV355" s="1055"/>
      <c r="FGW355" s="1054"/>
      <c r="FGX355" s="1055"/>
      <c r="FGY355" s="1054"/>
      <c r="FGZ355" s="1055"/>
      <c r="FHA355" s="1054"/>
      <c r="FHB355" s="1055"/>
      <c r="FHC355" s="1054"/>
      <c r="FHD355" s="1055"/>
      <c r="FHE355" s="1054"/>
      <c r="FHF355" s="1055"/>
      <c r="FHG355" s="1054"/>
      <c r="FHH355" s="1055"/>
      <c r="FHI355" s="1054"/>
      <c r="FHJ355" s="1055"/>
      <c r="FHK355" s="1054"/>
      <c r="FHL355" s="1055"/>
      <c r="FHM355" s="1054"/>
      <c r="FHN355" s="1055"/>
      <c r="FHO355" s="1054"/>
      <c r="FHP355" s="1055"/>
      <c r="FHQ355" s="1054"/>
      <c r="FHR355" s="1055"/>
      <c r="FHS355" s="1054"/>
      <c r="FHT355" s="1055"/>
      <c r="FHU355" s="1054"/>
      <c r="FHV355" s="1055"/>
      <c r="FHW355" s="1054"/>
      <c r="FHX355" s="1055"/>
      <c r="FHY355" s="1054"/>
      <c r="FHZ355" s="1055"/>
      <c r="FIA355" s="1054"/>
      <c r="FIB355" s="1055"/>
      <c r="FIC355" s="1054"/>
      <c r="FID355" s="1055"/>
      <c r="FIE355" s="1054"/>
      <c r="FIF355" s="1055"/>
      <c r="FIG355" s="1054"/>
      <c r="FIH355" s="1055"/>
      <c r="FII355" s="1054"/>
      <c r="FIJ355" s="1055"/>
      <c r="FIK355" s="1054"/>
      <c r="FIL355" s="1055"/>
      <c r="FIM355" s="1054"/>
      <c r="FIN355" s="1055"/>
      <c r="FIO355" s="1054"/>
      <c r="FIP355" s="1055"/>
      <c r="FIQ355" s="1054"/>
      <c r="FIR355" s="1055"/>
      <c r="FIS355" s="1054"/>
      <c r="FIT355" s="1055"/>
      <c r="FIU355" s="1054"/>
      <c r="FIV355" s="1055"/>
      <c r="FIW355" s="1054"/>
      <c r="FIX355" s="1055"/>
      <c r="FIY355" s="1054"/>
      <c r="FIZ355" s="1055"/>
      <c r="FJA355" s="1054"/>
      <c r="FJB355" s="1055"/>
      <c r="FJC355" s="1054"/>
      <c r="FJD355" s="1055"/>
      <c r="FJE355" s="1054"/>
      <c r="FJF355" s="1055"/>
      <c r="FJG355" s="1054"/>
      <c r="FJH355" s="1055"/>
      <c r="FJI355" s="1054"/>
      <c r="FJJ355" s="1055"/>
      <c r="FJK355" s="1054"/>
      <c r="FJL355" s="1055"/>
      <c r="FJM355" s="1054"/>
      <c r="FJN355" s="1055"/>
      <c r="FJO355" s="1054"/>
      <c r="FJP355" s="1055"/>
      <c r="FJQ355" s="1054"/>
      <c r="FJR355" s="1055"/>
      <c r="FJS355" s="1054"/>
      <c r="FJT355" s="1055"/>
      <c r="FJU355" s="1054"/>
      <c r="FJV355" s="1055"/>
      <c r="FJW355" s="1054"/>
      <c r="FJX355" s="1055"/>
      <c r="FJY355" s="1054"/>
      <c r="FJZ355" s="1055"/>
      <c r="FKA355" s="1054"/>
      <c r="FKB355" s="1055"/>
      <c r="FKC355" s="1054"/>
      <c r="FKD355" s="1055"/>
      <c r="FKE355" s="1054"/>
      <c r="FKF355" s="1055"/>
      <c r="FKG355" s="1054"/>
      <c r="FKH355" s="1055"/>
      <c r="FKI355" s="1054"/>
      <c r="FKJ355" s="1055"/>
      <c r="FKK355" s="1054"/>
      <c r="FKL355" s="1055"/>
      <c r="FKM355" s="1054"/>
      <c r="FKN355" s="1055"/>
      <c r="FKO355" s="1054"/>
      <c r="FKP355" s="1055"/>
      <c r="FKQ355" s="1054"/>
      <c r="FKR355" s="1055"/>
      <c r="FKS355" s="1054"/>
      <c r="FKT355" s="1055"/>
      <c r="FKU355" s="1054"/>
      <c r="FKV355" s="1055"/>
      <c r="FKW355" s="1054"/>
      <c r="FKX355" s="1055"/>
      <c r="FKY355" s="1054"/>
      <c r="FKZ355" s="1055"/>
      <c r="FLA355" s="1054"/>
      <c r="FLB355" s="1055"/>
      <c r="FLC355" s="1054"/>
      <c r="FLD355" s="1055"/>
      <c r="FLE355" s="1054"/>
      <c r="FLF355" s="1055"/>
      <c r="FLG355" s="1054"/>
      <c r="FLH355" s="1055"/>
      <c r="FLI355" s="1054"/>
      <c r="FLJ355" s="1055"/>
      <c r="FLK355" s="1054"/>
      <c r="FLL355" s="1055"/>
      <c r="FLM355" s="1054"/>
      <c r="FLN355" s="1055"/>
      <c r="FLO355" s="1054"/>
      <c r="FLP355" s="1055"/>
      <c r="FLQ355" s="1054"/>
      <c r="FLR355" s="1055"/>
      <c r="FLS355" s="1054"/>
      <c r="FLT355" s="1055"/>
      <c r="FLU355" s="1054"/>
      <c r="FLV355" s="1055"/>
      <c r="FLW355" s="1054"/>
      <c r="FLX355" s="1055"/>
      <c r="FLY355" s="1054"/>
      <c r="FLZ355" s="1055"/>
      <c r="FMA355" s="1054"/>
      <c r="FMB355" s="1055"/>
      <c r="FMC355" s="1054"/>
      <c r="FMD355" s="1055"/>
      <c r="FME355" s="1054"/>
      <c r="FMF355" s="1055"/>
      <c r="FMG355" s="1054"/>
      <c r="FMH355" s="1055"/>
      <c r="FMI355" s="1054"/>
      <c r="FMJ355" s="1055"/>
      <c r="FMK355" s="1054"/>
      <c r="FML355" s="1055"/>
      <c r="FMM355" s="1054"/>
      <c r="FMN355" s="1055"/>
      <c r="FMO355" s="1054"/>
      <c r="FMP355" s="1055"/>
      <c r="FMQ355" s="1054"/>
      <c r="FMR355" s="1055"/>
      <c r="FMS355" s="1054"/>
      <c r="FMT355" s="1055"/>
      <c r="FMU355" s="1054"/>
      <c r="FMV355" s="1055"/>
      <c r="FMW355" s="1054"/>
      <c r="FMX355" s="1055"/>
      <c r="FMY355" s="1054"/>
      <c r="FMZ355" s="1055"/>
      <c r="FNA355" s="1054"/>
      <c r="FNB355" s="1055"/>
      <c r="FNC355" s="1054"/>
      <c r="FND355" s="1055"/>
      <c r="FNE355" s="1054"/>
      <c r="FNF355" s="1055"/>
      <c r="FNG355" s="1054"/>
      <c r="FNH355" s="1055"/>
      <c r="FNI355" s="1054"/>
      <c r="FNJ355" s="1055"/>
      <c r="FNK355" s="1054"/>
      <c r="FNL355" s="1055"/>
      <c r="FNM355" s="1054"/>
      <c r="FNN355" s="1055"/>
      <c r="FNO355" s="1054"/>
      <c r="FNP355" s="1055"/>
      <c r="FNQ355" s="1054"/>
      <c r="FNR355" s="1055"/>
      <c r="FNS355" s="1054"/>
      <c r="FNT355" s="1055"/>
      <c r="FNU355" s="1054"/>
      <c r="FNV355" s="1055"/>
      <c r="FNW355" s="1054"/>
      <c r="FNX355" s="1055"/>
      <c r="FNY355" s="1054"/>
      <c r="FNZ355" s="1055"/>
      <c r="FOA355" s="1054"/>
      <c r="FOB355" s="1055"/>
      <c r="FOC355" s="1054"/>
      <c r="FOD355" s="1055"/>
      <c r="FOE355" s="1054"/>
      <c r="FOF355" s="1055"/>
      <c r="FOG355" s="1054"/>
      <c r="FOH355" s="1055"/>
      <c r="FOI355" s="1054"/>
      <c r="FOJ355" s="1055"/>
      <c r="FOK355" s="1054"/>
      <c r="FOL355" s="1055"/>
      <c r="FOM355" s="1054"/>
      <c r="FON355" s="1055"/>
      <c r="FOO355" s="1054"/>
      <c r="FOP355" s="1055"/>
      <c r="FOQ355" s="1054"/>
      <c r="FOR355" s="1055"/>
      <c r="FOS355" s="1054"/>
      <c r="FOT355" s="1055"/>
      <c r="FOU355" s="1054"/>
      <c r="FOV355" s="1055"/>
      <c r="FOW355" s="1054"/>
      <c r="FOX355" s="1055"/>
      <c r="FOY355" s="1054"/>
      <c r="FOZ355" s="1055"/>
      <c r="FPA355" s="1054"/>
      <c r="FPB355" s="1055"/>
      <c r="FPC355" s="1054"/>
      <c r="FPD355" s="1055"/>
      <c r="FPE355" s="1054"/>
      <c r="FPF355" s="1055"/>
      <c r="FPG355" s="1054"/>
      <c r="FPH355" s="1055"/>
      <c r="FPI355" s="1054"/>
      <c r="FPJ355" s="1055"/>
      <c r="FPK355" s="1054"/>
      <c r="FPL355" s="1055"/>
      <c r="FPM355" s="1054"/>
      <c r="FPN355" s="1055"/>
      <c r="FPO355" s="1054"/>
      <c r="FPP355" s="1055"/>
      <c r="FPQ355" s="1054"/>
      <c r="FPR355" s="1055"/>
      <c r="FPS355" s="1054"/>
      <c r="FPT355" s="1055"/>
      <c r="FPU355" s="1054"/>
      <c r="FPV355" s="1055"/>
      <c r="FPW355" s="1054"/>
      <c r="FPX355" s="1055"/>
      <c r="FPY355" s="1054"/>
      <c r="FPZ355" s="1055"/>
      <c r="FQA355" s="1054"/>
      <c r="FQB355" s="1055"/>
      <c r="FQC355" s="1054"/>
      <c r="FQD355" s="1055"/>
      <c r="FQE355" s="1054"/>
      <c r="FQF355" s="1055"/>
      <c r="FQG355" s="1054"/>
      <c r="FQH355" s="1055"/>
      <c r="FQI355" s="1054"/>
      <c r="FQJ355" s="1055"/>
      <c r="FQK355" s="1054"/>
      <c r="FQL355" s="1055"/>
      <c r="FQM355" s="1054"/>
      <c r="FQN355" s="1055"/>
      <c r="FQO355" s="1054"/>
      <c r="FQP355" s="1055"/>
      <c r="FQQ355" s="1054"/>
      <c r="FQR355" s="1055"/>
      <c r="FQS355" s="1054"/>
      <c r="FQT355" s="1055"/>
      <c r="FQU355" s="1054"/>
      <c r="FQV355" s="1055"/>
      <c r="FQW355" s="1054"/>
      <c r="FQX355" s="1055"/>
      <c r="FQY355" s="1054"/>
      <c r="FQZ355" s="1055"/>
      <c r="FRA355" s="1054"/>
      <c r="FRB355" s="1055"/>
      <c r="FRC355" s="1054"/>
      <c r="FRD355" s="1055"/>
      <c r="FRE355" s="1054"/>
      <c r="FRF355" s="1055"/>
      <c r="FRG355" s="1054"/>
      <c r="FRH355" s="1055"/>
      <c r="FRI355" s="1054"/>
      <c r="FRJ355" s="1055"/>
      <c r="FRK355" s="1054"/>
      <c r="FRL355" s="1055"/>
      <c r="FRM355" s="1054"/>
      <c r="FRN355" s="1055"/>
      <c r="FRO355" s="1054"/>
      <c r="FRP355" s="1055"/>
      <c r="FRQ355" s="1054"/>
      <c r="FRR355" s="1055"/>
      <c r="FRS355" s="1054"/>
      <c r="FRT355" s="1055"/>
      <c r="FRU355" s="1054"/>
      <c r="FRV355" s="1055"/>
      <c r="FRW355" s="1054"/>
      <c r="FRX355" s="1055"/>
      <c r="FRY355" s="1054"/>
      <c r="FRZ355" s="1055"/>
      <c r="FSA355" s="1054"/>
      <c r="FSB355" s="1055"/>
      <c r="FSC355" s="1054"/>
      <c r="FSD355" s="1055"/>
      <c r="FSE355" s="1054"/>
      <c r="FSF355" s="1055"/>
      <c r="FSG355" s="1054"/>
      <c r="FSH355" s="1055"/>
      <c r="FSI355" s="1054"/>
      <c r="FSJ355" s="1055"/>
      <c r="FSK355" s="1054"/>
      <c r="FSL355" s="1055"/>
      <c r="FSM355" s="1054"/>
      <c r="FSN355" s="1055"/>
      <c r="FSO355" s="1054"/>
      <c r="FSP355" s="1055"/>
      <c r="FSQ355" s="1054"/>
      <c r="FSR355" s="1055"/>
      <c r="FSS355" s="1054"/>
      <c r="FST355" s="1055"/>
      <c r="FSU355" s="1054"/>
      <c r="FSV355" s="1055"/>
      <c r="FSW355" s="1054"/>
      <c r="FSX355" s="1055"/>
      <c r="FSY355" s="1054"/>
      <c r="FSZ355" s="1055"/>
      <c r="FTA355" s="1054"/>
      <c r="FTB355" s="1055"/>
      <c r="FTC355" s="1054"/>
      <c r="FTD355" s="1055"/>
      <c r="FTE355" s="1054"/>
      <c r="FTF355" s="1055"/>
      <c r="FTG355" s="1054"/>
      <c r="FTH355" s="1055"/>
      <c r="FTI355" s="1054"/>
      <c r="FTJ355" s="1055"/>
      <c r="FTK355" s="1054"/>
      <c r="FTL355" s="1055"/>
      <c r="FTM355" s="1054"/>
      <c r="FTN355" s="1055"/>
      <c r="FTO355" s="1054"/>
      <c r="FTP355" s="1055"/>
      <c r="FTQ355" s="1054"/>
      <c r="FTR355" s="1055"/>
      <c r="FTS355" s="1054"/>
      <c r="FTT355" s="1055"/>
      <c r="FTU355" s="1054"/>
      <c r="FTV355" s="1055"/>
      <c r="FTW355" s="1054"/>
      <c r="FTX355" s="1055"/>
      <c r="FTY355" s="1054"/>
      <c r="FTZ355" s="1055"/>
      <c r="FUA355" s="1054"/>
      <c r="FUB355" s="1055"/>
      <c r="FUC355" s="1054"/>
      <c r="FUD355" s="1055"/>
      <c r="FUE355" s="1054"/>
      <c r="FUF355" s="1055"/>
      <c r="FUG355" s="1054"/>
      <c r="FUH355" s="1055"/>
      <c r="FUI355" s="1054"/>
      <c r="FUJ355" s="1055"/>
      <c r="FUK355" s="1054"/>
      <c r="FUL355" s="1055"/>
      <c r="FUM355" s="1054"/>
      <c r="FUN355" s="1055"/>
      <c r="FUO355" s="1054"/>
      <c r="FUP355" s="1055"/>
      <c r="FUQ355" s="1054"/>
      <c r="FUR355" s="1055"/>
      <c r="FUS355" s="1054"/>
      <c r="FUT355" s="1055"/>
      <c r="FUU355" s="1054"/>
      <c r="FUV355" s="1055"/>
      <c r="FUW355" s="1054"/>
      <c r="FUX355" s="1055"/>
      <c r="FUY355" s="1054"/>
      <c r="FUZ355" s="1055"/>
      <c r="FVA355" s="1054"/>
      <c r="FVB355" s="1055"/>
      <c r="FVC355" s="1054"/>
      <c r="FVD355" s="1055"/>
      <c r="FVE355" s="1054"/>
      <c r="FVF355" s="1055"/>
      <c r="FVG355" s="1054"/>
      <c r="FVH355" s="1055"/>
      <c r="FVI355" s="1054"/>
      <c r="FVJ355" s="1055"/>
      <c r="FVK355" s="1054"/>
      <c r="FVL355" s="1055"/>
      <c r="FVM355" s="1054"/>
      <c r="FVN355" s="1055"/>
      <c r="FVO355" s="1054"/>
      <c r="FVP355" s="1055"/>
      <c r="FVQ355" s="1054"/>
      <c r="FVR355" s="1055"/>
      <c r="FVS355" s="1054"/>
      <c r="FVT355" s="1055"/>
      <c r="FVU355" s="1054"/>
      <c r="FVV355" s="1055"/>
      <c r="FVW355" s="1054"/>
      <c r="FVX355" s="1055"/>
      <c r="FVY355" s="1054"/>
      <c r="FVZ355" s="1055"/>
      <c r="FWA355" s="1054"/>
      <c r="FWB355" s="1055"/>
      <c r="FWC355" s="1054"/>
      <c r="FWD355" s="1055"/>
      <c r="FWE355" s="1054"/>
      <c r="FWF355" s="1055"/>
      <c r="FWG355" s="1054"/>
      <c r="FWH355" s="1055"/>
      <c r="FWI355" s="1054"/>
      <c r="FWJ355" s="1055"/>
      <c r="FWK355" s="1054"/>
      <c r="FWL355" s="1055"/>
      <c r="FWM355" s="1054"/>
      <c r="FWN355" s="1055"/>
      <c r="FWO355" s="1054"/>
      <c r="FWP355" s="1055"/>
      <c r="FWQ355" s="1054"/>
      <c r="FWR355" s="1055"/>
      <c r="FWS355" s="1054"/>
      <c r="FWT355" s="1055"/>
      <c r="FWU355" s="1054"/>
      <c r="FWV355" s="1055"/>
      <c r="FWW355" s="1054"/>
      <c r="FWX355" s="1055"/>
      <c r="FWY355" s="1054"/>
      <c r="FWZ355" s="1055"/>
      <c r="FXA355" s="1054"/>
      <c r="FXB355" s="1055"/>
      <c r="FXC355" s="1054"/>
      <c r="FXD355" s="1055"/>
      <c r="FXE355" s="1054"/>
      <c r="FXF355" s="1055"/>
      <c r="FXG355" s="1054"/>
      <c r="FXH355" s="1055"/>
      <c r="FXI355" s="1054"/>
      <c r="FXJ355" s="1055"/>
      <c r="FXK355" s="1054"/>
      <c r="FXL355" s="1055"/>
      <c r="FXM355" s="1054"/>
      <c r="FXN355" s="1055"/>
      <c r="FXO355" s="1054"/>
      <c r="FXP355" s="1055"/>
      <c r="FXQ355" s="1054"/>
      <c r="FXR355" s="1055"/>
      <c r="FXS355" s="1054"/>
      <c r="FXT355" s="1055"/>
      <c r="FXU355" s="1054"/>
      <c r="FXV355" s="1055"/>
      <c r="FXW355" s="1054"/>
      <c r="FXX355" s="1055"/>
      <c r="FXY355" s="1054"/>
      <c r="FXZ355" s="1055"/>
      <c r="FYA355" s="1054"/>
      <c r="FYB355" s="1055"/>
      <c r="FYC355" s="1054"/>
      <c r="FYD355" s="1055"/>
      <c r="FYE355" s="1054"/>
      <c r="FYF355" s="1055"/>
      <c r="FYG355" s="1054"/>
      <c r="FYH355" s="1055"/>
      <c r="FYI355" s="1054"/>
      <c r="FYJ355" s="1055"/>
      <c r="FYK355" s="1054"/>
      <c r="FYL355" s="1055"/>
      <c r="FYM355" s="1054"/>
      <c r="FYN355" s="1055"/>
      <c r="FYO355" s="1054"/>
      <c r="FYP355" s="1055"/>
      <c r="FYQ355" s="1054"/>
      <c r="FYR355" s="1055"/>
      <c r="FYS355" s="1054"/>
      <c r="FYT355" s="1055"/>
      <c r="FYU355" s="1054"/>
      <c r="FYV355" s="1055"/>
      <c r="FYW355" s="1054"/>
      <c r="FYX355" s="1055"/>
      <c r="FYY355" s="1054"/>
      <c r="FYZ355" s="1055"/>
      <c r="FZA355" s="1054"/>
      <c r="FZB355" s="1055"/>
      <c r="FZC355" s="1054"/>
      <c r="FZD355" s="1055"/>
      <c r="FZE355" s="1054"/>
      <c r="FZF355" s="1055"/>
      <c r="FZG355" s="1054"/>
      <c r="FZH355" s="1055"/>
      <c r="FZI355" s="1054"/>
      <c r="FZJ355" s="1055"/>
      <c r="FZK355" s="1054"/>
      <c r="FZL355" s="1055"/>
      <c r="FZM355" s="1054"/>
      <c r="FZN355" s="1055"/>
      <c r="FZO355" s="1054"/>
      <c r="FZP355" s="1055"/>
      <c r="FZQ355" s="1054"/>
      <c r="FZR355" s="1055"/>
      <c r="FZS355" s="1054"/>
      <c r="FZT355" s="1055"/>
      <c r="FZU355" s="1054"/>
      <c r="FZV355" s="1055"/>
      <c r="FZW355" s="1054"/>
      <c r="FZX355" s="1055"/>
      <c r="FZY355" s="1054"/>
      <c r="FZZ355" s="1055"/>
      <c r="GAA355" s="1054"/>
      <c r="GAB355" s="1055"/>
      <c r="GAC355" s="1054"/>
      <c r="GAD355" s="1055"/>
      <c r="GAE355" s="1054"/>
      <c r="GAF355" s="1055"/>
      <c r="GAG355" s="1054"/>
      <c r="GAH355" s="1055"/>
      <c r="GAI355" s="1054"/>
      <c r="GAJ355" s="1055"/>
      <c r="GAK355" s="1054"/>
      <c r="GAL355" s="1055"/>
      <c r="GAM355" s="1054"/>
      <c r="GAN355" s="1055"/>
      <c r="GAO355" s="1054"/>
      <c r="GAP355" s="1055"/>
      <c r="GAQ355" s="1054"/>
      <c r="GAR355" s="1055"/>
      <c r="GAS355" s="1054"/>
      <c r="GAT355" s="1055"/>
      <c r="GAU355" s="1054"/>
      <c r="GAV355" s="1055"/>
      <c r="GAW355" s="1054"/>
      <c r="GAX355" s="1055"/>
      <c r="GAY355" s="1054"/>
      <c r="GAZ355" s="1055"/>
      <c r="GBA355" s="1054"/>
      <c r="GBB355" s="1055"/>
      <c r="GBC355" s="1054"/>
      <c r="GBD355" s="1055"/>
      <c r="GBE355" s="1054"/>
      <c r="GBF355" s="1055"/>
      <c r="GBG355" s="1054"/>
      <c r="GBH355" s="1055"/>
      <c r="GBI355" s="1054"/>
      <c r="GBJ355" s="1055"/>
      <c r="GBK355" s="1054"/>
      <c r="GBL355" s="1055"/>
      <c r="GBM355" s="1054"/>
      <c r="GBN355" s="1055"/>
      <c r="GBO355" s="1054"/>
      <c r="GBP355" s="1055"/>
      <c r="GBQ355" s="1054"/>
      <c r="GBR355" s="1055"/>
      <c r="GBS355" s="1054"/>
      <c r="GBT355" s="1055"/>
      <c r="GBU355" s="1054"/>
      <c r="GBV355" s="1055"/>
      <c r="GBW355" s="1054"/>
      <c r="GBX355" s="1055"/>
      <c r="GBY355" s="1054"/>
      <c r="GBZ355" s="1055"/>
      <c r="GCA355" s="1054"/>
      <c r="GCB355" s="1055"/>
      <c r="GCC355" s="1054"/>
      <c r="GCD355" s="1055"/>
      <c r="GCE355" s="1054"/>
      <c r="GCF355" s="1055"/>
      <c r="GCG355" s="1054"/>
      <c r="GCH355" s="1055"/>
      <c r="GCI355" s="1054"/>
      <c r="GCJ355" s="1055"/>
      <c r="GCK355" s="1054"/>
      <c r="GCL355" s="1055"/>
      <c r="GCM355" s="1054"/>
      <c r="GCN355" s="1055"/>
      <c r="GCO355" s="1054"/>
      <c r="GCP355" s="1055"/>
      <c r="GCQ355" s="1054"/>
      <c r="GCR355" s="1055"/>
      <c r="GCS355" s="1054"/>
      <c r="GCT355" s="1055"/>
      <c r="GCU355" s="1054"/>
      <c r="GCV355" s="1055"/>
      <c r="GCW355" s="1054"/>
      <c r="GCX355" s="1055"/>
      <c r="GCY355" s="1054"/>
      <c r="GCZ355" s="1055"/>
      <c r="GDA355" s="1054"/>
      <c r="GDB355" s="1055"/>
      <c r="GDC355" s="1054"/>
      <c r="GDD355" s="1055"/>
      <c r="GDE355" s="1054"/>
      <c r="GDF355" s="1055"/>
      <c r="GDG355" s="1054"/>
      <c r="GDH355" s="1055"/>
      <c r="GDI355" s="1054"/>
      <c r="GDJ355" s="1055"/>
      <c r="GDK355" s="1054"/>
      <c r="GDL355" s="1055"/>
      <c r="GDM355" s="1054"/>
      <c r="GDN355" s="1055"/>
      <c r="GDO355" s="1054"/>
      <c r="GDP355" s="1055"/>
      <c r="GDQ355" s="1054"/>
      <c r="GDR355" s="1055"/>
      <c r="GDS355" s="1054"/>
      <c r="GDT355" s="1055"/>
      <c r="GDU355" s="1054"/>
      <c r="GDV355" s="1055"/>
      <c r="GDW355" s="1054"/>
      <c r="GDX355" s="1055"/>
      <c r="GDY355" s="1054"/>
      <c r="GDZ355" s="1055"/>
      <c r="GEA355" s="1054"/>
      <c r="GEB355" s="1055"/>
      <c r="GEC355" s="1054"/>
      <c r="GED355" s="1055"/>
      <c r="GEE355" s="1054"/>
      <c r="GEF355" s="1055"/>
      <c r="GEG355" s="1054"/>
      <c r="GEH355" s="1055"/>
      <c r="GEI355" s="1054"/>
      <c r="GEJ355" s="1055"/>
      <c r="GEK355" s="1054"/>
      <c r="GEL355" s="1055"/>
      <c r="GEM355" s="1054"/>
      <c r="GEN355" s="1055"/>
      <c r="GEO355" s="1054"/>
      <c r="GEP355" s="1055"/>
      <c r="GEQ355" s="1054"/>
      <c r="GER355" s="1055"/>
      <c r="GES355" s="1054"/>
      <c r="GET355" s="1055"/>
      <c r="GEU355" s="1054"/>
      <c r="GEV355" s="1055"/>
      <c r="GEW355" s="1054"/>
      <c r="GEX355" s="1055"/>
      <c r="GEY355" s="1054"/>
      <c r="GEZ355" s="1055"/>
      <c r="GFA355" s="1054"/>
      <c r="GFB355" s="1055"/>
      <c r="GFC355" s="1054"/>
      <c r="GFD355" s="1055"/>
      <c r="GFE355" s="1054"/>
      <c r="GFF355" s="1055"/>
      <c r="GFG355" s="1054"/>
      <c r="GFH355" s="1055"/>
      <c r="GFI355" s="1054"/>
      <c r="GFJ355" s="1055"/>
      <c r="GFK355" s="1054"/>
      <c r="GFL355" s="1055"/>
      <c r="GFM355" s="1054"/>
      <c r="GFN355" s="1055"/>
      <c r="GFO355" s="1054"/>
      <c r="GFP355" s="1055"/>
      <c r="GFQ355" s="1054"/>
      <c r="GFR355" s="1055"/>
      <c r="GFS355" s="1054"/>
      <c r="GFT355" s="1055"/>
      <c r="GFU355" s="1054"/>
      <c r="GFV355" s="1055"/>
      <c r="GFW355" s="1054"/>
      <c r="GFX355" s="1055"/>
      <c r="GFY355" s="1054"/>
      <c r="GFZ355" s="1055"/>
      <c r="GGA355" s="1054"/>
      <c r="GGB355" s="1055"/>
      <c r="GGC355" s="1054"/>
      <c r="GGD355" s="1055"/>
      <c r="GGE355" s="1054"/>
      <c r="GGF355" s="1055"/>
      <c r="GGG355" s="1054"/>
      <c r="GGH355" s="1055"/>
      <c r="GGI355" s="1054"/>
      <c r="GGJ355" s="1055"/>
      <c r="GGK355" s="1054"/>
      <c r="GGL355" s="1055"/>
      <c r="GGM355" s="1054"/>
      <c r="GGN355" s="1055"/>
      <c r="GGO355" s="1054"/>
      <c r="GGP355" s="1055"/>
      <c r="GGQ355" s="1054"/>
      <c r="GGR355" s="1055"/>
      <c r="GGS355" s="1054"/>
      <c r="GGT355" s="1055"/>
      <c r="GGU355" s="1054"/>
      <c r="GGV355" s="1055"/>
      <c r="GGW355" s="1054"/>
      <c r="GGX355" s="1055"/>
      <c r="GGY355" s="1054"/>
      <c r="GGZ355" s="1055"/>
      <c r="GHA355" s="1054"/>
      <c r="GHB355" s="1055"/>
      <c r="GHC355" s="1054"/>
      <c r="GHD355" s="1055"/>
      <c r="GHE355" s="1054"/>
      <c r="GHF355" s="1055"/>
      <c r="GHG355" s="1054"/>
      <c r="GHH355" s="1055"/>
      <c r="GHI355" s="1054"/>
      <c r="GHJ355" s="1055"/>
      <c r="GHK355" s="1054"/>
      <c r="GHL355" s="1055"/>
      <c r="GHM355" s="1054"/>
      <c r="GHN355" s="1055"/>
      <c r="GHO355" s="1054"/>
      <c r="GHP355" s="1055"/>
      <c r="GHQ355" s="1054"/>
      <c r="GHR355" s="1055"/>
      <c r="GHS355" s="1054"/>
      <c r="GHT355" s="1055"/>
      <c r="GHU355" s="1054"/>
      <c r="GHV355" s="1055"/>
      <c r="GHW355" s="1054"/>
      <c r="GHX355" s="1055"/>
      <c r="GHY355" s="1054"/>
      <c r="GHZ355" s="1055"/>
      <c r="GIA355" s="1054"/>
      <c r="GIB355" s="1055"/>
      <c r="GIC355" s="1054"/>
      <c r="GID355" s="1055"/>
      <c r="GIE355" s="1054"/>
      <c r="GIF355" s="1055"/>
      <c r="GIG355" s="1054"/>
      <c r="GIH355" s="1055"/>
      <c r="GII355" s="1054"/>
      <c r="GIJ355" s="1055"/>
      <c r="GIK355" s="1054"/>
      <c r="GIL355" s="1055"/>
      <c r="GIM355" s="1054"/>
      <c r="GIN355" s="1055"/>
      <c r="GIO355" s="1054"/>
      <c r="GIP355" s="1055"/>
      <c r="GIQ355" s="1054"/>
      <c r="GIR355" s="1055"/>
      <c r="GIS355" s="1054"/>
      <c r="GIT355" s="1055"/>
      <c r="GIU355" s="1054"/>
      <c r="GIV355" s="1055"/>
      <c r="GIW355" s="1054"/>
      <c r="GIX355" s="1055"/>
      <c r="GIY355" s="1054"/>
      <c r="GIZ355" s="1055"/>
      <c r="GJA355" s="1054"/>
      <c r="GJB355" s="1055"/>
      <c r="GJC355" s="1054"/>
      <c r="GJD355" s="1055"/>
      <c r="GJE355" s="1054"/>
      <c r="GJF355" s="1055"/>
      <c r="GJG355" s="1054"/>
      <c r="GJH355" s="1055"/>
      <c r="GJI355" s="1054"/>
      <c r="GJJ355" s="1055"/>
      <c r="GJK355" s="1054"/>
      <c r="GJL355" s="1055"/>
      <c r="GJM355" s="1054"/>
      <c r="GJN355" s="1055"/>
      <c r="GJO355" s="1054"/>
      <c r="GJP355" s="1055"/>
      <c r="GJQ355" s="1054"/>
      <c r="GJR355" s="1055"/>
      <c r="GJS355" s="1054"/>
      <c r="GJT355" s="1055"/>
      <c r="GJU355" s="1054"/>
      <c r="GJV355" s="1055"/>
      <c r="GJW355" s="1054"/>
      <c r="GJX355" s="1055"/>
      <c r="GJY355" s="1054"/>
      <c r="GJZ355" s="1055"/>
      <c r="GKA355" s="1054"/>
      <c r="GKB355" s="1055"/>
      <c r="GKC355" s="1054"/>
      <c r="GKD355" s="1055"/>
      <c r="GKE355" s="1054"/>
      <c r="GKF355" s="1055"/>
      <c r="GKG355" s="1054"/>
      <c r="GKH355" s="1055"/>
      <c r="GKI355" s="1054"/>
      <c r="GKJ355" s="1055"/>
      <c r="GKK355" s="1054"/>
      <c r="GKL355" s="1055"/>
      <c r="GKM355" s="1054"/>
      <c r="GKN355" s="1055"/>
      <c r="GKO355" s="1054"/>
      <c r="GKP355" s="1055"/>
      <c r="GKQ355" s="1054"/>
      <c r="GKR355" s="1055"/>
      <c r="GKS355" s="1054"/>
      <c r="GKT355" s="1055"/>
      <c r="GKU355" s="1054"/>
      <c r="GKV355" s="1055"/>
      <c r="GKW355" s="1054"/>
      <c r="GKX355" s="1055"/>
      <c r="GKY355" s="1054"/>
      <c r="GKZ355" s="1055"/>
      <c r="GLA355" s="1054"/>
      <c r="GLB355" s="1055"/>
      <c r="GLC355" s="1054"/>
      <c r="GLD355" s="1055"/>
      <c r="GLE355" s="1054"/>
      <c r="GLF355" s="1055"/>
      <c r="GLG355" s="1054"/>
      <c r="GLH355" s="1055"/>
      <c r="GLI355" s="1054"/>
      <c r="GLJ355" s="1055"/>
      <c r="GLK355" s="1054"/>
      <c r="GLL355" s="1055"/>
      <c r="GLM355" s="1054"/>
      <c r="GLN355" s="1055"/>
      <c r="GLO355" s="1054"/>
      <c r="GLP355" s="1055"/>
      <c r="GLQ355" s="1054"/>
      <c r="GLR355" s="1055"/>
      <c r="GLS355" s="1054"/>
      <c r="GLT355" s="1055"/>
      <c r="GLU355" s="1054"/>
      <c r="GLV355" s="1055"/>
      <c r="GLW355" s="1054"/>
      <c r="GLX355" s="1055"/>
      <c r="GLY355" s="1054"/>
      <c r="GLZ355" s="1055"/>
      <c r="GMA355" s="1054"/>
      <c r="GMB355" s="1055"/>
      <c r="GMC355" s="1054"/>
      <c r="GMD355" s="1055"/>
      <c r="GME355" s="1054"/>
      <c r="GMF355" s="1055"/>
      <c r="GMG355" s="1054"/>
      <c r="GMH355" s="1055"/>
      <c r="GMI355" s="1054"/>
      <c r="GMJ355" s="1055"/>
      <c r="GMK355" s="1054"/>
      <c r="GML355" s="1055"/>
      <c r="GMM355" s="1054"/>
      <c r="GMN355" s="1055"/>
      <c r="GMO355" s="1054"/>
      <c r="GMP355" s="1055"/>
      <c r="GMQ355" s="1054"/>
      <c r="GMR355" s="1055"/>
      <c r="GMS355" s="1054"/>
      <c r="GMT355" s="1055"/>
      <c r="GMU355" s="1054"/>
      <c r="GMV355" s="1055"/>
      <c r="GMW355" s="1054"/>
      <c r="GMX355" s="1055"/>
      <c r="GMY355" s="1054"/>
      <c r="GMZ355" s="1055"/>
      <c r="GNA355" s="1054"/>
      <c r="GNB355" s="1055"/>
      <c r="GNC355" s="1054"/>
      <c r="GND355" s="1055"/>
      <c r="GNE355" s="1054"/>
      <c r="GNF355" s="1055"/>
      <c r="GNG355" s="1054"/>
      <c r="GNH355" s="1055"/>
      <c r="GNI355" s="1054"/>
      <c r="GNJ355" s="1055"/>
      <c r="GNK355" s="1054"/>
      <c r="GNL355" s="1055"/>
      <c r="GNM355" s="1054"/>
      <c r="GNN355" s="1055"/>
      <c r="GNO355" s="1054"/>
      <c r="GNP355" s="1055"/>
      <c r="GNQ355" s="1054"/>
      <c r="GNR355" s="1055"/>
      <c r="GNS355" s="1054"/>
      <c r="GNT355" s="1055"/>
      <c r="GNU355" s="1054"/>
      <c r="GNV355" s="1055"/>
      <c r="GNW355" s="1054"/>
      <c r="GNX355" s="1055"/>
      <c r="GNY355" s="1054"/>
      <c r="GNZ355" s="1055"/>
      <c r="GOA355" s="1054"/>
      <c r="GOB355" s="1055"/>
      <c r="GOC355" s="1054"/>
      <c r="GOD355" s="1055"/>
      <c r="GOE355" s="1054"/>
      <c r="GOF355" s="1055"/>
      <c r="GOG355" s="1054"/>
      <c r="GOH355" s="1055"/>
      <c r="GOI355" s="1054"/>
      <c r="GOJ355" s="1055"/>
      <c r="GOK355" s="1054"/>
      <c r="GOL355" s="1055"/>
      <c r="GOM355" s="1054"/>
      <c r="GON355" s="1055"/>
      <c r="GOO355" s="1054"/>
      <c r="GOP355" s="1055"/>
      <c r="GOQ355" s="1054"/>
      <c r="GOR355" s="1055"/>
      <c r="GOS355" s="1054"/>
      <c r="GOT355" s="1055"/>
      <c r="GOU355" s="1054"/>
      <c r="GOV355" s="1055"/>
      <c r="GOW355" s="1054"/>
      <c r="GOX355" s="1055"/>
      <c r="GOY355" s="1054"/>
      <c r="GOZ355" s="1055"/>
      <c r="GPA355" s="1054"/>
      <c r="GPB355" s="1055"/>
      <c r="GPC355" s="1054"/>
      <c r="GPD355" s="1055"/>
      <c r="GPE355" s="1054"/>
      <c r="GPF355" s="1055"/>
      <c r="GPG355" s="1054"/>
      <c r="GPH355" s="1055"/>
      <c r="GPI355" s="1054"/>
      <c r="GPJ355" s="1055"/>
      <c r="GPK355" s="1054"/>
      <c r="GPL355" s="1055"/>
      <c r="GPM355" s="1054"/>
      <c r="GPN355" s="1055"/>
      <c r="GPO355" s="1054"/>
      <c r="GPP355" s="1055"/>
      <c r="GPQ355" s="1054"/>
      <c r="GPR355" s="1055"/>
      <c r="GPS355" s="1054"/>
      <c r="GPT355" s="1055"/>
      <c r="GPU355" s="1054"/>
      <c r="GPV355" s="1055"/>
      <c r="GPW355" s="1054"/>
      <c r="GPX355" s="1055"/>
      <c r="GPY355" s="1054"/>
      <c r="GPZ355" s="1055"/>
      <c r="GQA355" s="1054"/>
      <c r="GQB355" s="1055"/>
      <c r="GQC355" s="1054"/>
      <c r="GQD355" s="1055"/>
      <c r="GQE355" s="1054"/>
      <c r="GQF355" s="1055"/>
      <c r="GQG355" s="1054"/>
      <c r="GQH355" s="1055"/>
      <c r="GQI355" s="1054"/>
      <c r="GQJ355" s="1055"/>
      <c r="GQK355" s="1054"/>
      <c r="GQL355" s="1055"/>
      <c r="GQM355" s="1054"/>
      <c r="GQN355" s="1055"/>
      <c r="GQO355" s="1054"/>
      <c r="GQP355" s="1055"/>
      <c r="GQQ355" s="1054"/>
      <c r="GQR355" s="1055"/>
      <c r="GQS355" s="1054"/>
      <c r="GQT355" s="1055"/>
      <c r="GQU355" s="1054"/>
      <c r="GQV355" s="1055"/>
      <c r="GQW355" s="1054"/>
      <c r="GQX355" s="1055"/>
      <c r="GQY355" s="1054"/>
      <c r="GQZ355" s="1055"/>
      <c r="GRA355" s="1054"/>
      <c r="GRB355" s="1055"/>
      <c r="GRC355" s="1054"/>
      <c r="GRD355" s="1055"/>
      <c r="GRE355" s="1054"/>
      <c r="GRF355" s="1055"/>
      <c r="GRG355" s="1054"/>
      <c r="GRH355" s="1055"/>
      <c r="GRI355" s="1054"/>
      <c r="GRJ355" s="1055"/>
      <c r="GRK355" s="1054"/>
      <c r="GRL355" s="1055"/>
      <c r="GRM355" s="1054"/>
      <c r="GRN355" s="1055"/>
      <c r="GRO355" s="1054"/>
      <c r="GRP355" s="1055"/>
      <c r="GRQ355" s="1054"/>
      <c r="GRR355" s="1055"/>
      <c r="GRS355" s="1054"/>
      <c r="GRT355" s="1055"/>
      <c r="GRU355" s="1054"/>
      <c r="GRV355" s="1055"/>
      <c r="GRW355" s="1054"/>
      <c r="GRX355" s="1055"/>
      <c r="GRY355" s="1054"/>
      <c r="GRZ355" s="1055"/>
      <c r="GSA355" s="1054"/>
      <c r="GSB355" s="1055"/>
      <c r="GSC355" s="1054"/>
      <c r="GSD355" s="1055"/>
      <c r="GSE355" s="1054"/>
      <c r="GSF355" s="1055"/>
      <c r="GSG355" s="1054"/>
      <c r="GSH355" s="1055"/>
      <c r="GSI355" s="1054"/>
      <c r="GSJ355" s="1055"/>
      <c r="GSK355" s="1054"/>
      <c r="GSL355" s="1055"/>
      <c r="GSM355" s="1054"/>
      <c r="GSN355" s="1055"/>
      <c r="GSO355" s="1054"/>
      <c r="GSP355" s="1055"/>
      <c r="GSQ355" s="1054"/>
      <c r="GSR355" s="1055"/>
      <c r="GSS355" s="1054"/>
      <c r="GST355" s="1055"/>
      <c r="GSU355" s="1054"/>
      <c r="GSV355" s="1055"/>
      <c r="GSW355" s="1054"/>
      <c r="GSX355" s="1055"/>
      <c r="GSY355" s="1054"/>
      <c r="GSZ355" s="1055"/>
      <c r="GTA355" s="1054"/>
      <c r="GTB355" s="1055"/>
      <c r="GTC355" s="1054"/>
      <c r="GTD355" s="1055"/>
      <c r="GTE355" s="1054"/>
      <c r="GTF355" s="1055"/>
      <c r="GTG355" s="1054"/>
      <c r="GTH355" s="1055"/>
      <c r="GTI355" s="1054"/>
      <c r="GTJ355" s="1055"/>
      <c r="GTK355" s="1054"/>
      <c r="GTL355" s="1055"/>
      <c r="GTM355" s="1054"/>
      <c r="GTN355" s="1055"/>
      <c r="GTO355" s="1054"/>
      <c r="GTP355" s="1055"/>
      <c r="GTQ355" s="1054"/>
      <c r="GTR355" s="1055"/>
      <c r="GTS355" s="1054"/>
      <c r="GTT355" s="1055"/>
      <c r="GTU355" s="1054"/>
      <c r="GTV355" s="1055"/>
      <c r="GTW355" s="1054"/>
      <c r="GTX355" s="1055"/>
      <c r="GTY355" s="1054"/>
      <c r="GTZ355" s="1055"/>
      <c r="GUA355" s="1054"/>
      <c r="GUB355" s="1055"/>
      <c r="GUC355" s="1054"/>
      <c r="GUD355" s="1055"/>
      <c r="GUE355" s="1054"/>
      <c r="GUF355" s="1055"/>
      <c r="GUG355" s="1054"/>
      <c r="GUH355" s="1055"/>
      <c r="GUI355" s="1054"/>
      <c r="GUJ355" s="1055"/>
      <c r="GUK355" s="1054"/>
      <c r="GUL355" s="1055"/>
      <c r="GUM355" s="1054"/>
      <c r="GUN355" s="1055"/>
      <c r="GUO355" s="1054"/>
      <c r="GUP355" s="1055"/>
      <c r="GUQ355" s="1054"/>
      <c r="GUR355" s="1055"/>
      <c r="GUS355" s="1054"/>
      <c r="GUT355" s="1055"/>
      <c r="GUU355" s="1054"/>
      <c r="GUV355" s="1055"/>
      <c r="GUW355" s="1054"/>
      <c r="GUX355" s="1055"/>
      <c r="GUY355" s="1054"/>
      <c r="GUZ355" s="1055"/>
      <c r="GVA355" s="1054"/>
      <c r="GVB355" s="1055"/>
      <c r="GVC355" s="1054"/>
      <c r="GVD355" s="1055"/>
      <c r="GVE355" s="1054"/>
      <c r="GVF355" s="1055"/>
      <c r="GVG355" s="1054"/>
      <c r="GVH355" s="1055"/>
      <c r="GVI355" s="1054"/>
      <c r="GVJ355" s="1055"/>
      <c r="GVK355" s="1054"/>
      <c r="GVL355" s="1055"/>
      <c r="GVM355" s="1054"/>
      <c r="GVN355" s="1055"/>
      <c r="GVO355" s="1054"/>
      <c r="GVP355" s="1055"/>
      <c r="GVQ355" s="1054"/>
      <c r="GVR355" s="1055"/>
      <c r="GVS355" s="1054"/>
      <c r="GVT355" s="1055"/>
      <c r="GVU355" s="1054"/>
      <c r="GVV355" s="1055"/>
      <c r="GVW355" s="1054"/>
      <c r="GVX355" s="1055"/>
      <c r="GVY355" s="1054"/>
      <c r="GVZ355" s="1055"/>
      <c r="GWA355" s="1054"/>
      <c r="GWB355" s="1055"/>
      <c r="GWC355" s="1054"/>
      <c r="GWD355" s="1055"/>
      <c r="GWE355" s="1054"/>
      <c r="GWF355" s="1055"/>
      <c r="GWG355" s="1054"/>
      <c r="GWH355" s="1055"/>
      <c r="GWI355" s="1054"/>
      <c r="GWJ355" s="1055"/>
      <c r="GWK355" s="1054"/>
      <c r="GWL355" s="1055"/>
      <c r="GWM355" s="1054"/>
      <c r="GWN355" s="1055"/>
      <c r="GWO355" s="1054"/>
      <c r="GWP355" s="1055"/>
      <c r="GWQ355" s="1054"/>
      <c r="GWR355" s="1055"/>
      <c r="GWS355" s="1054"/>
      <c r="GWT355" s="1055"/>
      <c r="GWU355" s="1054"/>
      <c r="GWV355" s="1055"/>
      <c r="GWW355" s="1054"/>
      <c r="GWX355" s="1055"/>
      <c r="GWY355" s="1054"/>
      <c r="GWZ355" s="1055"/>
      <c r="GXA355" s="1054"/>
      <c r="GXB355" s="1055"/>
      <c r="GXC355" s="1054"/>
      <c r="GXD355" s="1055"/>
      <c r="GXE355" s="1054"/>
      <c r="GXF355" s="1055"/>
      <c r="GXG355" s="1054"/>
      <c r="GXH355" s="1055"/>
      <c r="GXI355" s="1054"/>
      <c r="GXJ355" s="1055"/>
      <c r="GXK355" s="1054"/>
      <c r="GXL355" s="1055"/>
      <c r="GXM355" s="1054"/>
      <c r="GXN355" s="1055"/>
      <c r="GXO355" s="1054"/>
      <c r="GXP355" s="1055"/>
      <c r="GXQ355" s="1054"/>
      <c r="GXR355" s="1055"/>
      <c r="GXS355" s="1054"/>
      <c r="GXT355" s="1055"/>
      <c r="GXU355" s="1054"/>
      <c r="GXV355" s="1055"/>
      <c r="GXW355" s="1054"/>
      <c r="GXX355" s="1055"/>
      <c r="GXY355" s="1054"/>
      <c r="GXZ355" s="1055"/>
      <c r="GYA355" s="1054"/>
      <c r="GYB355" s="1055"/>
      <c r="GYC355" s="1054"/>
      <c r="GYD355" s="1055"/>
      <c r="GYE355" s="1054"/>
      <c r="GYF355" s="1055"/>
      <c r="GYG355" s="1054"/>
      <c r="GYH355" s="1055"/>
      <c r="GYI355" s="1054"/>
      <c r="GYJ355" s="1055"/>
      <c r="GYK355" s="1054"/>
      <c r="GYL355" s="1055"/>
      <c r="GYM355" s="1054"/>
      <c r="GYN355" s="1055"/>
      <c r="GYO355" s="1054"/>
      <c r="GYP355" s="1055"/>
      <c r="GYQ355" s="1054"/>
      <c r="GYR355" s="1055"/>
      <c r="GYS355" s="1054"/>
      <c r="GYT355" s="1055"/>
      <c r="GYU355" s="1054"/>
      <c r="GYV355" s="1055"/>
      <c r="GYW355" s="1054"/>
      <c r="GYX355" s="1055"/>
      <c r="GYY355" s="1054"/>
      <c r="GYZ355" s="1055"/>
      <c r="GZA355" s="1054"/>
      <c r="GZB355" s="1055"/>
      <c r="GZC355" s="1054"/>
      <c r="GZD355" s="1055"/>
      <c r="GZE355" s="1054"/>
      <c r="GZF355" s="1055"/>
      <c r="GZG355" s="1054"/>
      <c r="GZH355" s="1055"/>
      <c r="GZI355" s="1054"/>
      <c r="GZJ355" s="1055"/>
      <c r="GZK355" s="1054"/>
      <c r="GZL355" s="1055"/>
      <c r="GZM355" s="1054"/>
      <c r="GZN355" s="1055"/>
      <c r="GZO355" s="1054"/>
      <c r="GZP355" s="1055"/>
      <c r="GZQ355" s="1054"/>
      <c r="GZR355" s="1055"/>
      <c r="GZS355" s="1054"/>
      <c r="GZT355" s="1055"/>
      <c r="GZU355" s="1054"/>
      <c r="GZV355" s="1055"/>
      <c r="GZW355" s="1054"/>
      <c r="GZX355" s="1055"/>
      <c r="GZY355" s="1054"/>
      <c r="GZZ355" s="1055"/>
      <c r="HAA355" s="1054"/>
      <c r="HAB355" s="1055"/>
      <c r="HAC355" s="1054"/>
      <c r="HAD355" s="1055"/>
      <c r="HAE355" s="1054"/>
      <c r="HAF355" s="1055"/>
      <c r="HAG355" s="1054"/>
      <c r="HAH355" s="1055"/>
      <c r="HAI355" s="1054"/>
      <c r="HAJ355" s="1055"/>
      <c r="HAK355" s="1054"/>
      <c r="HAL355" s="1055"/>
      <c r="HAM355" s="1054"/>
      <c r="HAN355" s="1055"/>
      <c r="HAO355" s="1054"/>
      <c r="HAP355" s="1055"/>
      <c r="HAQ355" s="1054"/>
      <c r="HAR355" s="1055"/>
      <c r="HAS355" s="1054"/>
      <c r="HAT355" s="1055"/>
      <c r="HAU355" s="1054"/>
      <c r="HAV355" s="1055"/>
      <c r="HAW355" s="1054"/>
      <c r="HAX355" s="1055"/>
      <c r="HAY355" s="1054"/>
      <c r="HAZ355" s="1055"/>
      <c r="HBA355" s="1054"/>
      <c r="HBB355" s="1055"/>
      <c r="HBC355" s="1054"/>
      <c r="HBD355" s="1055"/>
      <c r="HBE355" s="1054"/>
      <c r="HBF355" s="1055"/>
      <c r="HBG355" s="1054"/>
      <c r="HBH355" s="1055"/>
      <c r="HBI355" s="1054"/>
      <c r="HBJ355" s="1055"/>
      <c r="HBK355" s="1054"/>
      <c r="HBL355" s="1055"/>
      <c r="HBM355" s="1054"/>
      <c r="HBN355" s="1055"/>
      <c r="HBO355" s="1054"/>
      <c r="HBP355" s="1055"/>
      <c r="HBQ355" s="1054"/>
      <c r="HBR355" s="1055"/>
      <c r="HBS355" s="1054"/>
      <c r="HBT355" s="1055"/>
      <c r="HBU355" s="1054"/>
      <c r="HBV355" s="1055"/>
      <c r="HBW355" s="1054"/>
      <c r="HBX355" s="1055"/>
      <c r="HBY355" s="1054"/>
      <c r="HBZ355" s="1055"/>
      <c r="HCA355" s="1054"/>
      <c r="HCB355" s="1055"/>
      <c r="HCC355" s="1054"/>
      <c r="HCD355" s="1055"/>
      <c r="HCE355" s="1054"/>
      <c r="HCF355" s="1055"/>
      <c r="HCG355" s="1054"/>
      <c r="HCH355" s="1055"/>
      <c r="HCI355" s="1054"/>
      <c r="HCJ355" s="1055"/>
      <c r="HCK355" s="1054"/>
      <c r="HCL355" s="1055"/>
      <c r="HCM355" s="1054"/>
      <c r="HCN355" s="1055"/>
      <c r="HCO355" s="1054"/>
      <c r="HCP355" s="1055"/>
      <c r="HCQ355" s="1054"/>
      <c r="HCR355" s="1055"/>
      <c r="HCS355" s="1054"/>
      <c r="HCT355" s="1055"/>
      <c r="HCU355" s="1054"/>
      <c r="HCV355" s="1055"/>
      <c r="HCW355" s="1054"/>
      <c r="HCX355" s="1055"/>
      <c r="HCY355" s="1054"/>
      <c r="HCZ355" s="1055"/>
      <c r="HDA355" s="1054"/>
      <c r="HDB355" s="1055"/>
      <c r="HDC355" s="1054"/>
      <c r="HDD355" s="1055"/>
      <c r="HDE355" s="1054"/>
      <c r="HDF355" s="1055"/>
      <c r="HDG355" s="1054"/>
      <c r="HDH355" s="1055"/>
      <c r="HDI355" s="1054"/>
      <c r="HDJ355" s="1055"/>
      <c r="HDK355" s="1054"/>
      <c r="HDL355" s="1055"/>
      <c r="HDM355" s="1054"/>
      <c r="HDN355" s="1055"/>
      <c r="HDO355" s="1054"/>
      <c r="HDP355" s="1055"/>
      <c r="HDQ355" s="1054"/>
      <c r="HDR355" s="1055"/>
      <c r="HDS355" s="1054"/>
      <c r="HDT355" s="1055"/>
      <c r="HDU355" s="1054"/>
      <c r="HDV355" s="1055"/>
      <c r="HDW355" s="1054"/>
      <c r="HDX355" s="1055"/>
      <c r="HDY355" s="1054"/>
      <c r="HDZ355" s="1055"/>
      <c r="HEA355" s="1054"/>
      <c r="HEB355" s="1055"/>
      <c r="HEC355" s="1054"/>
      <c r="HED355" s="1055"/>
      <c r="HEE355" s="1054"/>
      <c r="HEF355" s="1055"/>
      <c r="HEG355" s="1054"/>
      <c r="HEH355" s="1055"/>
      <c r="HEI355" s="1054"/>
      <c r="HEJ355" s="1055"/>
      <c r="HEK355" s="1054"/>
      <c r="HEL355" s="1055"/>
      <c r="HEM355" s="1054"/>
      <c r="HEN355" s="1055"/>
      <c r="HEO355" s="1054"/>
      <c r="HEP355" s="1055"/>
      <c r="HEQ355" s="1054"/>
      <c r="HER355" s="1055"/>
      <c r="HES355" s="1054"/>
      <c r="HET355" s="1055"/>
      <c r="HEU355" s="1054"/>
      <c r="HEV355" s="1055"/>
      <c r="HEW355" s="1054"/>
      <c r="HEX355" s="1055"/>
      <c r="HEY355" s="1054"/>
      <c r="HEZ355" s="1055"/>
      <c r="HFA355" s="1054"/>
      <c r="HFB355" s="1055"/>
      <c r="HFC355" s="1054"/>
      <c r="HFD355" s="1055"/>
      <c r="HFE355" s="1054"/>
      <c r="HFF355" s="1055"/>
      <c r="HFG355" s="1054"/>
      <c r="HFH355" s="1055"/>
      <c r="HFI355" s="1054"/>
      <c r="HFJ355" s="1055"/>
      <c r="HFK355" s="1054"/>
      <c r="HFL355" s="1055"/>
      <c r="HFM355" s="1054"/>
      <c r="HFN355" s="1055"/>
      <c r="HFO355" s="1054"/>
      <c r="HFP355" s="1055"/>
      <c r="HFQ355" s="1054"/>
      <c r="HFR355" s="1055"/>
      <c r="HFS355" s="1054"/>
      <c r="HFT355" s="1055"/>
      <c r="HFU355" s="1054"/>
      <c r="HFV355" s="1055"/>
      <c r="HFW355" s="1054"/>
      <c r="HFX355" s="1055"/>
      <c r="HFY355" s="1054"/>
      <c r="HFZ355" s="1055"/>
      <c r="HGA355" s="1054"/>
      <c r="HGB355" s="1055"/>
      <c r="HGC355" s="1054"/>
      <c r="HGD355" s="1055"/>
      <c r="HGE355" s="1054"/>
      <c r="HGF355" s="1055"/>
      <c r="HGG355" s="1054"/>
      <c r="HGH355" s="1055"/>
      <c r="HGI355" s="1054"/>
      <c r="HGJ355" s="1055"/>
      <c r="HGK355" s="1054"/>
      <c r="HGL355" s="1055"/>
      <c r="HGM355" s="1054"/>
      <c r="HGN355" s="1055"/>
      <c r="HGO355" s="1054"/>
      <c r="HGP355" s="1055"/>
      <c r="HGQ355" s="1054"/>
      <c r="HGR355" s="1055"/>
      <c r="HGS355" s="1054"/>
      <c r="HGT355" s="1055"/>
      <c r="HGU355" s="1054"/>
      <c r="HGV355" s="1055"/>
      <c r="HGW355" s="1054"/>
      <c r="HGX355" s="1055"/>
      <c r="HGY355" s="1054"/>
      <c r="HGZ355" s="1055"/>
      <c r="HHA355" s="1054"/>
      <c r="HHB355" s="1055"/>
      <c r="HHC355" s="1054"/>
      <c r="HHD355" s="1055"/>
      <c r="HHE355" s="1054"/>
      <c r="HHF355" s="1055"/>
      <c r="HHG355" s="1054"/>
      <c r="HHH355" s="1055"/>
      <c r="HHI355" s="1054"/>
      <c r="HHJ355" s="1055"/>
      <c r="HHK355" s="1054"/>
      <c r="HHL355" s="1055"/>
      <c r="HHM355" s="1054"/>
      <c r="HHN355" s="1055"/>
      <c r="HHO355" s="1054"/>
      <c r="HHP355" s="1055"/>
      <c r="HHQ355" s="1054"/>
      <c r="HHR355" s="1055"/>
      <c r="HHS355" s="1054"/>
      <c r="HHT355" s="1055"/>
      <c r="HHU355" s="1054"/>
      <c r="HHV355" s="1055"/>
      <c r="HHW355" s="1054"/>
      <c r="HHX355" s="1055"/>
      <c r="HHY355" s="1054"/>
      <c r="HHZ355" s="1055"/>
      <c r="HIA355" s="1054"/>
      <c r="HIB355" s="1055"/>
      <c r="HIC355" s="1054"/>
      <c r="HID355" s="1055"/>
      <c r="HIE355" s="1054"/>
      <c r="HIF355" s="1055"/>
      <c r="HIG355" s="1054"/>
      <c r="HIH355" s="1055"/>
      <c r="HII355" s="1054"/>
      <c r="HIJ355" s="1055"/>
      <c r="HIK355" s="1054"/>
      <c r="HIL355" s="1055"/>
      <c r="HIM355" s="1054"/>
      <c r="HIN355" s="1055"/>
      <c r="HIO355" s="1054"/>
      <c r="HIP355" s="1055"/>
      <c r="HIQ355" s="1054"/>
      <c r="HIR355" s="1055"/>
      <c r="HIS355" s="1054"/>
      <c r="HIT355" s="1055"/>
      <c r="HIU355" s="1054"/>
      <c r="HIV355" s="1055"/>
      <c r="HIW355" s="1054"/>
      <c r="HIX355" s="1055"/>
      <c r="HIY355" s="1054"/>
      <c r="HIZ355" s="1055"/>
      <c r="HJA355" s="1054"/>
      <c r="HJB355" s="1055"/>
      <c r="HJC355" s="1054"/>
      <c r="HJD355" s="1055"/>
      <c r="HJE355" s="1054"/>
      <c r="HJF355" s="1055"/>
      <c r="HJG355" s="1054"/>
      <c r="HJH355" s="1055"/>
      <c r="HJI355" s="1054"/>
      <c r="HJJ355" s="1055"/>
      <c r="HJK355" s="1054"/>
      <c r="HJL355" s="1055"/>
      <c r="HJM355" s="1054"/>
      <c r="HJN355" s="1055"/>
      <c r="HJO355" s="1054"/>
      <c r="HJP355" s="1055"/>
      <c r="HJQ355" s="1054"/>
      <c r="HJR355" s="1055"/>
      <c r="HJS355" s="1054"/>
      <c r="HJT355" s="1055"/>
      <c r="HJU355" s="1054"/>
      <c r="HJV355" s="1055"/>
      <c r="HJW355" s="1054"/>
      <c r="HJX355" s="1055"/>
      <c r="HJY355" s="1054"/>
      <c r="HJZ355" s="1055"/>
      <c r="HKA355" s="1054"/>
      <c r="HKB355" s="1055"/>
      <c r="HKC355" s="1054"/>
      <c r="HKD355" s="1055"/>
      <c r="HKE355" s="1054"/>
      <c r="HKF355" s="1055"/>
      <c r="HKG355" s="1054"/>
      <c r="HKH355" s="1055"/>
      <c r="HKI355" s="1054"/>
      <c r="HKJ355" s="1055"/>
      <c r="HKK355" s="1054"/>
      <c r="HKL355" s="1055"/>
      <c r="HKM355" s="1054"/>
      <c r="HKN355" s="1055"/>
      <c r="HKO355" s="1054"/>
      <c r="HKP355" s="1055"/>
      <c r="HKQ355" s="1054"/>
      <c r="HKR355" s="1055"/>
      <c r="HKS355" s="1054"/>
      <c r="HKT355" s="1055"/>
      <c r="HKU355" s="1054"/>
      <c r="HKV355" s="1055"/>
      <c r="HKW355" s="1054"/>
      <c r="HKX355" s="1055"/>
      <c r="HKY355" s="1054"/>
      <c r="HKZ355" s="1055"/>
      <c r="HLA355" s="1054"/>
      <c r="HLB355" s="1055"/>
      <c r="HLC355" s="1054"/>
      <c r="HLD355" s="1055"/>
      <c r="HLE355" s="1054"/>
      <c r="HLF355" s="1055"/>
      <c r="HLG355" s="1054"/>
      <c r="HLH355" s="1055"/>
      <c r="HLI355" s="1054"/>
      <c r="HLJ355" s="1055"/>
      <c r="HLK355" s="1054"/>
      <c r="HLL355" s="1055"/>
      <c r="HLM355" s="1054"/>
      <c r="HLN355" s="1055"/>
      <c r="HLO355" s="1054"/>
      <c r="HLP355" s="1055"/>
      <c r="HLQ355" s="1054"/>
      <c r="HLR355" s="1055"/>
      <c r="HLS355" s="1054"/>
      <c r="HLT355" s="1055"/>
      <c r="HLU355" s="1054"/>
      <c r="HLV355" s="1055"/>
      <c r="HLW355" s="1054"/>
      <c r="HLX355" s="1055"/>
      <c r="HLY355" s="1054"/>
      <c r="HLZ355" s="1055"/>
      <c r="HMA355" s="1054"/>
      <c r="HMB355" s="1055"/>
      <c r="HMC355" s="1054"/>
      <c r="HMD355" s="1055"/>
      <c r="HME355" s="1054"/>
      <c r="HMF355" s="1055"/>
      <c r="HMG355" s="1054"/>
      <c r="HMH355" s="1055"/>
      <c r="HMI355" s="1054"/>
      <c r="HMJ355" s="1055"/>
      <c r="HMK355" s="1054"/>
      <c r="HML355" s="1055"/>
      <c r="HMM355" s="1054"/>
      <c r="HMN355" s="1055"/>
      <c r="HMO355" s="1054"/>
      <c r="HMP355" s="1055"/>
      <c r="HMQ355" s="1054"/>
      <c r="HMR355" s="1055"/>
      <c r="HMS355" s="1054"/>
      <c r="HMT355" s="1055"/>
      <c r="HMU355" s="1054"/>
      <c r="HMV355" s="1055"/>
      <c r="HMW355" s="1054"/>
      <c r="HMX355" s="1055"/>
      <c r="HMY355" s="1054"/>
      <c r="HMZ355" s="1055"/>
      <c r="HNA355" s="1054"/>
      <c r="HNB355" s="1055"/>
      <c r="HNC355" s="1054"/>
      <c r="HND355" s="1055"/>
      <c r="HNE355" s="1054"/>
      <c r="HNF355" s="1055"/>
      <c r="HNG355" s="1054"/>
      <c r="HNH355" s="1055"/>
      <c r="HNI355" s="1054"/>
      <c r="HNJ355" s="1055"/>
      <c r="HNK355" s="1054"/>
      <c r="HNL355" s="1055"/>
      <c r="HNM355" s="1054"/>
      <c r="HNN355" s="1055"/>
      <c r="HNO355" s="1054"/>
      <c r="HNP355" s="1055"/>
      <c r="HNQ355" s="1054"/>
      <c r="HNR355" s="1055"/>
      <c r="HNS355" s="1054"/>
      <c r="HNT355" s="1055"/>
      <c r="HNU355" s="1054"/>
      <c r="HNV355" s="1055"/>
      <c r="HNW355" s="1054"/>
      <c r="HNX355" s="1055"/>
      <c r="HNY355" s="1054"/>
      <c r="HNZ355" s="1055"/>
      <c r="HOA355" s="1054"/>
      <c r="HOB355" s="1055"/>
      <c r="HOC355" s="1054"/>
      <c r="HOD355" s="1055"/>
      <c r="HOE355" s="1054"/>
      <c r="HOF355" s="1055"/>
      <c r="HOG355" s="1054"/>
      <c r="HOH355" s="1055"/>
      <c r="HOI355" s="1054"/>
      <c r="HOJ355" s="1055"/>
      <c r="HOK355" s="1054"/>
      <c r="HOL355" s="1055"/>
      <c r="HOM355" s="1054"/>
      <c r="HON355" s="1055"/>
      <c r="HOO355" s="1054"/>
      <c r="HOP355" s="1055"/>
      <c r="HOQ355" s="1054"/>
      <c r="HOR355" s="1055"/>
      <c r="HOS355" s="1054"/>
      <c r="HOT355" s="1055"/>
      <c r="HOU355" s="1054"/>
      <c r="HOV355" s="1055"/>
      <c r="HOW355" s="1054"/>
      <c r="HOX355" s="1055"/>
      <c r="HOY355" s="1054"/>
      <c r="HOZ355" s="1055"/>
      <c r="HPA355" s="1054"/>
      <c r="HPB355" s="1055"/>
      <c r="HPC355" s="1054"/>
      <c r="HPD355" s="1055"/>
      <c r="HPE355" s="1054"/>
      <c r="HPF355" s="1055"/>
      <c r="HPG355" s="1054"/>
      <c r="HPH355" s="1055"/>
      <c r="HPI355" s="1054"/>
      <c r="HPJ355" s="1055"/>
      <c r="HPK355" s="1054"/>
      <c r="HPL355" s="1055"/>
      <c r="HPM355" s="1054"/>
      <c r="HPN355" s="1055"/>
      <c r="HPO355" s="1054"/>
      <c r="HPP355" s="1055"/>
      <c r="HPQ355" s="1054"/>
      <c r="HPR355" s="1055"/>
      <c r="HPS355" s="1054"/>
      <c r="HPT355" s="1055"/>
      <c r="HPU355" s="1054"/>
      <c r="HPV355" s="1055"/>
      <c r="HPW355" s="1054"/>
      <c r="HPX355" s="1055"/>
      <c r="HPY355" s="1054"/>
      <c r="HPZ355" s="1055"/>
      <c r="HQA355" s="1054"/>
      <c r="HQB355" s="1055"/>
      <c r="HQC355" s="1054"/>
      <c r="HQD355" s="1055"/>
      <c r="HQE355" s="1054"/>
      <c r="HQF355" s="1055"/>
      <c r="HQG355" s="1054"/>
      <c r="HQH355" s="1055"/>
      <c r="HQI355" s="1054"/>
      <c r="HQJ355" s="1055"/>
      <c r="HQK355" s="1054"/>
      <c r="HQL355" s="1055"/>
      <c r="HQM355" s="1054"/>
      <c r="HQN355" s="1055"/>
      <c r="HQO355" s="1054"/>
      <c r="HQP355" s="1055"/>
      <c r="HQQ355" s="1054"/>
      <c r="HQR355" s="1055"/>
      <c r="HQS355" s="1054"/>
      <c r="HQT355" s="1055"/>
      <c r="HQU355" s="1054"/>
      <c r="HQV355" s="1055"/>
      <c r="HQW355" s="1054"/>
      <c r="HQX355" s="1055"/>
      <c r="HQY355" s="1054"/>
      <c r="HQZ355" s="1055"/>
      <c r="HRA355" s="1054"/>
      <c r="HRB355" s="1055"/>
      <c r="HRC355" s="1054"/>
      <c r="HRD355" s="1055"/>
      <c r="HRE355" s="1054"/>
      <c r="HRF355" s="1055"/>
      <c r="HRG355" s="1054"/>
      <c r="HRH355" s="1055"/>
      <c r="HRI355" s="1054"/>
      <c r="HRJ355" s="1055"/>
      <c r="HRK355" s="1054"/>
      <c r="HRL355" s="1055"/>
      <c r="HRM355" s="1054"/>
      <c r="HRN355" s="1055"/>
      <c r="HRO355" s="1054"/>
      <c r="HRP355" s="1055"/>
      <c r="HRQ355" s="1054"/>
      <c r="HRR355" s="1055"/>
      <c r="HRS355" s="1054"/>
      <c r="HRT355" s="1055"/>
      <c r="HRU355" s="1054"/>
      <c r="HRV355" s="1055"/>
      <c r="HRW355" s="1054"/>
      <c r="HRX355" s="1055"/>
      <c r="HRY355" s="1054"/>
      <c r="HRZ355" s="1055"/>
      <c r="HSA355" s="1054"/>
      <c r="HSB355" s="1055"/>
      <c r="HSC355" s="1054"/>
      <c r="HSD355" s="1055"/>
      <c r="HSE355" s="1054"/>
      <c r="HSF355" s="1055"/>
      <c r="HSG355" s="1054"/>
      <c r="HSH355" s="1055"/>
      <c r="HSI355" s="1054"/>
      <c r="HSJ355" s="1055"/>
      <c r="HSK355" s="1054"/>
      <c r="HSL355" s="1055"/>
      <c r="HSM355" s="1054"/>
      <c r="HSN355" s="1055"/>
      <c r="HSO355" s="1054"/>
      <c r="HSP355" s="1055"/>
      <c r="HSQ355" s="1054"/>
      <c r="HSR355" s="1055"/>
      <c r="HSS355" s="1054"/>
      <c r="HST355" s="1055"/>
      <c r="HSU355" s="1054"/>
      <c r="HSV355" s="1055"/>
      <c r="HSW355" s="1054"/>
      <c r="HSX355" s="1055"/>
      <c r="HSY355" s="1054"/>
      <c r="HSZ355" s="1055"/>
      <c r="HTA355" s="1054"/>
      <c r="HTB355" s="1055"/>
      <c r="HTC355" s="1054"/>
      <c r="HTD355" s="1055"/>
      <c r="HTE355" s="1054"/>
      <c r="HTF355" s="1055"/>
      <c r="HTG355" s="1054"/>
      <c r="HTH355" s="1055"/>
      <c r="HTI355" s="1054"/>
      <c r="HTJ355" s="1055"/>
      <c r="HTK355" s="1054"/>
      <c r="HTL355" s="1055"/>
      <c r="HTM355" s="1054"/>
      <c r="HTN355" s="1055"/>
      <c r="HTO355" s="1054"/>
      <c r="HTP355" s="1055"/>
      <c r="HTQ355" s="1054"/>
      <c r="HTR355" s="1055"/>
      <c r="HTS355" s="1054"/>
      <c r="HTT355" s="1055"/>
      <c r="HTU355" s="1054"/>
      <c r="HTV355" s="1055"/>
      <c r="HTW355" s="1054"/>
      <c r="HTX355" s="1055"/>
      <c r="HTY355" s="1054"/>
      <c r="HTZ355" s="1055"/>
      <c r="HUA355" s="1054"/>
      <c r="HUB355" s="1055"/>
      <c r="HUC355" s="1054"/>
      <c r="HUD355" s="1055"/>
      <c r="HUE355" s="1054"/>
      <c r="HUF355" s="1055"/>
      <c r="HUG355" s="1054"/>
      <c r="HUH355" s="1055"/>
      <c r="HUI355" s="1054"/>
      <c r="HUJ355" s="1055"/>
      <c r="HUK355" s="1054"/>
      <c r="HUL355" s="1055"/>
      <c r="HUM355" s="1054"/>
      <c r="HUN355" s="1055"/>
      <c r="HUO355" s="1054"/>
      <c r="HUP355" s="1055"/>
      <c r="HUQ355" s="1054"/>
      <c r="HUR355" s="1055"/>
      <c r="HUS355" s="1054"/>
      <c r="HUT355" s="1055"/>
      <c r="HUU355" s="1054"/>
      <c r="HUV355" s="1055"/>
      <c r="HUW355" s="1054"/>
      <c r="HUX355" s="1055"/>
      <c r="HUY355" s="1054"/>
      <c r="HUZ355" s="1055"/>
      <c r="HVA355" s="1054"/>
      <c r="HVB355" s="1055"/>
      <c r="HVC355" s="1054"/>
      <c r="HVD355" s="1055"/>
      <c r="HVE355" s="1054"/>
      <c r="HVF355" s="1055"/>
      <c r="HVG355" s="1054"/>
      <c r="HVH355" s="1055"/>
      <c r="HVI355" s="1054"/>
      <c r="HVJ355" s="1055"/>
      <c r="HVK355" s="1054"/>
      <c r="HVL355" s="1055"/>
      <c r="HVM355" s="1054"/>
      <c r="HVN355" s="1055"/>
      <c r="HVO355" s="1054"/>
      <c r="HVP355" s="1055"/>
      <c r="HVQ355" s="1054"/>
      <c r="HVR355" s="1055"/>
      <c r="HVS355" s="1054"/>
      <c r="HVT355" s="1055"/>
      <c r="HVU355" s="1054"/>
      <c r="HVV355" s="1055"/>
      <c r="HVW355" s="1054"/>
      <c r="HVX355" s="1055"/>
      <c r="HVY355" s="1054"/>
      <c r="HVZ355" s="1055"/>
      <c r="HWA355" s="1054"/>
      <c r="HWB355" s="1055"/>
      <c r="HWC355" s="1054"/>
      <c r="HWD355" s="1055"/>
      <c r="HWE355" s="1054"/>
      <c r="HWF355" s="1055"/>
      <c r="HWG355" s="1054"/>
      <c r="HWH355" s="1055"/>
      <c r="HWI355" s="1054"/>
      <c r="HWJ355" s="1055"/>
      <c r="HWK355" s="1054"/>
      <c r="HWL355" s="1055"/>
      <c r="HWM355" s="1054"/>
      <c r="HWN355" s="1055"/>
      <c r="HWO355" s="1054"/>
      <c r="HWP355" s="1055"/>
      <c r="HWQ355" s="1054"/>
      <c r="HWR355" s="1055"/>
      <c r="HWS355" s="1054"/>
      <c r="HWT355" s="1055"/>
      <c r="HWU355" s="1054"/>
      <c r="HWV355" s="1055"/>
      <c r="HWW355" s="1054"/>
      <c r="HWX355" s="1055"/>
      <c r="HWY355" s="1054"/>
      <c r="HWZ355" s="1055"/>
      <c r="HXA355" s="1054"/>
      <c r="HXB355" s="1055"/>
      <c r="HXC355" s="1054"/>
      <c r="HXD355" s="1055"/>
      <c r="HXE355" s="1054"/>
      <c r="HXF355" s="1055"/>
      <c r="HXG355" s="1054"/>
      <c r="HXH355" s="1055"/>
      <c r="HXI355" s="1054"/>
      <c r="HXJ355" s="1055"/>
      <c r="HXK355" s="1054"/>
      <c r="HXL355" s="1055"/>
      <c r="HXM355" s="1054"/>
      <c r="HXN355" s="1055"/>
      <c r="HXO355" s="1054"/>
      <c r="HXP355" s="1055"/>
      <c r="HXQ355" s="1054"/>
      <c r="HXR355" s="1055"/>
      <c r="HXS355" s="1054"/>
      <c r="HXT355" s="1055"/>
      <c r="HXU355" s="1054"/>
      <c r="HXV355" s="1055"/>
      <c r="HXW355" s="1054"/>
      <c r="HXX355" s="1055"/>
      <c r="HXY355" s="1054"/>
      <c r="HXZ355" s="1055"/>
      <c r="HYA355" s="1054"/>
      <c r="HYB355" s="1055"/>
      <c r="HYC355" s="1054"/>
      <c r="HYD355" s="1055"/>
      <c r="HYE355" s="1054"/>
      <c r="HYF355" s="1055"/>
      <c r="HYG355" s="1054"/>
      <c r="HYH355" s="1055"/>
      <c r="HYI355" s="1054"/>
      <c r="HYJ355" s="1055"/>
      <c r="HYK355" s="1054"/>
      <c r="HYL355" s="1055"/>
      <c r="HYM355" s="1054"/>
      <c r="HYN355" s="1055"/>
      <c r="HYO355" s="1054"/>
      <c r="HYP355" s="1055"/>
      <c r="HYQ355" s="1054"/>
      <c r="HYR355" s="1055"/>
      <c r="HYS355" s="1054"/>
      <c r="HYT355" s="1055"/>
      <c r="HYU355" s="1054"/>
      <c r="HYV355" s="1055"/>
      <c r="HYW355" s="1054"/>
      <c r="HYX355" s="1055"/>
      <c r="HYY355" s="1054"/>
      <c r="HYZ355" s="1055"/>
      <c r="HZA355" s="1054"/>
      <c r="HZB355" s="1055"/>
      <c r="HZC355" s="1054"/>
      <c r="HZD355" s="1055"/>
      <c r="HZE355" s="1054"/>
      <c r="HZF355" s="1055"/>
      <c r="HZG355" s="1054"/>
      <c r="HZH355" s="1055"/>
      <c r="HZI355" s="1054"/>
      <c r="HZJ355" s="1055"/>
      <c r="HZK355" s="1054"/>
      <c r="HZL355" s="1055"/>
      <c r="HZM355" s="1054"/>
      <c r="HZN355" s="1055"/>
      <c r="HZO355" s="1054"/>
      <c r="HZP355" s="1055"/>
      <c r="HZQ355" s="1054"/>
      <c r="HZR355" s="1055"/>
      <c r="HZS355" s="1054"/>
      <c r="HZT355" s="1055"/>
      <c r="HZU355" s="1054"/>
      <c r="HZV355" s="1055"/>
      <c r="HZW355" s="1054"/>
      <c r="HZX355" s="1055"/>
      <c r="HZY355" s="1054"/>
      <c r="HZZ355" s="1055"/>
      <c r="IAA355" s="1054"/>
      <c r="IAB355" s="1055"/>
      <c r="IAC355" s="1054"/>
      <c r="IAD355" s="1055"/>
      <c r="IAE355" s="1054"/>
      <c r="IAF355" s="1055"/>
      <c r="IAG355" s="1054"/>
      <c r="IAH355" s="1055"/>
      <c r="IAI355" s="1054"/>
      <c r="IAJ355" s="1055"/>
      <c r="IAK355" s="1054"/>
      <c r="IAL355" s="1055"/>
      <c r="IAM355" s="1054"/>
      <c r="IAN355" s="1055"/>
      <c r="IAO355" s="1054"/>
      <c r="IAP355" s="1055"/>
      <c r="IAQ355" s="1054"/>
      <c r="IAR355" s="1055"/>
      <c r="IAS355" s="1054"/>
      <c r="IAT355" s="1055"/>
      <c r="IAU355" s="1054"/>
      <c r="IAV355" s="1055"/>
      <c r="IAW355" s="1054"/>
      <c r="IAX355" s="1055"/>
      <c r="IAY355" s="1054"/>
      <c r="IAZ355" s="1055"/>
      <c r="IBA355" s="1054"/>
      <c r="IBB355" s="1055"/>
      <c r="IBC355" s="1054"/>
      <c r="IBD355" s="1055"/>
      <c r="IBE355" s="1054"/>
      <c r="IBF355" s="1055"/>
      <c r="IBG355" s="1054"/>
      <c r="IBH355" s="1055"/>
      <c r="IBI355" s="1054"/>
      <c r="IBJ355" s="1055"/>
      <c r="IBK355" s="1054"/>
      <c r="IBL355" s="1055"/>
      <c r="IBM355" s="1054"/>
      <c r="IBN355" s="1055"/>
      <c r="IBO355" s="1054"/>
      <c r="IBP355" s="1055"/>
      <c r="IBQ355" s="1054"/>
      <c r="IBR355" s="1055"/>
      <c r="IBS355" s="1054"/>
      <c r="IBT355" s="1055"/>
      <c r="IBU355" s="1054"/>
      <c r="IBV355" s="1055"/>
      <c r="IBW355" s="1054"/>
      <c r="IBX355" s="1055"/>
      <c r="IBY355" s="1054"/>
      <c r="IBZ355" s="1055"/>
      <c r="ICA355" s="1054"/>
      <c r="ICB355" s="1055"/>
      <c r="ICC355" s="1054"/>
      <c r="ICD355" s="1055"/>
      <c r="ICE355" s="1054"/>
      <c r="ICF355" s="1055"/>
      <c r="ICG355" s="1054"/>
      <c r="ICH355" s="1055"/>
      <c r="ICI355" s="1054"/>
      <c r="ICJ355" s="1055"/>
      <c r="ICK355" s="1054"/>
      <c r="ICL355" s="1055"/>
      <c r="ICM355" s="1054"/>
      <c r="ICN355" s="1055"/>
      <c r="ICO355" s="1054"/>
      <c r="ICP355" s="1055"/>
      <c r="ICQ355" s="1054"/>
      <c r="ICR355" s="1055"/>
      <c r="ICS355" s="1054"/>
      <c r="ICT355" s="1055"/>
      <c r="ICU355" s="1054"/>
      <c r="ICV355" s="1055"/>
      <c r="ICW355" s="1054"/>
      <c r="ICX355" s="1055"/>
      <c r="ICY355" s="1054"/>
      <c r="ICZ355" s="1055"/>
      <c r="IDA355" s="1054"/>
      <c r="IDB355" s="1055"/>
      <c r="IDC355" s="1054"/>
      <c r="IDD355" s="1055"/>
      <c r="IDE355" s="1054"/>
      <c r="IDF355" s="1055"/>
      <c r="IDG355" s="1054"/>
      <c r="IDH355" s="1055"/>
      <c r="IDI355" s="1054"/>
      <c r="IDJ355" s="1055"/>
      <c r="IDK355" s="1054"/>
      <c r="IDL355" s="1055"/>
      <c r="IDM355" s="1054"/>
      <c r="IDN355" s="1055"/>
      <c r="IDO355" s="1054"/>
      <c r="IDP355" s="1055"/>
      <c r="IDQ355" s="1054"/>
      <c r="IDR355" s="1055"/>
      <c r="IDS355" s="1054"/>
      <c r="IDT355" s="1055"/>
      <c r="IDU355" s="1054"/>
      <c r="IDV355" s="1055"/>
      <c r="IDW355" s="1054"/>
      <c r="IDX355" s="1055"/>
      <c r="IDY355" s="1054"/>
      <c r="IDZ355" s="1055"/>
      <c r="IEA355" s="1054"/>
      <c r="IEB355" s="1055"/>
      <c r="IEC355" s="1054"/>
      <c r="IED355" s="1055"/>
      <c r="IEE355" s="1054"/>
      <c r="IEF355" s="1055"/>
      <c r="IEG355" s="1054"/>
      <c r="IEH355" s="1055"/>
      <c r="IEI355" s="1054"/>
      <c r="IEJ355" s="1055"/>
      <c r="IEK355" s="1054"/>
      <c r="IEL355" s="1055"/>
      <c r="IEM355" s="1054"/>
      <c r="IEN355" s="1055"/>
      <c r="IEO355" s="1054"/>
      <c r="IEP355" s="1055"/>
      <c r="IEQ355" s="1054"/>
      <c r="IER355" s="1055"/>
      <c r="IES355" s="1054"/>
      <c r="IET355" s="1055"/>
      <c r="IEU355" s="1054"/>
      <c r="IEV355" s="1055"/>
      <c r="IEW355" s="1054"/>
      <c r="IEX355" s="1055"/>
      <c r="IEY355" s="1054"/>
      <c r="IEZ355" s="1055"/>
      <c r="IFA355" s="1054"/>
      <c r="IFB355" s="1055"/>
      <c r="IFC355" s="1054"/>
      <c r="IFD355" s="1055"/>
      <c r="IFE355" s="1054"/>
      <c r="IFF355" s="1055"/>
      <c r="IFG355" s="1054"/>
      <c r="IFH355" s="1055"/>
      <c r="IFI355" s="1054"/>
      <c r="IFJ355" s="1055"/>
      <c r="IFK355" s="1054"/>
      <c r="IFL355" s="1055"/>
      <c r="IFM355" s="1054"/>
      <c r="IFN355" s="1055"/>
      <c r="IFO355" s="1054"/>
      <c r="IFP355" s="1055"/>
      <c r="IFQ355" s="1054"/>
      <c r="IFR355" s="1055"/>
      <c r="IFS355" s="1054"/>
      <c r="IFT355" s="1055"/>
      <c r="IFU355" s="1054"/>
      <c r="IFV355" s="1055"/>
      <c r="IFW355" s="1054"/>
      <c r="IFX355" s="1055"/>
      <c r="IFY355" s="1054"/>
      <c r="IFZ355" s="1055"/>
      <c r="IGA355" s="1054"/>
      <c r="IGB355" s="1055"/>
      <c r="IGC355" s="1054"/>
      <c r="IGD355" s="1055"/>
      <c r="IGE355" s="1054"/>
      <c r="IGF355" s="1055"/>
      <c r="IGG355" s="1054"/>
      <c r="IGH355" s="1055"/>
      <c r="IGI355" s="1054"/>
      <c r="IGJ355" s="1055"/>
      <c r="IGK355" s="1054"/>
      <c r="IGL355" s="1055"/>
      <c r="IGM355" s="1054"/>
      <c r="IGN355" s="1055"/>
      <c r="IGO355" s="1054"/>
      <c r="IGP355" s="1055"/>
      <c r="IGQ355" s="1054"/>
      <c r="IGR355" s="1055"/>
      <c r="IGS355" s="1054"/>
      <c r="IGT355" s="1055"/>
      <c r="IGU355" s="1054"/>
      <c r="IGV355" s="1055"/>
      <c r="IGW355" s="1054"/>
      <c r="IGX355" s="1055"/>
      <c r="IGY355" s="1054"/>
      <c r="IGZ355" s="1055"/>
      <c r="IHA355" s="1054"/>
      <c r="IHB355" s="1055"/>
      <c r="IHC355" s="1054"/>
      <c r="IHD355" s="1055"/>
      <c r="IHE355" s="1054"/>
      <c r="IHF355" s="1055"/>
      <c r="IHG355" s="1054"/>
      <c r="IHH355" s="1055"/>
      <c r="IHI355" s="1054"/>
      <c r="IHJ355" s="1055"/>
      <c r="IHK355" s="1054"/>
      <c r="IHL355" s="1055"/>
      <c r="IHM355" s="1054"/>
      <c r="IHN355" s="1055"/>
      <c r="IHO355" s="1054"/>
      <c r="IHP355" s="1055"/>
      <c r="IHQ355" s="1054"/>
      <c r="IHR355" s="1055"/>
      <c r="IHS355" s="1054"/>
      <c r="IHT355" s="1055"/>
      <c r="IHU355" s="1054"/>
      <c r="IHV355" s="1055"/>
      <c r="IHW355" s="1054"/>
      <c r="IHX355" s="1055"/>
      <c r="IHY355" s="1054"/>
      <c r="IHZ355" s="1055"/>
      <c r="IIA355" s="1054"/>
      <c r="IIB355" s="1055"/>
      <c r="IIC355" s="1054"/>
      <c r="IID355" s="1055"/>
      <c r="IIE355" s="1054"/>
      <c r="IIF355" s="1055"/>
      <c r="IIG355" s="1054"/>
      <c r="IIH355" s="1055"/>
      <c r="III355" s="1054"/>
      <c r="IIJ355" s="1055"/>
      <c r="IIK355" s="1054"/>
      <c r="IIL355" s="1055"/>
      <c r="IIM355" s="1054"/>
      <c r="IIN355" s="1055"/>
      <c r="IIO355" s="1054"/>
      <c r="IIP355" s="1055"/>
      <c r="IIQ355" s="1054"/>
      <c r="IIR355" s="1055"/>
      <c r="IIS355" s="1054"/>
      <c r="IIT355" s="1055"/>
      <c r="IIU355" s="1054"/>
      <c r="IIV355" s="1055"/>
      <c r="IIW355" s="1054"/>
      <c r="IIX355" s="1055"/>
      <c r="IIY355" s="1054"/>
      <c r="IIZ355" s="1055"/>
      <c r="IJA355" s="1054"/>
      <c r="IJB355" s="1055"/>
      <c r="IJC355" s="1054"/>
      <c r="IJD355" s="1055"/>
      <c r="IJE355" s="1054"/>
      <c r="IJF355" s="1055"/>
      <c r="IJG355" s="1054"/>
      <c r="IJH355" s="1055"/>
      <c r="IJI355" s="1054"/>
      <c r="IJJ355" s="1055"/>
      <c r="IJK355" s="1054"/>
      <c r="IJL355" s="1055"/>
      <c r="IJM355" s="1054"/>
      <c r="IJN355" s="1055"/>
      <c r="IJO355" s="1054"/>
      <c r="IJP355" s="1055"/>
      <c r="IJQ355" s="1054"/>
      <c r="IJR355" s="1055"/>
      <c r="IJS355" s="1054"/>
      <c r="IJT355" s="1055"/>
      <c r="IJU355" s="1054"/>
      <c r="IJV355" s="1055"/>
      <c r="IJW355" s="1054"/>
      <c r="IJX355" s="1055"/>
      <c r="IJY355" s="1054"/>
      <c r="IJZ355" s="1055"/>
      <c r="IKA355" s="1054"/>
      <c r="IKB355" s="1055"/>
      <c r="IKC355" s="1054"/>
      <c r="IKD355" s="1055"/>
      <c r="IKE355" s="1054"/>
      <c r="IKF355" s="1055"/>
      <c r="IKG355" s="1054"/>
      <c r="IKH355" s="1055"/>
      <c r="IKI355" s="1054"/>
      <c r="IKJ355" s="1055"/>
      <c r="IKK355" s="1054"/>
      <c r="IKL355" s="1055"/>
      <c r="IKM355" s="1054"/>
      <c r="IKN355" s="1055"/>
      <c r="IKO355" s="1054"/>
      <c r="IKP355" s="1055"/>
      <c r="IKQ355" s="1054"/>
      <c r="IKR355" s="1055"/>
      <c r="IKS355" s="1054"/>
      <c r="IKT355" s="1055"/>
      <c r="IKU355" s="1054"/>
      <c r="IKV355" s="1055"/>
      <c r="IKW355" s="1054"/>
      <c r="IKX355" s="1055"/>
      <c r="IKY355" s="1054"/>
      <c r="IKZ355" s="1055"/>
      <c r="ILA355" s="1054"/>
      <c r="ILB355" s="1055"/>
      <c r="ILC355" s="1054"/>
      <c r="ILD355" s="1055"/>
      <c r="ILE355" s="1054"/>
      <c r="ILF355" s="1055"/>
      <c r="ILG355" s="1054"/>
      <c r="ILH355" s="1055"/>
      <c r="ILI355" s="1054"/>
      <c r="ILJ355" s="1055"/>
      <c r="ILK355" s="1054"/>
      <c r="ILL355" s="1055"/>
      <c r="ILM355" s="1054"/>
      <c r="ILN355" s="1055"/>
      <c r="ILO355" s="1054"/>
      <c r="ILP355" s="1055"/>
      <c r="ILQ355" s="1054"/>
      <c r="ILR355" s="1055"/>
      <c r="ILS355" s="1054"/>
      <c r="ILT355" s="1055"/>
      <c r="ILU355" s="1054"/>
      <c r="ILV355" s="1055"/>
      <c r="ILW355" s="1054"/>
      <c r="ILX355" s="1055"/>
      <c r="ILY355" s="1054"/>
      <c r="ILZ355" s="1055"/>
      <c r="IMA355" s="1054"/>
      <c r="IMB355" s="1055"/>
      <c r="IMC355" s="1054"/>
      <c r="IMD355" s="1055"/>
      <c r="IME355" s="1054"/>
      <c r="IMF355" s="1055"/>
      <c r="IMG355" s="1054"/>
      <c r="IMH355" s="1055"/>
      <c r="IMI355" s="1054"/>
      <c r="IMJ355" s="1055"/>
      <c r="IMK355" s="1054"/>
      <c r="IML355" s="1055"/>
      <c r="IMM355" s="1054"/>
      <c r="IMN355" s="1055"/>
      <c r="IMO355" s="1054"/>
      <c r="IMP355" s="1055"/>
      <c r="IMQ355" s="1054"/>
      <c r="IMR355" s="1055"/>
      <c r="IMS355" s="1054"/>
      <c r="IMT355" s="1055"/>
      <c r="IMU355" s="1054"/>
      <c r="IMV355" s="1055"/>
      <c r="IMW355" s="1054"/>
      <c r="IMX355" s="1055"/>
      <c r="IMY355" s="1054"/>
      <c r="IMZ355" s="1055"/>
      <c r="INA355" s="1054"/>
      <c r="INB355" s="1055"/>
      <c r="INC355" s="1054"/>
      <c r="IND355" s="1055"/>
      <c r="INE355" s="1054"/>
      <c r="INF355" s="1055"/>
      <c r="ING355" s="1054"/>
      <c r="INH355" s="1055"/>
      <c r="INI355" s="1054"/>
      <c r="INJ355" s="1055"/>
      <c r="INK355" s="1054"/>
      <c r="INL355" s="1055"/>
      <c r="INM355" s="1054"/>
      <c r="INN355" s="1055"/>
      <c r="INO355" s="1054"/>
      <c r="INP355" s="1055"/>
      <c r="INQ355" s="1054"/>
      <c r="INR355" s="1055"/>
      <c r="INS355" s="1054"/>
      <c r="INT355" s="1055"/>
      <c r="INU355" s="1054"/>
      <c r="INV355" s="1055"/>
      <c r="INW355" s="1054"/>
      <c r="INX355" s="1055"/>
      <c r="INY355" s="1054"/>
      <c r="INZ355" s="1055"/>
      <c r="IOA355" s="1054"/>
      <c r="IOB355" s="1055"/>
      <c r="IOC355" s="1054"/>
      <c r="IOD355" s="1055"/>
      <c r="IOE355" s="1054"/>
      <c r="IOF355" s="1055"/>
      <c r="IOG355" s="1054"/>
      <c r="IOH355" s="1055"/>
      <c r="IOI355" s="1054"/>
      <c r="IOJ355" s="1055"/>
      <c r="IOK355" s="1054"/>
      <c r="IOL355" s="1055"/>
      <c r="IOM355" s="1054"/>
      <c r="ION355" s="1055"/>
      <c r="IOO355" s="1054"/>
      <c r="IOP355" s="1055"/>
      <c r="IOQ355" s="1054"/>
      <c r="IOR355" s="1055"/>
      <c r="IOS355" s="1054"/>
      <c r="IOT355" s="1055"/>
      <c r="IOU355" s="1054"/>
      <c r="IOV355" s="1055"/>
      <c r="IOW355" s="1054"/>
      <c r="IOX355" s="1055"/>
      <c r="IOY355" s="1054"/>
      <c r="IOZ355" s="1055"/>
      <c r="IPA355" s="1054"/>
      <c r="IPB355" s="1055"/>
      <c r="IPC355" s="1054"/>
      <c r="IPD355" s="1055"/>
      <c r="IPE355" s="1054"/>
      <c r="IPF355" s="1055"/>
      <c r="IPG355" s="1054"/>
      <c r="IPH355" s="1055"/>
      <c r="IPI355" s="1054"/>
      <c r="IPJ355" s="1055"/>
      <c r="IPK355" s="1054"/>
      <c r="IPL355" s="1055"/>
      <c r="IPM355" s="1054"/>
      <c r="IPN355" s="1055"/>
      <c r="IPO355" s="1054"/>
      <c r="IPP355" s="1055"/>
      <c r="IPQ355" s="1054"/>
      <c r="IPR355" s="1055"/>
      <c r="IPS355" s="1054"/>
      <c r="IPT355" s="1055"/>
      <c r="IPU355" s="1054"/>
      <c r="IPV355" s="1055"/>
      <c r="IPW355" s="1054"/>
      <c r="IPX355" s="1055"/>
      <c r="IPY355" s="1054"/>
      <c r="IPZ355" s="1055"/>
      <c r="IQA355" s="1054"/>
      <c r="IQB355" s="1055"/>
      <c r="IQC355" s="1054"/>
      <c r="IQD355" s="1055"/>
      <c r="IQE355" s="1054"/>
      <c r="IQF355" s="1055"/>
      <c r="IQG355" s="1054"/>
      <c r="IQH355" s="1055"/>
      <c r="IQI355" s="1054"/>
      <c r="IQJ355" s="1055"/>
      <c r="IQK355" s="1054"/>
      <c r="IQL355" s="1055"/>
      <c r="IQM355" s="1054"/>
      <c r="IQN355" s="1055"/>
      <c r="IQO355" s="1054"/>
      <c r="IQP355" s="1055"/>
      <c r="IQQ355" s="1054"/>
      <c r="IQR355" s="1055"/>
      <c r="IQS355" s="1054"/>
      <c r="IQT355" s="1055"/>
      <c r="IQU355" s="1054"/>
      <c r="IQV355" s="1055"/>
      <c r="IQW355" s="1054"/>
      <c r="IQX355" s="1055"/>
      <c r="IQY355" s="1054"/>
      <c r="IQZ355" s="1055"/>
      <c r="IRA355" s="1054"/>
      <c r="IRB355" s="1055"/>
      <c r="IRC355" s="1054"/>
      <c r="IRD355" s="1055"/>
      <c r="IRE355" s="1054"/>
      <c r="IRF355" s="1055"/>
      <c r="IRG355" s="1054"/>
      <c r="IRH355" s="1055"/>
      <c r="IRI355" s="1054"/>
      <c r="IRJ355" s="1055"/>
      <c r="IRK355" s="1054"/>
      <c r="IRL355" s="1055"/>
      <c r="IRM355" s="1054"/>
      <c r="IRN355" s="1055"/>
      <c r="IRO355" s="1054"/>
      <c r="IRP355" s="1055"/>
      <c r="IRQ355" s="1054"/>
      <c r="IRR355" s="1055"/>
      <c r="IRS355" s="1054"/>
      <c r="IRT355" s="1055"/>
      <c r="IRU355" s="1054"/>
      <c r="IRV355" s="1055"/>
      <c r="IRW355" s="1054"/>
      <c r="IRX355" s="1055"/>
      <c r="IRY355" s="1054"/>
      <c r="IRZ355" s="1055"/>
      <c r="ISA355" s="1054"/>
      <c r="ISB355" s="1055"/>
      <c r="ISC355" s="1054"/>
      <c r="ISD355" s="1055"/>
      <c r="ISE355" s="1054"/>
      <c r="ISF355" s="1055"/>
      <c r="ISG355" s="1054"/>
      <c r="ISH355" s="1055"/>
      <c r="ISI355" s="1054"/>
      <c r="ISJ355" s="1055"/>
      <c r="ISK355" s="1054"/>
      <c r="ISL355" s="1055"/>
      <c r="ISM355" s="1054"/>
      <c r="ISN355" s="1055"/>
      <c r="ISO355" s="1054"/>
      <c r="ISP355" s="1055"/>
      <c r="ISQ355" s="1054"/>
      <c r="ISR355" s="1055"/>
      <c r="ISS355" s="1054"/>
      <c r="IST355" s="1055"/>
      <c r="ISU355" s="1054"/>
      <c r="ISV355" s="1055"/>
      <c r="ISW355" s="1054"/>
      <c r="ISX355" s="1055"/>
      <c r="ISY355" s="1054"/>
      <c r="ISZ355" s="1055"/>
      <c r="ITA355" s="1054"/>
      <c r="ITB355" s="1055"/>
      <c r="ITC355" s="1054"/>
      <c r="ITD355" s="1055"/>
      <c r="ITE355" s="1054"/>
      <c r="ITF355" s="1055"/>
      <c r="ITG355" s="1054"/>
      <c r="ITH355" s="1055"/>
      <c r="ITI355" s="1054"/>
      <c r="ITJ355" s="1055"/>
      <c r="ITK355" s="1054"/>
      <c r="ITL355" s="1055"/>
      <c r="ITM355" s="1054"/>
      <c r="ITN355" s="1055"/>
      <c r="ITO355" s="1054"/>
      <c r="ITP355" s="1055"/>
      <c r="ITQ355" s="1054"/>
      <c r="ITR355" s="1055"/>
      <c r="ITS355" s="1054"/>
      <c r="ITT355" s="1055"/>
      <c r="ITU355" s="1054"/>
      <c r="ITV355" s="1055"/>
      <c r="ITW355" s="1054"/>
      <c r="ITX355" s="1055"/>
      <c r="ITY355" s="1054"/>
      <c r="ITZ355" s="1055"/>
      <c r="IUA355" s="1054"/>
      <c r="IUB355" s="1055"/>
      <c r="IUC355" s="1054"/>
      <c r="IUD355" s="1055"/>
      <c r="IUE355" s="1054"/>
      <c r="IUF355" s="1055"/>
      <c r="IUG355" s="1054"/>
      <c r="IUH355" s="1055"/>
      <c r="IUI355" s="1054"/>
      <c r="IUJ355" s="1055"/>
      <c r="IUK355" s="1054"/>
      <c r="IUL355" s="1055"/>
      <c r="IUM355" s="1054"/>
      <c r="IUN355" s="1055"/>
      <c r="IUO355" s="1054"/>
      <c r="IUP355" s="1055"/>
      <c r="IUQ355" s="1054"/>
      <c r="IUR355" s="1055"/>
      <c r="IUS355" s="1054"/>
      <c r="IUT355" s="1055"/>
      <c r="IUU355" s="1054"/>
      <c r="IUV355" s="1055"/>
      <c r="IUW355" s="1054"/>
      <c r="IUX355" s="1055"/>
      <c r="IUY355" s="1054"/>
      <c r="IUZ355" s="1055"/>
      <c r="IVA355" s="1054"/>
      <c r="IVB355" s="1055"/>
      <c r="IVC355" s="1054"/>
      <c r="IVD355" s="1055"/>
      <c r="IVE355" s="1054"/>
      <c r="IVF355" s="1055"/>
      <c r="IVG355" s="1054"/>
      <c r="IVH355" s="1055"/>
      <c r="IVI355" s="1054"/>
      <c r="IVJ355" s="1055"/>
      <c r="IVK355" s="1054"/>
      <c r="IVL355" s="1055"/>
      <c r="IVM355" s="1054"/>
      <c r="IVN355" s="1055"/>
      <c r="IVO355" s="1054"/>
      <c r="IVP355" s="1055"/>
      <c r="IVQ355" s="1054"/>
      <c r="IVR355" s="1055"/>
      <c r="IVS355" s="1054"/>
      <c r="IVT355" s="1055"/>
      <c r="IVU355" s="1054"/>
      <c r="IVV355" s="1055"/>
      <c r="IVW355" s="1054"/>
      <c r="IVX355" s="1055"/>
      <c r="IVY355" s="1054"/>
      <c r="IVZ355" s="1055"/>
      <c r="IWA355" s="1054"/>
      <c r="IWB355" s="1055"/>
      <c r="IWC355" s="1054"/>
      <c r="IWD355" s="1055"/>
      <c r="IWE355" s="1054"/>
      <c r="IWF355" s="1055"/>
      <c r="IWG355" s="1054"/>
      <c r="IWH355" s="1055"/>
      <c r="IWI355" s="1054"/>
      <c r="IWJ355" s="1055"/>
      <c r="IWK355" s="1054"/>
      <c r="IWL355" s="1055"/>
      <c r="IWM355" s="1054"/>
      <c r="IWN355" s="1055"/>
      <c r="IWO355" s="1054"/>
      <c r="IWP355" s="1055"/>
      <c r="IWQ355" s="1054"/>
      <c r="IWR355" s="1055"/>
      <c r="IWS355" s="1054"/>
      <c r="IWT355" s="1055"/>
      <c r="IWU355" s="1054"/>
      <c r="IWV355" s="1055"/>
      <c r="IWW355" s="1054"/>
      <c r="IWX355" s="1055"/>
      <c r="IWY355" s="1054"/>
      <c r="IWZ355" s="1055"/>
      <c r="IXA355" s="1054"/>
      <c r="IXB355" s="1055"/>
      <c r="IXC355" s="1054"/>
      <c r="IXD355" s="1055"/>
      <c r="IXE355" s="1054"/>
      <c r="IXF355" s="1055"/>
      <c r="IXG355" s="1054"/>
      <c r="IXH355" s="1055"/>
      <c r="IXI355" s="1054"/>
      <c r="IXJ355" s="1055"/>
      <c r="IXK355" s="1054"/>
      <c r="IXL355" s="1055"/>
      <c r="IXM355" s="1054"/>
      <c r="IXN355" s="1055"/>
      <c r="IXO355" s="1054"/>
      <c r="IXP355" s="1055"/>
      <c r="IXQ355" s="1054"/>
      <c r="IXR355" s="1055"/>
      <c r="IXS355" s="1054"/>
      <c r="IXT355" s="1055"/>
      <c r="IXU355" s="1054"/>
      <c r="IXV355" s="1055"/>
      <c r="IXW355" s="1054"/>
      <c r="IXX355" s="1055"/>
      <c r="IXY355" s="1054"/>
      <c r="IXZ355" s="1055"/>
      <c r="IYA355" s="1054"/>
      <c r="IYB355" s="1055"/>
      <c r="IYC355" s="1054"/>
      <c r="IYD355" s="1055"/>
      <c r="IYE355" s="1054"/>
      <c r="IYF355" s="1055"/>
      <c r="IYG355" s="1054"/>
      <c r="IYH355" s="1055"/>
      <c r="IYI355" s="1054"/>
      <c r="IYJ355" s="1055"/>
      <c r="IYK355" s="1054"/>
      <c r="IYL355" s="1055"/>
      <c r="IYM355" s="1054"/>
      <c r="IYN355" s="1055"/>
      <c r="IYO355" s="1054"/>
      <c r="IYP355" s="1055"/>
      <c r="IYQ355" s="1054"/>
      <c r="IYR355" s="1055"/>
      <c r="IYS355" s="1054"/>
      <c r="IYT355" s="1055"/>
      <c r="IYU355" s="1054"/>
      <c r="IYV355" s="1055"/>
      <c r="IYW355" s="1054"/>
      <c r="IYX355" s="1055"/>
      <c r="IYY355" s="1054"/>
      <c r="IYZ355" s="1055"/>
      <c r="IZA355" s="1054"/>
      <c r="IZB355" s="1055"/>
      <c r="IZC355" s="1054"/>
      <c r="IZD355" s="1055"/>
      <c r="IZE355" s="1054"/>
      <c r="IZF355" s="1055"/>
      <c r="IZG355" s="1054"/>
      <c r="IZH355" s="1055"/>
      <c r="IZI355" s="1054"/>
      <c r="IZJ355" s="1055"/>
      <c r="IZK355" s="1054"/>
      <c r="IZL355" s="1055"/>
      <c r="IZM355" s="1054"/>
      <c r="IZN355" s="1055"/>
      <c r="IZO355" s="1054"/>
      <c r="IZP355" s="1055"/>
      <c r="IZQ355" s="1054"/>
      <c r="IZR355" s="1055"/>
      <c r="IZS355" s="1054"/>
      <c r="IZT355" s="1055"/>
      <c r="IZU355" s="1054"/>
      <c r="IZV355" s="1055"/>
      <c r="IZW355" s="1054"/>
      <c r="IZX355" s="1055"/>
      <c r="IZY355" s="1054"/>
      <c r="IZZ355" s="1055"/>
      <c r="JAA355" s="1054"/>
      <c r="JAB355" s="1055"/>
      <c r="JAC355" s="1054"/>
      <c r="JAD355" s="1055"/>
      <c r="JAE355" s="1054"/>
      <c r="JAF355" s="1055"/>
      <c r="JAG355" s="1054"/>
      <c r="JAH355" s="1055"/>
      <c r="JAI355" s="1054"/>
      <c r="JAJ355" s="1055"/>
      <c r="JAK355" s="1054"/>
      <c r="JAL355" s="1055"/>
      <c r="JAM355" s="1054"/>
      <c r="JAN355" s="1055"/>
      <c r="JAO355" s="1054"/>
      <c r="JAP355" s="1055"/>
      <c r="JAQ355" s="1054"/>
      <c r="JAR355" s="1055"/>
      <c r="JAS355" s="1054"/>
      <c r="JAT355" s="1055"/>
      <c r="JAU355" s="1054"/>
      <c r="JAV355" s="1055"/>
      <c r="JAW355" s="1054"/>
      <c r="JAX355" s="1055"/>
      <c r="JAY355" s="1054"/>
      <c r="JAZ355" s="1055"/>
      <c r="JBA355" s="1054"/>
      <c r="JBB355" s="1055"/>
      <c r="JBC355" s="1054"/>
      <c r="JBD355" s="1055"/>
      <c r="JBE355" s="1054"/>
      <c r="JBF355" s="1055"/>
      <c r="JBG355" s="1054"/>
      <c r="JBH355" s="1055"/>
      <c r="JBI355" s="1054"/>
      <c r="JBJ355" s="1055"/>
      <c r="JBK355" s="1054"/>
      <c r="JBL355" s="1055"/>
      <c r="JBM355" s="1054"/>
      <c r="JBN355" s="1055"/>
      <c r="JBO355" s="1054"/>
      <c r="JBP355" s="1055"/>
      <c r="JBQ355" s="1054"/>
      <c r="JBR355" s="1055"/>
      <c r="JBS355" s="1054"/>
      <c r="JBT355" s="1055"/>
      <c r="JBU355" s="1054"/>
      <c r="JBV355" s="1055"/>
      <c r="JBW355" s="1054"/>
      <c r="JBX355" s="1055"/>
      <c r="JBY355" s="1054"/>
      <c r="JBZ355" s="1055"/>
      <c r="JCA355" s="1054"/>
      <c r="JCB355" s="1055"/>
      <c r="JCC355" s="1054"/>
      <c r="JCD355" s="1055"/>
      <c r="JCE355" s="1054"/>
      <c r="JCF355" s="1055"/>
      <c r="JCG355" s="1054"/>
      <c r="JCH355" s="1055"/>
      <c r="JCI355" s="1054"/>
      <c r="JCJ355" s="1055"/>
      <c r="JCK355" s="1054"/>
      <c r="JCL355" s="1055"/>
      <c r="JCM355" s="1054"/>
      <c r="JCN355" s="1055"/>
      <c r="JCO355" s="1054"/>
      <c r="JCP355" s="1055"/>
      <c r="JCQ355" s="1054"/>
      <c r="JCR355" s="1055"/>
      <c r="JCS355" s="1054"/>
      <c r="JCT355" s="1055"/>
      <c r="JCU355" s="1054"/>
      <c r="JCV355" s="1055"/>
      <c r="JCW355" s="1054"/>
      <c r="JCX355" s="1055"/>
      <c r="JCY355" s="1054"/>
      <c r="JCZ355" s="1055"/>
      <c r="JDA355" s="1054"/>
      <c r="JDB355" s="1055"/>
      <c r="JDC355" s="1054"/>
      <c r="JDD355" s="1055"/>
      <c r="JDE355" s="1054"/>
      <c r="JDF355" s="1055"/>
      <c r="JDG355" s="1054"/>
      <c r="JDH355" s="1055"/>
      <c r="JDI355" s="1054"/>
      <c r="JDJ355" s="1055"/>
      <c r="JDK355" s="1054"/>
      <c r="JDL355" s="1055"/>
      <c r="JDM355" s="1054"/>
      <c r="JDN355" s="1055"/>
      <c r="JDO355" s="1054"/>
      <c r="JDP355" s="1055"/>
      <c r="JDQ355" s="1054"/>
      <c r="JDR355" s="1055"/>
      <c r="JDS355" s="1054"/>
      <c r="JDT355" s="1055"/>
      <c r="JDU355" s="1054"/>
      <c r="JDV355" s="1055"/>
      <c r="JDW355" s="1054"/>
      <c r="JDX355" s="1055"/>
      <c r="JDY355" s="1054"/>
      <c r="JDZ355" s="1055"/>
      <c r="JEA355" s="1054"/>
      <c r="JEB355" s="1055"/>
      <c r="JEC355" s="1054"/>
      <c r="JED355" s="1055"/>
      <c r="JEE355" s="1054"/>
      <c r="JEF355" s="1055"/>
      <c r="JEG355" s="1054"/>
      <c r="JEH355" s="1055"/>
      <c r="JEI355" s="1054"/>
      <c r="JEJ355" s="1055"/>
      <c r="JEK355" s="1054"/>
      <c r="JEL355" s="1055"/>
      <c r="JEM355" s="1054"/>
      <c r="JEN355" s="1055"/>
      <c r="JEO355" s="1054"/>
      <c r="JEP355" s="1055"/>
      <c r="JEQ355" s="1054"/>
      <c r="JER355" s="1055"/>
      <c r="JES355" s="1054"/>
      <c r="JET355" s="1055"/>
      <c r="JEU355" s="1054"/>
      <c r="JEV355" s="1055"/>
      <c r="JEW355" s="1054"/>
      <c r="JEX355" s="1055"/>
      <c r="JEY355" s="1054"/>
      <c r="JEZ355" s="1055"/>
      <c r="JFA355" s="1054"/>
      <c r="JFB355" s="1055"/>
      <c r="JFC355" s="1054"/>
      <c r="JFD355" s="1055"/>
      <c r="JFE355" s="1054"/>
      <c r="JFF355" s="1055"/>
      <c r="JFG355" s="1054"/>
      <c r="JFH355" s="1055"/>
      <c r="JFI355" s="1054"/>
      <c r="JFJ355" s="1055"/>
      <c r="JFK355" s="1054"/>
      <c r="JFL355" s="1055"/>
      <c r="JFM355" s="1054"/>
      <c r="JFN355" s="1055"/>
      <c r="JFO355" s="1054"/>
      <c r="JFP355" s="1055"/>
      <c r="JFQ355" s="1054"/>
      <c r="JFR355" s="1055"/>
      <c r="JFS355" s="1054"/>
      <c r="JFT355" s="1055"/>
      <c r="JFU355" s="1054"/>
      <c r="JFV355" s="1055"/>
      <c r="JFW355" s="1054"/>
      <c r="JFX355" s="1055"/>
      <c r="JFY355" s="1054"/>
      <c r="JFZ355" s="1055"/>
      <c r="JGA355" s="1054"/>
      <c r="JGB355" s="1055"/>
      <c r="JGC355" s="1054"/>
      <c r="JGD355" s="1055"/>
      <c r="JGE355" s="1054"/>
      <c r="JGF355" s="1055"/>
      <c r="JGG355" s="1054"/>
      <c r="JGH355" s="1055"/>
      <c r="JGI355" s="1054"/>
      <c r="JGJ355" s="1055"/>
      <c r="JGK355" s="1054"/>
      <c r="JGL355" s="1055"/>
      <c r="JGM355" s="1054"/>
      <c r="JGN355" s="1055"/>
      <c r="JGO355" s="1054"/>
      <c r="JGP355" s="1055"/>
      <c r="JGQ355" s="1054"/>
      <c r="JGR355" s="1055"/>
      <c r="JGS355" s="1054"/>
      <c r="JGT355" s="1055"/>
      <c r="JGU355" s="1054"/>
      <c r="JGV355" s="1055"/>
      <c r="JGW355" s="1054"/>
      <c r="JGX355" s="1055"/>
      <c r="JGY355" s="1054"/>
      <c r="JGZ355" s="1055"/>
      <c r="JHA355" s="1054"/>
      <c r="JHB355" s="1055"/>
      <c r="JHC355" s="1054"/>
      <c r="JHD355" s="1055"/>
      <c r="JHE355" s="1054"/>
      <c r="JHF355" s="1055"/>
      <c r="JHG355" s="1054"/>
      <c r="JHH355" s="1055"/>
      <c r="JHI355" s="1054"/>
      <c r="JHJ355" s="1055"/>
      <c r="JHK355" s="1054"/>
      <c r="JHL355" s="1055"/>
      <c r="JHM355" s="1054"/>
      <c r="JHN355" s="1055"/>
      <c r="JHO355" s="1054"/>
      <c r="JHP355" s="1055"/>
      <c r="JHQ355" s="1054"/>
      <c r="JHR355" s="1055"/>
      <c r="JHS355" s="1054"/>
      <c r="JHT355" s="1055"/>
      <c r="JHU355" s="1054"/>
      <c r="JHV355" s="1055"/>
      <c r="JHW355" s="1054"/>
      <c r="JHX355" s="1055"/>
      <c r="JHY355" s="1054"/>
      <c r="JHZ355" s="1055"/>
      <c r="JIA355" s="1054"/>
      <c r="JIB355" s="1055"/>
      <c r="JIC355" s="1054"/>
      <c r="JID355" s="1055"/>
      <c r="JIE355" s="1054"/>
      <c r="JIF355" s="1055"/>
      <c r="JIG355" s="1054"/>
      <c r="JIH355" s="1055"/>
      <c r="JII355" s="1054"/>
      <c r="JIJ355" s="1055"/>
      <c r="JIK355" s="1054"/>
      <c r="JIL355" s="1055"/>
      <c r="JIM355" s="1054"/>
      <c r="JIN355" s="1055"/>
      <c r="JIO355" s="1054"/>
      <c r="JIP355" s="1055"/>
      <c r="JIQ355" s="1054"/>
      <c r="JIR355" s="1055"/>
      <c r="JIS355" s="1054"/>
      <c r="JIT355" s="1055"/>
      <c r="JIU355" s="1054"/>
      <c r="JIV355" s="1055"/>
      <c r="JIW355" s="1054"/>
      <c r="JIX355" s="1055"/>
      <c r="JIY355" s="1054"/>
      <c r="JIZ355" s="1055"/>
      <c r="JJA355" s="1054"/>
      <c r="JJB355" s="1055"/>
      <c r="JJC355" s="1054"/>
      <c r="JJD355" s="1055"/>
      <c r="JJE355" s="1054"/>
      <c r="JJF355" s="1055"/>
      <c r="JJG355" s="1054"/>
      <c r="JJH355" s="1055"/>
      <c r="JJI355" s="1054"/>
      <c r="JJJ355" s="1055"/>
      <c r="JJK355" s="1054"/>
      <c r="JJL355" s="1055"/>
      <c r="JJM355" s="1054"/>
      <c r="JJN355" s="1055"/>
      <c r="JJO355" s="1054"/>
      <c r="JJP355" s="1055"/>
      <c r="JJQ355" s="1054"/>
      <c r="JJR355" s="1055"/>
      <c r="JJS355" s="1054"/>
      <c r="JJT355" s="1055"/>
      <c r="JJU355" s="1054"/>
      <c r="JJV355" s="1055"/>
      <c r="JJW355" s="1054"/>
      <c r="JJX355" s="1055"/>
      <c r="JJY355" s="1054"/>
      <c r="JJZ355" s="1055"/>
      <c r="JKA355" s="1054"/>
      <c r="JKB355" s="1055"/>
      <c r="JKC355" s="1054"/>
      <c r="JKD355" s="1055"/>
      <c r="JKE355" s="1054"/>
      <c r="JKF355" s="1055"/>
      <c r="JKG355" s="1054"/>
      <c r="JKH355" s="1055"/>
      <c r="JKI355" s="1054"/>
      <c r="JKJ355" s="1055"/>
      <c r="JKK355" s="1054"/>
      <c r="JKL355" s="1055"/>
      <c r="JKM355" s="1054"/>
      <c r="JKN355" s="1055"/>
      <c r="JKO355" s="1054"/>
      <c r="JKP355" s="1055"/>
      <c r="JKQ355" s="1054"/>
      <c r="JKR355" s="1055"/>
      <c r="JKS355" s="1054"/>
      <c r="JKT355" s="1055"/>
      <c r="JKU355" s="1054"/>
      <c r="JKV355" s="1055"/>
      <c r="JKW355" s="1054"/>
      <c r="JKX355" s="1055"/>
      <c r="JKY355" s="1054"/>
      <c r="JKZ355" s="1055"/>
      <c r="JLA355" s="1054"/>
      <c r="JLB355" s="1055"/>
      <c r="JLC355" s="1054"/>
      <c r="JLD355" s="1055"/>
      <c r="JLE355" s="1054"/>
      <c r="JLF355" s="1055"/>
      <c r="JLG355" s="1054"/>
      <c r="JLH355" s="1055"/>
      <c r="JLI355" s="1054"/>
      <c r="JLJ355" s="1055"/>
      <c r="JLK355" s="1054"/>
      <c r="JLL355" s="1055"/>
      <c r="JLM355" s="1054"/>
      <c r="JLN355" s="1055"/>
      <c r="JLO355" s="1054"/>
      <c r="JLP355" s="1055"/>
      <c r="JLQ355" s="1054"/>
      <c r="JLR355" s="1055"/>
      <c r="JLS355" s="1054"/>
      <c r="JLT355" s="1055"/>
      <c r="JLU355" s="1054"/>
      <c r="JLV355" s="1055"/>
      <c r="JLW355" s="1054"/>
      <c r="JLX355" s="1055"/>
      <c r="JLY355" s="1054"/>
      <c r="JLZ355" s="1055"/>
      <c r="JMA355" s="1054"/>
      <c r="JMB355" s="1055"/>
      <c r="JMC355" s="1054"/>
      <c r="JMD355" s="1055"/>
      <c r="JME355" s="1054"/>
      <c r="JMF355" s="1055"/>
      <c r="JMG355" s="1054"/>
      <c r="JMH355" s="1055"/>
      <c r="JMI355" s="1054"/>
      <c r="JMJ355" s="1055"/>
      <c r="JMK355" s="1054"/>
      <c r="JML355" s="1055"/>
      <c r="JMM355" s="1054"/>
      <c r="JMN355" s="1055"/>
      <c r="JMO355" s="1054"/>
      <c r="JMP355" s="1055"/>
      <c r="JMQ355" s="1054"/>
      <c r="JMR355" s="1055"/>
      <c r="JMS355" s="1054"/>
      <c r="JMT355" s="1055"/>
      <c r="JMU355" s="1054"/>
      <c r="JMV355" s="1055"/>
      <c r="JMW355" s="1054"/>
      <c r="JMX355" s="1055"/>
      <c r="JMY355" s="1054"/>
      <c r="JMZ355" s="1055"/>
      <c r="JNA355" s="1054"/>
      <c r="JNB355" s="1055"/>
      <c r="JNC355" s="1054"/>
      <c r="JND355" s="1055"/>
      <c r="JNE355" s="1054"/>
      <c r="JNF355" s="1055"/>
      <c r="JNG355" s="1054"/>
      <c r="JNH355" s="1055"/>
      <c r="JNI355" s="1054"/>
      <c r="JNJ355" s="1055"/>
      <c r="JNK355" s="1054"/>
      <c r="JNL355" s="1055"/>
      <c r="JNM355" s="1054"/>
      <c r="JNN355" s="1055"/>
      <c r="JNO355" s="1054"/>
      <c r="JNP355" s="1055"/>
      <c r="JNQ355" s="1054"/>
      <c r="JNR355" s="1055"/>
      <c r="JNS355" s="1054"/>
      <c r="JNT355" s="1055"/>
      <c r="JNU355" s="1054"/>
      <c r="JNV355" s="1055"/>
      <c r="JNW355" s="1054"/>
      <c r="JNX355" s="1055"/>
      <c r="JNY355" s="1054"/>
      <c r="JNZ355" s="1055"/>
      <c r="JOA355" s="1054"/>
      <c r="JOB355" s="1055"/>
      <c r="JOC355" s="1054"/>
      <c r="JOD355" s="1055"/>
      <c r="JOE355" s="1054"/>
      <c r="JOF355" s="1055"/>
      <c r="JOG355" s="1054"/>
      <c r="JOH355" s="1055"/>
      <c r="JOI355" s="1054"/>
      <c r="JOJ355" s="1055"/>
      <c r="JOK355" s="1054"/>
      <c r="JOL355" s="1055"/>
      <c r="JOM355" s="1054"/>
      <c r="JON355" s="1055"/>
      <c r="JOO355" s="1054"/>
      <c r="JOP355" s="1055"/>
      <c r="JOQ355" s="1054"/>
      <c r="JOR355" s="1055"/>
      <c r="JOS355" s="1054"/>
      <c r="JOT355" s="1055"/>
      <c r="JOU355" s="1054"/>
      <c r="JOV355" s="1055"/>
      <c r="JOW355" s="1054"/>
      <c r="JOX355" s="1055"/>
      <c r="JOY355" s="1054"/>
      <c r="JOZ355" s="1055"/>
      <c r="JPA355" s="1054"/>
      <c r="JPB355" s="1055"/>
      <c r="JPC355" s="1054"/>
      <c r="JPD355" s="1055"/>
      <c r="JPE355" s="1054"/>
      <c r="JPF355" s="1055"/>
      <c r="JPG355" s="1054"/>
      <c r="JPH355" s="1055"/>
      <c r="JPI355" s="1054"/>
      <c r="JPJ355" s="1055"/>
      <c r="JPK355" s="1054"/>
      <c r="JPL355" s="1055"/>
      <c r="JPM355" s="1054"/>
      <c r="JPN355" s="1055"/>
      <c r="JPO355" s="1054"/>
      <c r="JPP355" s="1055"/>
      <c r="JPQ355" s="1054"/>
      <c r="JPR355" s="1055"/>
      <c r="JPS355" s="1054"/>
      <c r="JPT355" s="1055"/>
      <c r="JPU355" s="1054"/>
      <c r="JPV355" s="1055"/>
      <c r="JPW355" s="1054"/>
      <c r="JPX355" s="1055"/>
      <c r="JPY355" s="1054"/>
      <c r="JPZ355" s="1055"/>
      <c r="JQA355" s="1054"/>
      <c r="JQB355" s="1055"/>
      <c r="JQC355" s="1054"/>
      <c r="JQD355" s="1055"/>
      <c r="JQE355" s="1054"/>
      <c r="JQF355" s="1055"/>
      <c r="JQG355" s="1054"/>
      <c r="JQH355" s="1055"/>
      <c r="JQI355" s="1054"/>
      <c r="JQJ355" s="1055"/>
      <c r="JQK355" s="1054"/>
      <c r="JQL355" s="1055"/>
      <c r="JQM355" s="1054"/>
      <c r="JQN355" s="1055"/>
      <c r="JQO355" s="1054"/>
      <c r="JQP355" s="1055"/>
      <c r="JQQ355" s="1054"/>
      <c r="JQR355" s="1055"/>
      <c r="JQS355" s="1054"/>
      <c r="JQT355" s="1055"/>
      <c r="JQU355" s="1054"/>
      <c r="JQV355" s="1055"/>
      <c r="JQW355" s="1054"/>
      <c r="JQX355" s="1055"/>
      <c r="JQY355" s="1054"/>
      <c r="JQZ355" s="1055"/>
      <c r="JRA355" s="1054"/>
      <c r="JRB355" s="1055"/>
      <c r="JRC355" s="1054"/>
      <c r="JRD355" s="1055"/>
      <c r="JRE355" s="1054"/>
      <c r="JRF355" s="1055"/>
      <c r="JRG355" s="1054"/>
      <c r="JRH355" s="1055"/>
      <c r="JRI355" s="1054"/>
      <c r="JRJ355" s="1055"/>
      <c r="JRK355" s="1054"/>
      <c r="JRL355" s="1055"/>
      <c r="JRM355" s="1054"/>
      <c r="JRN355" s="1055"/>
      <c r="JRO355" s="1054"/>
      <c r="JRP355" s="1055"/>
      <c r="JRQ355" s="1054"/>
      <c r="JRR355" s="1055"/>
      <c r="JRS355" s="1054"/>
      <c r="JRT355" s="1055"/>
      <c r="JRU355" s="1054"/>
      <c r="JRV355" s="1055"/>
      <c r="JRW355" s="1054"/>
      <c r="JRX355" s="1055"/>
      <c r="JRY355" s="1054"/>
      <c r="JRZ355" s="1055"/>
      <c r="JSA355" s="1054"/>
      <c r="JSB355" s="1055"/>
      <c r="JSC355" s="1054"/>
      <c r="JSD355" s="1055"/>
      <c r="JSE355" s="1054"/>
      <c r="JSF355" s="1055"/>
      <c r="JSG355" s="1054"/>
      <c r="JSH355" s="1055"/>
      <c r="JSI355" s="1054"/>
      <c r="JSJ355" s="1055"/>
      <c r="JSK355" s="1054"/>
      <c r="JSL355" s="1055"/>
      <c r="JSM355" s="1054"/>
      <c r="JSN355" s="1055"/>
      <c r="JSO355" s="1054"/>
      <c r="JSP355" s="1055"/>
      <c r="JSQ355" s="1054"/>
      <c r="JSR355" s="1055"/>
      <c r="JSS355" s="1054"/>
      <c r="JST355" s="1055"/>
      <c r="JSU355" s="1054"/>
      <c r="JSV355" s="1055"/>
      <c r="JSW355" s="1054"/>
      <c r="JSX355" s="1055"/>
      <c r="JSY355" s="1054"/>
      <c r="JSZ355" s="1055"/>
      <c r="JTA355" s="1054"/>
      <c r="JTB355" s="1055"/>
      <c r="JTC355" s="1054"/>
      <c r="JTD355" s="1055"/>
      <c r="JTE355" s="1054"/>
      <c r="JTF355" s="1055"/>
      <c r="JTG355" s="1054"/>
      <c r="JTH355" s="1055"/>
      <c r="JTI355" s="1054"/>
      <c r="JTJ355" s="1055"/>
      <c r="JTK355" s="1054"/>
      <c r="JTL355" s="1055"/>
      <c r="JTM355" s="1054"/>
      <c r="JTN355" s="1055"/>
      <c r="JTO355" s="1054"/>
      <c r="JTP355" s="1055"/>
      <c r="JTQ355" s="1054"/>
      <c r="JTR355" s="1055"/>
      <c r="JTS355" s="1054"/>
      <c r="JTT355" s="1055"/>
      <c r="JTU355" s="1054"/>
      <c r="JTV355" s="1055"/>
      <c r="JTW355" s="1054"/>
      <c r="JTX355" s="1055"/>
      <c r="JTY355" s="1054"/>
      <c r="JTZ355" s="1055"/>
      <c r="JUA355" s="1054"/>
      <c r="JUB355" s="1055"/>
      <c r="JUC355" s="1054"/>
      <c r="JUD355" s="1055"/>
      <c r="JUE355" s="1054"/>
      <c r="JUF355" s="1055"/>
      <c r="JUG355" s="1054"/>
      <c r="JUH355" s="1055"/>
      <c r="JUI355" s="1054"/>
      <c r="JUJ355" s="1055"/>
      <c r="JUK355" s="1054"/>
      <c r="JUL355" s="1055"/>
      <c r="JUM355" s="1054"/>
      <c r="JUN355" s="1055"/>
      <c r="JUO355" s="1054"/>
      <c r="JUP355" s="1055"/>
      <c r="JUQ355" s="1054"/>
      <c r="JUR355" s="1055"/>
      <c r="JUS355" s="1054"/>
      <c r="JUT355" s="1055"/>
      <c r="JUU355" s="1054"/>
      <c r="JUV355" s="1055"/>
      <c r="JUW355" s="1054"/>
      <c r="JUX355" s="1055"/>
      <c r="JUY355" s="1054"/>
      <c r="JUZ355" s="1055"/>
      <c r="JVA355" s="1054"/>
      <c r="JVB355" s="1055"/>
      <c r="JVC355" s="1054"/>
      <c r="JVD355" s="1055"/>
      <c r="JVE355" s="1054"/>
      <c r="JVF355" s="1055"/>
      <c r="JVG355" s="1054"/>
      <c r="JVH355" s="1055"/>
      <c r="JVI355" s="1054"/>
      <c r="JVJ355" s="1055"/>
      <c r="JVK355" s="1054"/>
      <c r="JVL355" s="1055"/>
      <c r="JVM355" s="1054"/>
      <c r="JVN355" s="1055"/>
      <c r="JVO355" s="1054"/>
      <c r="JVP355" s="1055"/>
      <c r="JVQ355" s="1054"/>
      <c r="JVR355" s="1055"/>
      <c r="JVS355" s="1054"/>
      <c r="JVT355" s="1055"/>
      <c r="JVU355" s="1054"/>
      <c r="JVV355" s="1055"/>
      <c r="JVW355" s="1054"/>
      <c r="JVX355" s="1055"/>
      <c r="JVY355" s="1054"/>
      <c r="JVZ355" s="1055"/>
      <c r="JWA355" s="1054"/>
      <c r="JWB355" s="1055"/>
      <c r="JWC355" s="1054"/>
      <c r="JWD355" s="1055"/>
      <c r="JWE355" s="1054"/>
      <c r="JWF355" s="1055"/>
      <c r="JWG355" s="1054"/>
      <c r="JWH355" s="1055"/>
      <c r="JWI355" s="1054"/>
      <c r="JWJ355" s="1055"/>
      <c r="JWK355" s="1054"/>
      <c r="JWL355" s="1055"/>
      <c r="JWM355" s="1054"/>
      <c r="JWN355" s="1055"/>
      <c r="JWO355" s="1054"/>
      <c r="JWP355" s="1055"/>
      <c r="JWQ355" s="1054"/>
      <c r="JWR355" s="1055"/>
      <c r="JWS355" s="1054"/>
      <c r="JWT355" s="1055"/>
      <c r="JWU355" s="1054"/>
      <c r="JWV355" s="1055"/>
      <c r="JWW355" s="1054"/>
      <c r="JWX355" s="1055"/>
      <c r="JWY355" s="1054"/>
      <c r="JWZ355" s="1055"/>
      <c r="JXA355" s="1054"/>
      <c r="JXB355" s="1055"/>
      <c r="JXC355" s="1054"/>
      <c r="JXD355" s="1055"/>
      <c r="JXE355" s="1054"/>
      <c r="JXF355" s="1055"/>
      <c r="JXG355" s="1054"/>
      <c r="JXH355" s="1055"/>
      <c r="JXI355" s="1054"/>
      <c r="JXJ355" s="1055"/>
      <c r="JXK355" s="1054"/>
      <c r="JXL355" s="1055"/>
      <c r="JXM355" s="1054"/>
      <c r="JXN355" s="1055"/>
      <c r="JXO355" s="1054"/>
      <c r="JXP355" s="1055"/>
      <c r="JXQ355" s="1054"/>
      <c r="JXR355" s="1055"/>
      <c r="JXS355" s="1054"/>
      <c r="JXT355" s="1055"/>
      <c r="JXU355" s="1054"/>
      <c r="JXV355" s="1055"/>
      <c r="JXW355" s="1054"/>
      <c r="JXX355" s="1055"/>
      <c r="JXY355" s="1054"/>
      <c r="JXZ355" s="1055"/>
      <c r="JYA355" s="1054"/>
      <c r="JYB355" s="1055"/>
      <c r="JYC355" s="1054"/>
      <c r="JYD355" s="1055"/>
      <c r="JYE355" s="1054"/>
      <c r="JYF355" s="1055"/>
      <c r="JYG355" s="1054"/>
      <c r="JYH355" s="1055"/>
      <c r="JYI355" s="1054"/>
      <c r="JYJ355" s="1055"/>
      <c r="JYK355" s="1054"/>
      <c r="JYL355" s="1055"/>
      <c r="JYM355" s="1054"/>
      <c r="JYN355" s="1055"/>
      <c r="JYO355" s="1054"/>
      <c r="JYP355" s="1055"/>
      <c r="JYQ355" s="1054"/>
      <c r="JYR355" s="1055"/>
      <c r="JYS355" s="1054"/>
      <c r="JYT355" s="1055"/>
      <c r="JYU355" s="1054"/>
      <c r="JYV355" s="1055"/>
      <c r="JYW355" s="1054"/>
      <c r="JYX355" s="1055"/>
      <c r="JYY355" s="1054"/>
      <c r="JYZ355" s="1055"/>
      <c r="JZA355" s="1054"/>
      <c r="JZB355" s="1055"/>
      <c r="JZC355" s="1054"/>
      <c r="JZD355" s="1055"/>
      <c r="JZE355" s="1054"/>
      <c r="JZF355" s="1055"/>
      <c r="JZG355" s="1054"/>
      <c r="JZH355" s="1055"/>
      <c r="JZI355" s="1054"/>
      <c r="JZJ355" s="1055"/>
      <c r="JZK355" s="1054"/>
      <c r="JZL355" s="1055"/>
      <c r="JZM355" s="1054"/>
      <c r="JZN355" s="1055"/>
      <c r="JZO355" s="1054"/>
      <c r="JZP355" s="1055"/>
      <c r="JZQ355" s="1054"/>
      <c r="JZR355" s="1055"/>
      <c r="JZS355" s="1054"/>
      <c r="JZT355" s="1055"/>
      <c r="JZU355" s="1054"/>
      <c r="JZV355" s="1055"/>
      <c r="JZW355" s="1054"/>
      <c r="JZX355" s="1055"/>
      <c r="JZY355" s="1054"/>
      <c r="JZZ355" s="1055"/>
      <c r="KAA355" s="1054"/>
      <c r="KAB355" s="1055"/>
      <c r="KAC355" s="1054"/>
      <c r="KAD355" s="1055"/>
      <c r="KAE355" s="1054"/>
      <c r="KAF355" s="1055"/>
      <c r="KAG355" s="1054"/>
      <c r="KAH355" s="1055"/>
      <c r="KAI355" s="1054"/>
      <c r="KAJ355" s="1055"/>
      <c r="KAK355" s="1054"/>
      <c r="KAL355" s="1055"/>
      <c r="KAM355" s="1054"/>
      <c r="KAN355" s="1055"/>
      <c r="KAO355" s="1054"/>
      <c r="KAP355" s="1055"/>
      <c r="KAQ355" s="1054"/>
      <c r="KAR355" s="1055"/>
      <c r="KAS355" s="1054"/>
      <c r="KAT355" s="1055"/>
      <c r="KAU355" s="1054"/>
      <c r="KAV355" s="1055"/>
      <c r="KAW355" s="1054"/>
      <c r="KAX355" s="1055"/>
      <c r="KAY355" s="1054"/>
      <c r="KAZ355" s="1055"/>
      <c r="KBA355" s="1054"/>
      <c r="KBB355" s="1055"/>
      <c r="KBC355" s="1054"/>
      <c r="KBD355" s="1055"/>
      <c r="KBE355" s="1054"/>
      <c r="KBF355" s="1055"/>
      <c r="KBG355" s="1054"/>
      <c r="KBH355" s="1055"/>
      <c r="KBI355" s="1054"/>
      <c r="KBJ355" s="1055"/>
      <c r="KBK355" s="1054"/>
      <c r="KBL355" s="1055"/>
      <c r="KBM355" s="1054"/>
      <c r="KBN355" s="1055"/>
      <c r="KBO355" s="1054"/>
      <c r="KBP355" s="1055"/>
      <c r="KBQ355" s="1054"/>
      <c r="KBR355" s="1055"/>
      <c r="KBS355" s="1054"/>
      <c r="KBT355" s="1055"/>
      <c r="KBU355" s="1054"/>
      <c r="KBV355" s="1055"/>
      <c r="KBW355" s="1054"/>
      <c r="KBX355" s="1055"/>
      <c r="KBY355" s="1054"/>
      <c r="KBZ355" s="1055"/>
      <c r="KCA355" s="1054"/>
      <c r="KCB355" s="1055"/>
      <c r="KCC355" s="1054"/>
      <c r="KCD355" s="1055"/>
      <c r="KCE355" s="1054"/>
      <c r="KCF355" s="1055"/>
      <c r="KCG355" s="1054"/>
      <c r="KCH355" s="1055"/>
      <c r="KCI355" s="1054"/>
      <c r="KCJ355" s="1055"/>
      <c r="KCK355" s="1054"/>
      <c r="KCL355" s="1055"/>
      <c r="KCM355" s="1054"/>
      <c r="KCN355" s="1055"/>
      <c r="KCO355" s="1054"/>
      <c r="KCP355" s="1055"/>
      <c r="KCQ355" s="1054"/>
      <c r="KCR355" s="1055"/>
      <c r="KCS355" s="1054"/>
      <c r="KCT355" s="1055"/>
      <c r="KCU355" s="1054"/>
      <c r="KCV355" s="1055"/>
      <c r="KCW355" s="1054"/>
      <c r="KCX355" s="1055"/>
      <c r="KCY355" s="1054"/>
      <c r="KCZ355" s="1055"/>
      <c r="KDA355" s="1054"/>
      <c r="KDB355" s="1055"/>
      <c r="KDC355" s="1054"/>
      <c r="KDD355" s="1055"/>
      <c r="KDE355" s="1054"/>
      <c r="KDF355" s="1055"/>
      <c r="KDG355" s="1054"/>
      <c r="KDH355" s="1055"/>
      <c r="KDI355" s="1054"/>
      <c r="KDJ355" s="1055"/>
      <c r="KDK355" s="1054"/>
      <c r="KDL355" s="1055"/>
      <c r="KDM355" s="1054"/>
      <c r="KDN355" s="1055"/>
      <c r="KDO355" s="1054"/>
      <c r="KDP355" s="1055"/>
      <c r="KDQ355" s="1054"/>
      <c r="KDR355" s="1055"/>
      <c r="KDS355" s="1054"/>
      <c r="KDT355" s="1055"/>
      <c r="KDU355" s="1054"/>
      <c r="KDV355" s="1055"/>
      <c r="KDW355" s="1054"/>
      <c r="KDX355" s="1055"/>
      <c r="KDY355" s="1054"/>
      <c r="KDZ355" s="1055"/>
      <c r="KEA355" s="1054"/>
      <c r="KEB355" s="1055"/>
      <c r="KEC355" s="1054"/>
      <c r="KED355" s="1055"/>
      <c r="KEE355" s="1054"/>
      <c r="KEF355" s="1055"/>
      <c r="KEG355" s="1054"/>
      <c r="KEH355" s="1055"/>
      <c r="KEI355" s="1054"/>
      <c r="KEJ355" s="1055"/>
      <c r="KEK355" s="1054"/>
      <c r="KEL355" s="1055"/>
      <c r="KEM355" s="1054"/>
      <c r="KEN355" s="1055"/>
      <c r="KEO355" s="1054"/>
      <c r="KEP355" s="1055"/>
      <c r="KEQ355" s="1054"/>
      <c r="KER355" s="1055"/>
      <c r="KES355" s="1054"/>
      <c r="KET355" s="1055"/>
      <c r="KEU355" s="1054"/>
      <c r="KEV355" s="1055"/>
      <c r="KEW355" s="1054"/>
      <c r="KEX355" s="1055"/>
      <c r="KEY355" s="1054"/>
      <c r="KEZ355" s="1055"/>
      <c r="KFA355" s="1054"/>
      <c r="KFB355" s="1055"/>
      <c r="KFC355" s="1054"/>
      <c r="KFD355" s="1055"/>
      <c r="KFE355" s="1054"/>
      <c r="KFF355" s="1055"/>
      <c r="KFG355" s="1054"/>
      <c r="KFH355" s="1055"/>
      <c r="KFI355" s="1054"/>
      <c r="KFJ355" s="1055"/>
      <c r="KFK355" s="1054"/>
      <c r="KFL355" s="1055"/>
      <c r="KFM355" s="1054"/>
      <c r="KFN355" s="1055"/>
      <c r="KFO355" s="1054"/>
      <c r="KFP355" s="1055"/>
      <c r="KFQ355" s="1054"/>
      <c r="KFR355" s="1055"/>
      <c r="KFS355" s="1054"/>
      <c r="KFT355" s="1055"/>
      <c r="KFU355" s="1054"/>
      <c r="KFV355" s="1055"/>
      <c r="KFW355" s="1054"/>
      <c r="KFX355" s="1055"/>
      <c r="KFY355" s="1054"/>
      <c r="KFZ355" s="1055"/>
      <c r="KGA355" s="1054"/>
      <c r="KGB355" s="1055"/>
      <c r="KGC355" s="1054"/>
      <c r="KGD355" s="1055"/>
      <c r="KGE355" s="1054"/>
      <c r="KGF355" s="1055"/>
      <c r="KGG355" s="1054"/>
      <c r="KGH355" s="1055"/>
      <c r="KGI355" s="1054"/>
      <c r="KGJ355" s="1055"/>
      <c r="KGK355" s="1054"/>
      <c r="KGL355" s="1055"/>
      <c r="KGM355" s="1054"/>
      <c r="KGN355" s="1055"/>
      <c r="KGO355" s="1054"/>
      <c r="KGP355" s="1055"/>
      <c r="KGQ355" s="1054"/>
      <c r="KGR355" s="1055"/>
      <c r="KGS355" s="1054"/>
      <c r="KGT355" s="1055"/>
      <c r="KGU355" s="1054"/>
      <c r="KGV355" s="1055"/>
      <c r="KGW355" s="1054"/>
      <c r="KGX355" s="1055"/>
      <c r="KGY355" s="1054"/>
      <c r="KGZ355" s="1055"/>
      <c r="KHA355" s="1054"/>
      <c r="KHB355" s="1055"/>
      <c r="KHC355" s="1054"/>
      <c r="KHD355" s="1055"/>
      <c r="KHE355" s="1054"/>
      <c r="KHF355" s="1055"/>
      <c r="KHG355" s="1054"/>
      <c r="KHH355" s="1055"/>
      <c r="KHI355" s="1054"/>
      <c r="KHJ355" s="1055"/>
      <c r="KHK355" s="1054"/>
      <c r="KHL355" s="1055"/>
      <c r="KHM355" s="1054"/>
      <c r="KHN355" s="1055"/>
      <c r="KHO355" s="1054"/>
      <c r="KHP355" s="1055"/>
      <c r="KHQ355" s="1054"/>
      <c r="KHR355" s="1055"/>
      <c r="KHS355" s="1054"/>
      <c r="KHT355" s="1055"/>
      <c r="KHU355" s="1054"/>
      <c r="KHV355" s="1055"/>
      <c r="KHW355" s="1054"/>
      <c r="KHX355" s="1055"/>
      <c r="KHY355" s="1054"/>
      <c r="KHZ355" s="1055"/>
      <c r="KIA355" s="1054"/>
      <c r="KIB355" s="1055"/>
      <c r="KIC355" s="1054"/>
      <c r="KID355" s="1055"/>
      <c r="KIE355" s="1054"/>
      <c r="KIF355" s="1055"/>
      <c r="KIG355" s="1054"/>
      <c r="KIH355" s="1055"/>
      <c r="KII355" s="1054"/>
      <c r="KIJ355" s="1055"/>
      <c r="KIK355" s="1054"/>
      <c r="KIL355" s="1055"/>
      <c r="KIM355" s="1054"/>
      <c r="KIN355" s="1055"/>
      <c r="KIO355" s="1054"/>
      <c r="KIP355" s="1055"/>
      <c r="KIQ355" s="1054"/>
      <c r="KIR355" s="1055"/>
      <c r="KIS355" s="1054"/>
      <c r="KIT355" s="1055"/>
      <c r="KIU355" s="1054"/>
      <c r="KIV355" s="1055"/>
      <c r="KIW355" s="1054"/>
      <c r="KIX355" s="1055"/>
      <c r="KIY355" s="1054"/>
      <c r="KIZ355" s="1055"/>
      <c r="KJA355" s="1054"/>
      <c r="KJB355" s="1055"/>
      <c r="KJC355" s="1054"/>
      <c r="KJD355" s="1055"/>
      <c r="KJE355" s="1054"/>
      <c r="KJF355" s="1055"/>
      <c r="KJG355" s="1054"/>
      <c r="KJH355" s="1055"/>
      <c r="KJI355" s="1054"/>
      <c r="KJJ355" s="1055"/>
      <c r="KJK355" s="1054"/>
      <c r="KJL355" s="1055"/>
      <c r="KJM355" s="1054"/>
      <c r="KJN355" s="1055"/>
      <c r="KJO355" s="1054"/>
      <c r="KJP355" s="1055"/>
      <c r="KJQ355" s="1054"/>
      <c r="KJR355" s="1055"/>
      <c r="KJS355" s="1054"/>
      <c r="KJT355" s="1055"/>
      <c r="KJU355" s="1054"/>
      <c r="KJV355" s="1055"/>
      <c r="KJW355" s="1054"/>
      <c r="KJX355" s="1055"/>
      <c r="KJY355" s="1054"/>
      <c r="KJZ355" s="1055"/>
      <c r="KKA355" s="1054"/>
      <c r="KKB355" s="1055"/>
      <c r="KKC355" s="1054"/>
      <c r="KKD355" s="1055"/>
      <c r="KKE355" s="1054"/>
      <c r="KKF355" s="1055"/>
      <c r="KKG355" s="1054"/>
      <c r="KKH355" s="1055"/>
      <c r="KKI355" s="1054"/>
      <c r="KKJ355" s="1055"/>
      <c r="KKK355" s="1054"/>
      <c r="KKL355" s="1055"/>
      <c r="KKM355" s="1054"/>
      <c r="KKN355" s="1055"/>
      <c r="KKO355" s="1054"/>
      <c r="KKP355" s="1055"/>
      <c r="KKQ355" s="1054"/>
      <c r="KKR355" s="1055"/>
      <c r="KKS355" s="1054"/>
      <c r="KKT355" s="1055"/>
      <c r="KKU355" s="1054"/>
      <c r="KKV355" s="1055"/>
      <c r="KKW355" s="1054"/>
      <c r="KKX355" s="1055"/>
      <c r="KKY355" s="1054"/>
      <c r="KKZ355" s="1055"/>
      <c r="KLA355" s="1054"/>
      <c r="KLB355" s="1055"/>
      <c r="KLC355" s="1054"/>
      <c r="KLD355" s="1055"/>
      <c r="KLE355" s="1054"/>
      <c r="KLF355" s="1055"/>
      <c r="KLG355" s="1054"/>
      <c r="KLH355" s="1055"/>
      <c r="KLI355" s="1054"/>
      <c r="KLJ355" s="1055"/>
      <c r="KLK355" s="1054"/>
      <c r="KLL355" s="1055"/>
      <c r="KLM355" s="1054"/>
      <c r="KLN355" s="1055"/>
      <c r="KLO355" s="1054"/>
      <c r="KLP355" s="1055"/>
      <c r="KLQ355" s="1054"/>
      <c r="KLR355" s="1055"/>
      <c r="KLS355" s="1054"/>
      <c r="KLT355" s="1055"/>
      <c r="KLU355" s="1054"/>
      <c r="KLV355" s="1055"/>
      <c r="KLW355" s="1054"/>
      <c r="KLX355" s="1055"/>
      <c r="KLY355" s="1054"/>
      <c r="KLZ355" s="1055"/>
      <c r="KMA355" s="1054"/>
      <c r="KMB355" s="1055"/>
      <c r="KMC355" s="1054"/>
      <c r="KMD355" s="1055"/>
      <c r="KME355" s="1054"/>
      <c r="KMF355" s="1055"/>
      <c r="KMG355" s="1054"/>
      <c r="KMH355" s="1055"/>
      <c r="KMI355" s="1054"/>
      <c r="KMJ355" s="1055"/>
      <c r="KMK355" s="1054"/>
      <c r="KML355" s="1055"/>
      <c r="KMM355" s="1054"/>
      <c r="KMN355" s="1055"/>
      <c r="KMO355" s="1054"/>
      <c r="KMP355" s="1055"/>
      <c r="KMQ355" s="1054"/>
      <c r="KMR355" s="1055"/>
      <c r="KMS355" s="1054"/>
      <c r="KMT355" s="1055"/>
      <c r="KMU355" s="1054"/>
      <c r="KMV355" s="1055"/>
      <c r="KMW355" s="1054"/>
      <c r="KMX355" s="1055"/>
      <c r="KMY355" s="1054"/>
      <c r="KMZ355" s="1055"/>
      <c r="KNA355" s="1054"/>
      <c r="KNB355" s="1055"/>
      <c r="KNC355" s="1054"/>
      <c r="KND355" s="1055"/>
      <c r="KNE355" s="1054"/>
      <c r="KNF355" s="1055"/>
      <c r="KNG355" s="1054"/>
      <c r="KNH355" s="1055"/>
      <c r="KNI355" s="1054"/>
      <c r="KNJ355" s="1055"/>
      <c r="KNK355" s="1054"/>
      <c r="KNL355" s="1055"/>
      <c r="KNM355" s="1054"/>
      <c r="KNN355" s="1055"/>
      <c r="KNO355" s="1054"/>
      <c r="KNP355" s="1055"/>
      <c r="KNQ355" s="1054"/>
      <c r="KNR355" s="1055"/>
      <c r="KNS355" s="1054"/>
      <c r="KNT355" s="1055"/>
      <c r="KNU355" s="1054"/>
      <c r="KNV355" s="1055"/>
      <c r="KNW355" s="1054"/>
      <c r="KNX355" s="1055"/>
      <c r="KNY355" s="1054"/>
      <c r="KNZ355" s="1055"/>
      <c r="KOA355" s="1054"/>
      <c r="KOB355" s="1055"/>
      <c r="KOC355" s="1054"/>
      <c r="KOD355" s="1055"/>
      <c r="KOE355" s="1054"/>
      <c r="KOF355" s="1055"/>
      <c r="KOG355" s="1054"/>
      <c r="KOH355" s="1055"/>
      <c r="KOI355" s="1054"/>
      <c r="KOJ355" s="1055"/>
      <c r="KOK355" s="1054"/>
      <c r="KOL355" s="1055"/>
      <c r="KOM355" s="1054"/>
      <c r="KON355" s="1055"/>
      <c r="KOO355" s="1054"/>
      <c r="KOP355" s="1055"/>
      <c r="KOQ355" s="1054"/>
      <c r="KOR355" s="1055"/>
      <c r="KOS355" s="1054"/>
      <c r="KOT355" s="1055"/>
      <c r="KOU355" s="1054"/>
      <c r="KOV355" s="1055"/>
      <c r="KOW355" s="1054"/>
      <c r="KOX355" s="1055"/>
      <c r="KOY355" s="1054"/>
      <c r="KOZ355" s="1055"/>
      <c r="KPA355" s="1054"/>
      <c r="KPB355" s="1055"/>
      <c r="KPC355" s="1054"/>
      <c r="KPD355" s="1055"/>
      <c r="KPE355" s="1054"/>
      <c r="KPF355" s="1055"/>
      <c r="KPG355" s="1054"/>
      <c r="KPH355" s="1055"/>
      <c r="KPI355" s="1054"/>
      <c r="KPJ355" s="1055"/>
      <c r="KPK355" s="1054"/>
      <c r="KPL355" s="1055"/>
      <c r="KPM355" s="1054"/>
      <c r="KPN355" s="1055"/>
      <c r="KPO355" s="1054"/>
      <c r="KPP355" s="1055"/>
      <c r="KPQ355" s="1054"/>
      <c r="KPR355" s="1055"/>
      <c r="KPS355" s="1054"/>
      <c r="KPT355" s="1055"/>
      <c r="KPU355" s="1054"/>
      <c r="KPV355" s="1055"/>
      <c r="KPW355" s="1054"/>
      <c r="KPX355" s="1055"/>
      <c r="KPY355" s="1054"/>
      <c r="KPZ355" s="1055"/>
      <c r="KQA355" s="1054"/>
      <c r="KQB355" s="1055"/>
      <c r="KQC355" s="1054"/>
      <c r="KQD355" s="1055"/>
      <c r="KQE355" s="1054"/>
      <c r="KQF355" s="1055"/>
      <c r="KQG355" s="1054"/>
      <c r="KQH355" s="1055"/>
      <c r="KQI355" s="1054"/>
      <c r="KQJ355" s="1055"/>
      <c r="KQK355" s="1054"/>
      <c r="KQL355" s="1055"/>
      <c r="KQM355" s="1054"/>
      <c r="KQN355" s="1055"/>
      <c r="KQO355" s="1054"/>
      <c r="KQP355" s="1055"/>
      <c r="KQQ355" s="1054"/>
      <c r="KQR355" s="1055"/>
      <c r="KQS355" s="1054"/>
      <c r="KQT355" s="1055"/>
      <c r="KQU355" s="1054"/>
      <c r="KQV355" s="1055"/>
      <c r="KQW355" s="1054"/>
      <c r="KQX355" s="1055"/>
      <c r="KQY355" s="1054"/>
      <c r="KQZ355" s="1055"/>
      <c r="KRA355" s="1054"/>
      <c r="KRB355" s="1055"/>
      <c r="KRC355" s="1054"/>
      <c r="KRD355" s="1055"/>
      <c r="KRE355" s="1054"/>
      <c r="KRF355" s="1055"/>
      <c r="KRG355" s="1054"/>
      <c r="KRH355" s="1055"/>
      <c r="KRI355" s="1054"/>
      <c r="KRJ355" s="1055"/>
      <c r="KRK355" s="1054"/>
      <c r="KRL355" s="1055"/>
      <c r="KRM355" s="1054"/>
      <c r="KRN355" s="1055"/>
      <c r="KRO355" s="1054"/>
      <c r="KRP355" s="1055"/>
      <c r="KRQ355" s="1054"/>
      <c r="KRR355" s="1055"/>
      <c r="KRS355" s="1054"/>
      <c r="KRT355" s="1055"/>
      <c r="KRU355" s="1054"/>
      <c r="KRV355" s="1055"/>
      <c r="KRW355" s="1054"/>
      <c r="KRX355" s="1055"/>
      <c r="KRY355" s="1054"/>
      <c r="KRZ355" s="1055"/>
      <c r="KSA355" s="1054"/>
      <c r="KSB355" s="1055"/>
      <c r="KSC355" s="1054"/>
      <c r="KSD355" s="1055"/>
      <c r="KSE355" s="1054"/>
      <c r="KSF355" s="1055"/>
      <c r="KSG355" s="1054"/>
      <c r="KSH355" s="1055"/>
      <c r="KSI355" s="1054"/>
      <c r="KSJ355" s="1055"/>
      <c r="KSK355" s="1054"/>
      <c r="KSL355" s="1055"/>
      <c r="KSM355" s="1054"/>
      <c r="KSN355" s="1055"/>
      <c r="KSO355" s="1054"/>
      <c r="KSP355" s="1055"/>
      <c r="KSQ355" s="1054"/>
      <c r="KSR355" s="1055"/>
      <c r="KSS355" s="1054"/>
      <c r="KST355" s="1055"/>
      <c r="KSU355" s="1054"/>
      <c r="KSV355" s="1055"/>
      <c r="KSW355" s="1054"/>
      <c r="KSX355" s="1055"/>
      <c r="KSY355" s="1054"/>
      <c r="KSZ355" s="1055"/>
      <c r="KTA355" s="1054"/>
      <c r="KTB355" s="1055"/>
      <c r="KTC355" s="1054"/>
      <c r="KTD355" s="1055"/>
      <c r="KTE355" s="1054"/>
      <c r="KTF355" s="1055"/>
      <c r="KTG355" s="1054"/>
      <c r="KTH355" s="1055"/>
      <c r="KTI355" s="1054"/>
      <c r="KTJ355" s="1055"/>
      <c r="KTK355" s="1054"/>
      <c r="KTL355" s="1055"/>
      <c r="KTM355" s="1054"/>
      <c r="KTN355" s="1055"/>
      <c r="KTO355" s="1054"/>
      <c r="KTP355" s="1055"/>
      <c r="KTQ355" s="1054"/>
      <c r="KTR355" s="1055"/>
      <c r="KTS355" s="1054"/>
      <c r="KTT355" s="1055"/>
      <c r="KTU355" s="1054"/>
      <c r="KTV355" s="1055"/>
      <c r="KTW355" s="1054"/>
      <c r="KTX355" s="1055"/>
      <c r="KTY355" s="1054"/>
      <c r="KTZ355" s="1055"/>
      <c r="KUA355" s="1054"/>
      <c r="KUB355" s="1055"/>
      <c r="KUC355" s="1054"/>
      <c r="KUD355" s="1055"/>
      <c r="KUE355" s="1054"/>
      <c r="KUF355" s="1055"/>
      <c r="KUG355" s="1054"/>
      <c r="KUH355" s="1055"/>
      <c r="KUI355" s="1054"/>
      <c r="KUJ355" s="1055"/>
      <c r="KUK355" s="1054"/>
      <c r="KUL355" s="1055"/>
      <c r="KUM355" s="1054"/>
      <c r="KUN355" s="1055"/>
      <c r="KUO355" s="1054"/>
      <c r="KUP355" s="1055"/>
      <c r="KUQ355" s="1054"/>
      <c r="KUR355" s="1055"/>
      <c r="KUS355" s="1054"/>
      <c r="KUT355" s="1055"/>
      <c r="KUU355" s="1054"/>
      <c r="KUV355" s="1055"/>
      <c r="KUW355" s="1054"/>
      <c r="KUX355" s="1055"/>
      <c r="KUY355" s="1054"/>
      <c r="KUZ355" s="1055"/>
      <c r="KVA355" s="1054"/>
      <c r="KVB355" s="1055"/>
      <c r="KVC355" s="1054"/>
      <c r="KVD355" s="1055"/>
      <c r="KVE355" s="1054"/>
      <c r="KVF355" s="1055"/>
      <c r="KVG355" s="1054"/>
      <c r="KVH355" s="1055"/>
      <c r="KVI355" s="1054"/>
      <c r="KVJ355" s="1055"/>
      <c r="KVK355" s="1054"/>
      <c r="KVL355" s="1055"/>
      <c r="KVM355" s="1054"/>
      <c r="KVN355" s="1055"/>
      <c r="KVO355" s="1054"/>
      <c r="KVP355" s="1055"/>
      <c r="KVQ355" s="1054"/>
      <c r="KVR355" s="1055"/>
      <c r="KVS355" s="1054"/>
      <c r="KVT355" s="1055"/>
      <c r="KVU355" s="1054"/>
      <c r="KVV355" s="1055"/>
      <c r="KVW355" s="1054"/>
      <c r="KVX355" s="1055"/>
      <c r="KVY355" s="1054"/>
      <c r="KVZ355" s="1055"/>
      <c r="KWA355" s="1054"/>
      <c r="KWB355" s="1055"/>
      <c r="KWC355" s="1054"/>
      <c r="KWD355" s="1055"/>
      <c r="KWE355" s="1054"/>
      <c r="KWF355" s="1055"/>
      <c r="KWG355" s="1054"/>
      <c r="KWH355" s="1055"/>
      <c r="KWI355" s="1054"/>
      <c r="KWJ355" s="1055"/>
      <c r="KWK355" s="1054"/>
      <c r="KWL355" s="1055"/>
      <c r="KWM355" s="1054"/>
      <c r="KWN355" s="1055"/>
      <c r="KWO355" s="1054"/>
      <c r="KWP355" s="1055"/>
      <c r="KWQ355" s="1054"/>
      <c r="KWR355" s="1055"/>
      <c r="KWS355" s="1054"/>
      <c r="KWT355" s="1055"/>
      <c r="KWU355" s="1054"/>
      <c r="KWV355" s="1055"/>
      <c r="KWW355" s="1054"/>
      <c r="KWX355" s="1055"/>
      <c r="KWY355" s="1054"/>
      <c r="KWZ355" s="1055"/>
      <c r="KXA355" s="1054"/>
      <c r="KXB355" s="1055"/>
      <c r="KXC355" s="1054"/>
      <c r="KXD355" s="1055"/>
      <c r="KXE355" s="1054"/>
      <c r="KXF355" s="1055"/>
      <c r="KXG355" s="1054"/>
      <c r="KXH355" s="1055"/>
      <c r="KXI355" s="1054"/>
      <c r="KXJ355" s="1055"/>
      <c r="KXK355" s="1054"/>
      <c r="KXL355" s="1055"/>
      <c r="KXM355" s="1054"/>
      <c r="KXN355" s="1055"/>
      <c r="KXO355" s="1054"/>
      <c r="KXP355" s="1055"/>
      <c r="KXQ355" s="1054"/>
      <c r="KXR355" s="1055"/>
      <c r="KXS355" s="1054"/>
      <c r="KXT355" s="1055"/>
      <c r="KXU355" s="1054"/>
      <c r="KXV355" s="1055"/>
      <c r="KXW355" s="1054"/>
      <c r="KXX355" s="1055"/>
      <c r="KXY355" s="1054"/>
      <c r="KXZ355" s="1055"/>
      <c r="KYA355" s="1054"/>
      <c r="KYB355" s="1055"/>
      <c r="KYC355" s="1054"/>
      <c r="KYD355" s="1055"/>
      <c r="KYE355" s="1054"/>
      <c r="KYF355" s="1055"/>
      <c r="KYG355" s="1054"/>
      <c r="KYH355" s="1055"/>
      <c r="KYI355" s="1054"/>
      <c r="KYJ355" s="1055"/>
      <c r="KYK355" s="1054"/>
      <c r="KYL355" s="1055"/>
      <c r="KYM355" s="1054"/>
      <c r="KYN355" s="1055"/>
      <c r="KYO355" s="1054"/>
      <c r="KYP355" s="1055"/>
      <c r="KYQ355" s="1054"/>
      <c r="KYR355" s="1055"/>
      <c r="KYS355" s="1054"/>
      <c r="KYT355" s="1055"/>
      <c r="KYU355" s="1054"/>
      <c r="KYV355" s="1055"/>
      <c r="KYW355" s="1054"/>
      <c r="KYX355" s="1055"/>
      <c r="KYY355" s="1054"/>
      <c r="KYZ355" s="1055"/>
      <c r="KZA355" s="1054"/>
      <c r="KZB355" s="1055"/>
      <c r="KZC355" s="1054"/>
      <c r="KZD355" s="1055"/>
      <c r="KZE355" s="1054"/>
      <c r="KZF355" s="1055"/>
      <c r="KZG355" s="1054"/>
      <c r="KZH355" s="1055"/>
      <c r="KZI355" s="1054"/>
      <c r="KZJ355" s="1055"/>
      <c r="KZK355" s="1054"/>
      <c r="KZL355" s="1055"/>
      <c r="KZM355" s="1054"/>
      <c r="KZN355" s="1055"/>
      <c r="KZO355" s="1054"/>
      <c r="KZP355" s="1055"/>
      <c r="KZQ355" s="1054"/>
      <c r="KZR355" s="1055"/>
      <c r="KZS355" s="1054"/>
      <c r="KZT355" s="1055"/>
      <c r="KZU355" s="1054"/>
      <c r="KZV355" s="1055"/>
      <c r="KZW355" s="1054"/>
      <c r="KZX355" s="1055"/>
      <c r="KZY355" s="1054"/>
      <c r="KZZ355" s="1055"/>
      <c r="LAA355" s="1054"/>
      <c r="LAB355" s="1055"/>
      <c r="LAC355" s="1054"/>
      <c r="LAD355" s="1055"/>
      <c r="LAE355" s="1054"/>
      <c r="LAF355" s="1055"/>
      <c r="LAG355" s="1054"/>
      <c r="LAH355" s="1055"/>
      <c r="LAI355" s="1054"/>
      <c r="LAJ355" s="1055"/>
      <c r="LAK355" s="1054"/>
      <c r="LAL355" s="1055"/>
      <c r="LAM355" s="1054"/>
      <c r="LAN355" s="1055"/>
      <c r="LAO355" s="1054"/>
      <c r="LAP355" s="1055"/>
      <c r="LAQ355" s="1054"/>
      <c r="LAR355" s="1055"/>
      <c r="LAS355" s="1054"/>
      <c r="LAT355" s="1055"/>
      <c r="LAU355" s="1054"/>
      <c r="LAV355" s="1055"/>
      <c r="LAW355" s="1054"/>
      <c r="LAX355" s="1055"/>
      <c r="LAY355" s="1054"/>
      <c r="LAZ355" s="1055"/>
      <c r="LBA355" s="1054"/>
      <c r="LBB355" s="1055"/>
      <c r="LBC355" s="1054"/>
      <c r="LBD355" s="1055"/>
      <c r="LBE355" s="1054"/>
      <c r="LBF355" s="1055"/>
      <c r="LBG355" s="1054"/>
      <c r="LBH355" s="1055"/>
      <c r="LBI355" s="1054"/>
      <c r="LBJ355" s="1055"/>
      <c r="LBK355" s="1054"/>
      <c r="LBL355" s="1055"/>
      <c r="LBM355" s="1054"/>
      <c r="LBN355" s="1055"/>
      <c r="LBO355" s="1054"/>
      <c r="LBP355" s="1055"/>
      <c r="LBQ355" s="1054"/>
      <c r="LBR355" s="1055"/>
      <c r="LBS355" s="1054"/>
      <c r="LBT355" s="1055"/>
      <c r="LBU355" s="1054"/>
      <c r="LBV355" s="1055"/>
      <c r="LBW355" s="1054"/>
      <c r="LBX355" s="1055"/>
      <c r="LBY355" s="1054"/>
      <c r="LBZ355" s="1055"/>
      <c r="LCA355" s="1054"/>
      <c r="LCB355" s="1055"/>
      <c r="LCC355" s="1054"/>
      <c r="LCD355" s="1055"/>
      <c r="LCE355" s="1054"/>
      <c r="LCF355" s="1055"/>
      <c r="LCG355" s="1054"/>
      <c r="LCH355" s="1055"/>
      <c r="LCI355" s="1054"/>
      <c r="LCJ355" s="1055"/>
      <c r="LCK355" s="1054"/>
      <c r="LCL355" s="1055"/>
      <c r="LCM355" s="1054"/>
      <c r="LCN355" s="1055"/>
      <c r="LCO355" s="1054"/>
      <c r="LCP355" s="1055"/>
      <c r="LCQ355" s="1054"/>
      <c r="LCR355" s="1055"/>
      <c r="LCS355" s="1054"/>
      <c r="LCT355" s="1055"/>
      <c r="LCU355" s="1054"/>
      <c r="LCV355" s="1055"/>
      <c r="LCW355" s="1054"/>
      <c r="LCX355" s="1055"/>
      <c r="LCY355" s="1054"/>
      <c r="LCZ355" s="1055"/>
      <c r="LDA355" s="1054"/>
      <c r="LDB355" s="1055"/>
      <c r="LDC355" s="1054"/>
      <c r="LDD355" s="1055"/>
      <c r="LDE355" s="1054"/>
      <c r="LDF355" s="1055"/>
      <c r="LDG355" s="1054"/>
      <c r="LDH355" s="1055"/>
      <c r="LDI355" s="1054"/>
      <c r="LDJ355" s="1055"/>
      <c r="LDK355" s="1054"/>
      <c r="LDL355" s="1055"/>
      <c r="LDM355" s="1054"/>
      <c r="LDN355" s="1055"/>
      <c r="LDO355" s="1054"/>
      <c r="LDP355" s="1055"/>
      <c r="LDQ355" s="1054"/>
      <c r="LDR355" s="1055"/>
      <c r="LDS355" s="1054"/>
      <c r="LDT355" s="1055"/>
      <c r="LDU355" s="1054"/>
      <c r="LDV355" s="1055"/>
      <c r="LDW355" s="1054"/>
      <c r="LDX355" s="1055"/>
      <c r="LDY355" s="1054"/>
      <c r="LDZ355" s="1055"/>
      <c r="LEA355" s="1054"/>
      <c r="LEB355" s="1055"/>
      <c r="LEC355" s="1054"/>
      <c r="LED355" s="1055"/>
      <c r="LEE355" s="1054"/>
      <c r="LEF355" s="1055"/>
      <c r="LEG355" s="1054"/>
      <c r="LEH355" s="1055"/>
      <c r="LEI355" s="1054"/>
      <c r="LEJ355" s="1055"/>
      <c r="LEK355" s="1054"/>
      <c r="LEL355" s="1055"/>
      <c r="LEM355" s="1054"/>
      <c r="LEN355" s="1055"/>
      <c r="LEO355" s="1054"/>
      <c r="LEP355" s="1055"/>
      <c r="LEQ355" s="1054"/>
      <c r="LER355" s="1055"/>
      <c r="LES355" s="1054"/>
      <c r="LET355" s="1055"/>
      <c r="LEU355" s="1054"/>
      <c r="LEV355" s="1055"/>
      <c r="LEW355" s="1054"/>
      <c r="LEX355" s="1055"/>
      <c r="LEY355" s="1054"/>
      <c r="LEZ355" s="1055"/>
      <c r="LFA355" s="1054"/>
      <c r="LFB355" s="1055"/>
      <c r="LFC355" s="1054"/>
      <c r="LFD355" s="1055"/>
      <c r="LFE355" s="1054"/>
      <c r="LFF355" s="1055"/>
      <c r="LFG355" s="1054"/>
      <c r="LFH355" s="1055"/>
      <c r="LFI355" s="1054"/>
      <c r="LFJ355" s="1055"/>
      <c r="LFK355" s="1054"/>
      <c r="LFL355" s="1055"/>
      <c r="LFM355" s="1054"/>
      <c r="LFN355" s="1055"/>
      <c r="LFO355" s="1054"/>
      <c r="LFP355" s="1055"/>
      <c r="LFQ355" s="1054"/>
      <c r="LFR355" s="1055"/>
      <c r="LFS355" s="1054"/>
      <c r="LFT355" s="1055"/>
      <c r="LFU355" s="1054"/>
      <c r="LFV355" s="1055"/>
      <c r="LFW355" s="1054"/>
      <c r="LFX355" s="1055"/>
      <c r="LFY355" s="1054"/>
      <c r="LFZ355" s="1055"/>
      <c r="LGA355" s="1054"/>
      <c r="LGB355" s="1055"/>
      <c r="LGC355" s="1054"/>
      <c r="LGD355" s="1055"/>
      <c r="LGE355" s="1054"/>
      <c r="LGF355" s="1055"/>
      <c r="LGG355" s="1054"/>
      <c r="LGH355" s="1055"/>
      <c r="LGI355" s="1054"/>
      <c r="LGJ355" s="1055"/>
      <c r="LGK355" s="1054"/>
      <c r="LGL355" s="1055"/>
      <c r="LGM355" s="1054"/>
      <c r="LGN355" s="1055"/>
      <c r="LGO355" s="1054"/>
      <c r="LGP355" s="1055"/>
      <c r="LGQ355" s="1054"/>
      <c r="LGR355" s="1055"/>
      <c r="LGS355" s="1054"/>
      <c r="LGT355" s="1055"/>
      <c r="LGU355" s="1054"/>
      <c r="LGV355" s="1055"/>
      <c r="LGW355" s="1054"/>
      <c r="LGX355" s="1055"/>
      <c r="LGY355" s="1054"/>
      <c r="LGZ355" s="1055"/>
      <c r="LHA355" s="1054"/>
      <c r="LHB355" s="1055"/>
      <c r="LHC355" s="1054"/>
      <c r="LHD355" s="1055"/>
      <c r="LHE355" s="1054"/>
      <c r="LHF355" s="1055"/>
      <c r="LHG355" s="1054"/>
      <c r="LHH355" s="1055"/>
      <c r="LHI355" s="1054"/>
      <c r="LHJ355" s="1055"/>
      <c r="LHK355" s="1054"/>
      <c r="LHL355" s="1055"/>
      <c r="LHM355" s="1054"/>
      <c r="LHN355" s="1055"/>
      <c r="LHO355" s="1054"/>
      <c r="LHP355" s="1055"/>
      <c r="LHQ355" s="1054"/>
      <c r="LHR355" s="1055"/>
      <c r="LHS355" s="1054"/>
      <c r="LHT355" s="1055"/>
      <c r="LHU355" s="1054"/>
      <c r="LHV355" s="1055"/>
      <c r="LHW355" s="1054"/>
      <c r="LHX355" s="1055"/>
      <c r="LHY355" s="1054"/>
      <c r="LHZ355" s="1055"/>
      <c r="LIA355" s="1054"/>
      <c r="LIB355" s="1055"/>
      <c r="LIC355" s="1054"/>
      <c r="LID355" s="1055"/>
      <c r="LIE355" s="1054"/>
      <c r="LIF355" s="1055"/>
      <c r="LIG355" s="1054"/>
      <c r="LIH355" s="1055"/>
      <c r="LII355" s="1054"/>
      <c r="LIJ355" s="1055"/>
      <c r="LIK355" s="1054"/>
      <c r="LIL355" s="1055"/>
      <c r="LIM355" s="1054"/>
      <c r="LIN355" s="1055"/>
      <c r="LIO355" s="1054"/>
      <c r="LIP355" s="1055"/>
      <c r="LIQ355" s="1054"/>
      <c r="LIR355" s="1055"/>
      <c r="LIS355" s="1054"/>
      <c r="LIT355" s="1055"/>
      <c r="LIU355" s="1054"/>
      <c r="LIV355" s="1055"/>
      <c r="LIW355" s="1054"/>
      <c r="LIX355" s="1055"/>
      <c r="LIY355" s="1054"/>
      <c r="LIZ355" s="1055"/>
      <c r="LJA355" s="1054"/>
      <c r="LJB355" s="1055"/>
      <c r="LJC355" s="1054"/>
      <c r="LJD355" s="1055"/>
      <c r="LJE355" s="1054"/>
      <c r="LJF355" s="1055"/>
      <c r="LJG355" s="1054"/>
      <c r="LJH355" s="1055"/>
      <c r="LJI355" s="1054"/>
      <c r="LJJ355" s="1055"/>
      <c r="LJK355" s="1054"/>
      <c r="LJL355" s="1055"/>
      <c r="LJM355" s="1054"/>
      <c r="LJN355" s="1055"/>
      <c r="LJO355" s="1054"/>
      <c r="LJP355" s="1055"/>
      <c r="LJQ355" s="1054"/>
      <c r="LJR355" s="1055"/>
      <c r="LJS355" s="1054"/>
      <c r="LJT355" s="1055"/>
      <c r="LJU355" s="1054"/>
      <c r="LJV355" s="1055"/>
      <c r="LJW355" s="1054"/>
      <c r="LJX355" s="1055"/>
      <c r="LJY355" s="1054"/>
      <c r="LJZ355" s="1055"/>
      <c r="LKA355" s="1054"/>
      <c r="LKB355" s="1055"/>
      <c r="LKC355" s="1054"/>
      <c r="LKD355" s="1055"/>
      <c r="LKE355" s="1054"/>
      <c r="LKF355" s="1055"/>
      <c r="LKG355" s="1054"/>
      <c r="LKH355" s="1055"/>
      <c r="LKI355" s="1054"/>
      <c r="LKJ355" s="1055"/>
      <c r="LKK355" s="1054"/>
      <c r="LKL355" s="1055"/>
      <c r="LKM355" s="1054"/>
      <c r="LKN355" s="1055"/>
      <c r="LKO355" s="1054"/>
      <c r="LKP355" s="1055"/>
      <c r="LKQ355" s="1054"/>
      <c r="LKR355" s="1055"/>
      <c r="LKS355" s="1054"/>
      <c r="LKT355" s="1055"/>
      <c r="LKU355" s="1054"/>
      <c r="LKV355" s="1055"/>
      <c r="LKW355" s="1054"/>
      <c r="LKX355" s="1055"/>
      <c r="LKY355" s="1054"/>
      <c r="LKZ355" s="1055"/>
      <c r="LLA355" s="1054"/>
      <c r="LLB355" s="1055"/>
      <c r="LLC355" s="1054"/>
      <c r="LLD355" s="1055"/>
      <c r="LLE355" s="1054"/>
      <c r="LLF355" s="1055"/>
      <c r="LLG355" s="1054"/>
      <c r="LLH355" s="1055"/>
      <c r="LLI355" s="1054"/>
      <c r="LLJ355" s="1055"/>
      <c r="LLK355" s="1054"/>
      <c r="LLL355" s="1055"/>
      <c r="LLM355" s="1054"/>
      <c r="LLN355" s="1055"/>
      <c r="LLO355" s="1054"/>
      <c r="LLP355" s="1055"/>
      <c r="LLQ355" s="1054"/>
      <c r="LLR355" s="1055"/>
      <c r="LLS355" s="1054"/>
      <c r="LLT355" s="1055"/>
      <c r="LLU355" s="1054"/>
      <c r="LLV355" s="1055"/>
      <c r="LLW355" s="1054"/>
      <c r="LLX355" s="1055"/>
      <c r="LLY355" s="1054"/>
      <c r="LLZ355" s="1055"/>
      <c r="LMA355" s="1054"/>
      <c r="LMB355" s="1055"/>
      <c r="LMC355" s="1054"/>
      <c r="LMD355" s="1055"/>
      <c r="LME355" s="1054"/>
      <c r="LMF355" s="1055"/>
      <c r="LMG355" s="1054"/>
      <c r="LMH355" s="1055"/>
      <c r="LMI355" s="1054"/>
      <c r="LMJ355" s="1055"/>
      <c r="LMK355" s="1054"/>
      <c r="LML355" s="1055"/>
      <c r="LMM355" s="1054"/>
      <c r="LMN355" s="1055"/>
      <c r="LMO355" s="1054"/>
      <c r="LMP355" s="1055"/>
      <c r="LMQ355" s="1054"/>
      <c r="LMR355" s="1055"/>
      <c r="LMS355" s="1054"/>
      <c r="LMT355" s="1055"/>
      <c r="LMU355" s="1054"/>
      <c r="LMV355" s="1055"/>
      <c r="LMW355" s="1054"/>
      <c r="LMX355" s="1055"/>
      <c r="LMY355" s="1054"/>
      <c r="LMZ355" s="1055"/>
      <c r="LNA355" s="1054"/>
      <c r="LNB355" s="1055"/>
      <c r="LNC355" s="1054"/>
      <c r="LND355" s="1055"/>
      <c r="LNE355" s="1054"/>
      <c r="LNF355" s="1055"/>
      <c r="LNG355" s="1054"/>
      <c r="LNH355" s="1055"/>
      <c r="LNI355" s="1054"/>
      <c r="LNJ355" s="1055"/>
      <c r="LNK355" s="1054"/>
      <c r="LNL355" s="1055"/>
      <c r="LNM355" s="1054"/>
      <c r="LNN355" s="1055"/>
      <c r="LNO355" s="1054"/>
      <c r="LNP355" s="1055"/>
      <c r="LNQ355" s="1054"/>
      <c r="LNR355" s="1055"/>
      <c r="LNS355" s="1054"/>
      <c r="LNT355" s="1055"/>
      <c r="LNU355" s="1054"/>
      <c r="LNV355" s="1055"/>
      <c r="LNW355" s="1054"/>
      <c r="LNX355" s="1055"/>
      <c r="LNY355" s="1054"/>
      <c r="LNZ355" s="1055"/>
      <c r="LOA355" s="1054"/>
      <c r="LOB355" s="1055"/>
      <c r="LOC355" s="1054"/>
      <c r="LOD355" s="1055"/>
      <c r="LOE355" s="1054"/>
      <c r="LOF355" s="1055"/>
      <c r="LOG355" s="1054"/>
      <c r="LOH355" s="1055"/>
      <c r="LOI355" s="1054"/>
      <c r="LOJ355" s="1055"/>
      <c r="LOK355" s="1054"/>
      <c r="LOL355" s="1055"/>
      <c r="LOM355" s="1054"/>
      <c r="LON355" s="1055"/>
      <c r="LOO355" s="1054"/>
      <c r="LOP355" s="1055"/>
      <c r="LOQ355" s="1054"/>
      <c r="LOR355" s="1055"/>
      <c r="LOS355" s="1054"/>
      <c r="LOT355" s="1055"/>
      <c r="LOU355" s="1054"/>
      <c r="LOV355" s="1055"/>
      <c r="LOW355" s="1054"/>
      <c r="LOX355" s="1055"/>
      <c r="LOY355" s="1054"/>
      <c r="LOZ355" s="1055"/>
      <c r="LPA355" s="1054"/>
      <c r="LPB355" s="1055"/>
      <c r="LPC355" s="1054"/>
      <c r="LPD355" s="1055"/>
      <c r="LPE355" s="1054"/>
      <c r="LPF355" s="1055"/>
      <c r="LPG355" s="1054"/>
      <c r="LPH355" s="1055"/>
      <c r="LPI355" s="1054"/>
      <c r="LPJ355" s="1055"/>
      <c r="LPK355" s="1054"/>
      <c r="LPL355" s="1055"/>
      <c r="LPM355" s="1054"/>
      <c r="LPN355" s="1055"/>
      <c r="LPO355" s="1054"/>
      <c r="LPP355" s="1055"/>
      <c r="LPQ355" s="1054"/>
      <c r="LPR355" s="1055"/>
      <c r="LPS355" s="1054"/>
      <c r="LPT355" s="1055"/>
      <c r="LPU355" s="1054"/>
      <c r="LPV355" s="1055"/>
      <c r="LPW355" s="1054"/>
      <c r="LPX355" s="1055"/>
      <c r="LPY355" s="1054"/>
      <c r="LPZ355" s="1055"/>
      <c r="LQA355" s="1054"/>
      <c r="LQB355" s="1055"/>
      <c r="LQC355" s="1054"/>
      <c r="LQD355" s="1055"/>
      <c r="LQE355" s="1054"/>
      <c r="LQF355" s="1055"/>
      <c r="LQG355" s="1054"/>
      <c r="LQH355" s="1055"/>
      <c r="LQI355" s="1054"/>
      <c r="LQJ355" s="1055"/>
      <c r="LQK355" s="1054"/>
      <c r="LQL355" s="1055"/>
      <c r="LQM355" s="1054"/>
      <c r="LQN355" s="1055"/>
      <c r="LQO355" s="1054"/>
      <c r="LQP355" s="1055"/>
      <c r="LQQ355" s="1054"/>
      <c r="LQR355" s="1055"/>
      <c r="LQS355" s="1054"/>
      <c r="LQT355" s="1055"/>
      <c r="LQU355" s="1054"/>
      <c r="LQV355" s="1055"/>
      <c r="LQW355" s="1054"/>
      <c r="LQX355" s="1055"/>
      <c r="LQY355" s="1054"/>
      <c r="LQZ355" s="1055"/>
      <c r="LRA355" s="1054"/>
      <c r="LRB355" s="1055"/>
      <c r="LRC355" s="1054"/>
      <c r="LRD355" s="1055"/>
      <c r="LRE355" s="1054"/>
      <c r="LRF355" s="1055"/>
      <c r="LRG355" s="1054"/>
      <c r="LRH355" s="1055"/>
      <c r="LRI355" s="1054"/>
      <c r="LRJ355" s="1055"/>
      <c r="LRK355" s="1054"/>
      <c r="LRL355" s="1055"/>
      <c r="LRM355" s="1054"/>
      <c r="LRN355" s="1055"/>
      <c r="LRO355" s="1054"/>
      <c r="LRP355" s="1055"/>
      <c r="LRQ355" s="1054"/>
      <c r="LRR355" s="1055"/>
      <c r="LRS355" s="1054"/>
      <c r="LRT355" s="1055"/>
      <c r="LRU355" s="1054"/>
      <c r="LRV355" s="1055"/>
      <c r="LRW355" s="1054"/>
      <c r="LRX355" s="1055"/>
      <c r="LRY355" s="1054"/>
      <c r="LRZ355" s="1055"/>
      <c r="LSA355" s="1054"/>
      <c r="LSB355" s="1055"/>
      <c r="LSC355" s="1054"/>
      <c r="LSD355" s="1055"/>
      <c r="LSE355" s="1054"/>
      <c r="LSF355" s="1055"/>
      <c r="LSG355" s="1054"/>
      <c r="LSH355" s="1055"/>
      <c r="LSI355" s="1054"/>
      <c r="LSJ355" s="1055"/>
      <c r="LSK355" s="1054"/>
      <c r="LSL355" s="1055"/>
      <c r="LSM355" s="1054"/>
      <c r="LSN355" s="1055"/>
      <c r="LSO355" s="1054"/>
      <c r="LSP355" s="1055"/>
      <c r="LSQ355" s="1054"/>
      <c r="LSR355" s="1055"/>
      <c r="LSS355" s="1054"/>
      <c r="LST355" s="1055"/>
      <c r="LSU355" s="1054"/>
      <c r="LSV355" s="1055"/>
      <c r="LSW355" s="1054"/>
      <c r="LSX355" s="1055"/>
      <c r="LSY355" s="1054"/>
      <c r="LSZ355" s="1055"/>
      <c r="LTA355" s="1054"/>
      <c r="LTB355" s="1055"/>
      <c r="LTC355" s="1054"/>
      <c r="LTD355" s="1055"/>
      <c r="LTE355" s="1054"/>
      <c r="LTF355" s="1055"/>
      <c r="LTG355" s="1054"/>
      <c r="LTH355" s="1055"/>
      <c r="LTI355" s="1054"/>
      <c r="LTJ355" s="1055"/>
      <c r="LTK355" s="1054"/>
      <c r="LTL355" s="1055"/>
      <c r="LTM355" s="1054"/>
      <c r="LTN355" s="1055"/>
      <c r="LTO355" s="1054"/>
      <c r="LTP355" s="1055"/>
      <c r="LTQ355" s="1054"/>
      <c r="LTR355" s="1055"/>
      <c r="LTS355" s="1054"/>
      <c r="LTT355" s="1055"/>
      <c r="LTU355" s="1054"/>
      <c r="LTV355" s="1055"/>
      <c r="LTW355" s="1054"/>
      <c r="LTX355" s="1055"/>
      <c r="LTY355" s="1054"/>
      <c r="LTZ355" s="1055"/>
      <c r="LUA355" s="1054"/>
      <c r="LUB355" s="1055"/>
      <c r="LUC355" s="1054"/>
      <c r="LUD355" s="1055"/>
      <c r="LUE355" s="1054"/>
      <c r="LUF355" s="1055"/>
      <c r="LUG355" s="1054"/>
      <c r="LUH355" s="1055"/>
      <c r="LUI355" s="1054"/>
      <c r="LUJ355" s="1055"/>
      <c r="LUK355" s="1054"/>
      <c r="LUL355" s="1055"/>
      <c r="LUM355" s="1054"/>
      <c r="LUN355" s="1055"/>
      <c r="LUO355" s="1054"/>
      <c r="LUP355" s="1055"/>
      <c r="LUQ355" s="1054"/>
      <c r="LUR355" s="1055"/>
      <c r="LUS355" s="1054"/>
      <c r="LUT355" s="1055"/>
      <c r="LUU355" s="1054"/>
      <c r="LUV355" s="1055"/>
      <c r="LUW355" s="1054"/>
      <c r="LUX355" s="1055"/>
      <c r="LUY355" s="1054"/>
      <c r="LUZ355" s="1055"/>
      <c r="LVA355" s="1054"/>
      <c r="LVB355" s="1055"/>
      <c r="LVC355" s="1054"/>
      <c r="LVD355" s="1055"/>
      <c r="LVE355" s="1054"/>
      <c r="LVF355" s="1055"/>
      <c r="LVG355" s="1054"/>
      <c r="LVH355" s="1055"/>
      <c r="LVI355" s="1054"/>
      <c r="LVJ355" s="1055"/>
      <c r="LVK355" s="1054"/>
      <c r="LVL355" s="1055"/>
      <c r="LVM355" s="1054"/>
      <c r="LVN355" s="1055"/>
      <c r="LVO355" s="1054"/>
      <c r="LVP355" s="1055"/>
      <c r="LVQ355" s="1054"/>
      <c r="LVR355" s="1055"/>
      <c r="LVS355" s="1054"/>
      <c r="LVT355" s="1055"/>
      <c r="LVU355" s="1054"/>
      <c r="LVV355" s="1055"/>
      <c r="LVW355" s="1054"/>
      <c r="LVX355" s="1055"/>
      <c r="LVY355" s="1054"/>
      <c r="LVZ355" s="1055"/>
      <c r="LWA355" s="1054"/>
      <c r="LWB355" s="1055"/>
      <c r="LWC355" s="1054"/>
      <c r="LWD355" s="1055"/>
      <c r="LWE355" s="1054"/>
      <c r="LWF355" s="1055"/>
      <c r="LWG355" s="1054"/>
      <c r="LWH355" s="1055"/>
      <c r="LWI355" s="1054"/>
      <c r="LWJ355" s="1055"/>
      <c r="LWK355" s="1054"/>
      <c r="LWL355" s="1055"/>
      <c r="LWM355" s="1054"/>
      <c r="LWN355" s="1055"/>
      <c r="LWO355" s="1054"/>
      <c r="LWP355" s="1055"/>
      <c r="LWQ355" s="1054"/>
      <c r="LWR355" s="1055"/>
      <c r="LWS355" s="1054"/>
      <c r="LWT355" s="1055"/>
      <c r="LWU355" s="1054"/>
      <c r="LWV355" s="1055"/>
      <c r="LWW355" s="1054"/>
      <c r="LWX355" s="1055"/>
      <c r="LWY355" s="1054"/>
      <c r="LWZ355" s="1055"/>
      <c r="LXA355" s="1054"/>
      <c r="LXB355" s="1055"/>
      <c r="LXC355" s="1054"/>
      <c r="LXD355" s="1055"/>
      <c r="LXE355" s="1054"/>
      <c r="LXF355" s="1055"/>
      <c r="LXG355" s="1054"/>
      <c r="LXH355" s="1055"/>
      <c r="LXI355" s="1054"/>
      <c r="LXJ355" s="1055"/>
      <c r="LXK355" s="1054"/>
      <c r="LXL355" s="1055"/>
      <c r="LXM355" s="1054"/>
      <c r="LXN355" s="1055"/>
      <c r="LXO355" s="1054"/>
      <c r="LXP355" s="1055"/>
      <c r="LXQ355" s="1054"/>
      <c r="LXR355" s="1055"/>
      <c r="LXS355" s="1054"/>
      <c r="LXT355" s="1055"/>
      <c r="LXU355" s="1054"/>
      <c r="LXV355" s="1055"/>
      <c r="LXW355" s="1054"/>
      <c r="LXX355" s="1055"/>
      <c r="LXY355" s="1054"/>
      <c r="LXZ355" s="1055"/>
      <c r="LYA355" s="1054"/>
      <c r="LYB355" s="1055"/>
      <c r="LYC355" s="1054"/>
      <c r="LYD355" s="1055"/>
      <c r="LYE355" s="1054"/>
      <c r="LYF355" s="1055"/>
      <c r="LYG355" s="1054"/>
      <c r="LYH355" s="1055"/>
      <c r="LYI355" s="1054"/>
      <c r="LYJ355" s="1055"/>
      <c r="LYK355" s="1054"/>
      <c r="LYL355" s="1055"/>
      <c r="LYM355" s="1054"/>
      <c r="LYN355" s="1055"/>
      <c r="LYO355" s="1054"/>
      <c r="LYP355" s="1055"/>
      <c r="LYQ355" s="1054"/>
      <c r="LYR355" s="1055"/>
      <c r="LYS355" s="1054"/>
      <c r="LYT355" s="1055"/>
      <c r="LYU355" s="1054"/>
      <c r="LYV355" s="1055"/>
      <c r="LYW355" s="1054"/>
      <c r="LYX355" s="1055"/>
      <c r="LYY355" s="1054"/>
      <c r="LYZ355" s="1055"/>
      <c r="LZA355" s="1054"/>
      <c r="LZB355" s="1055"/>
      <c r="LZC355" s="1054"/>
      <c r="LZD355" s="1055"/>
      <c r="LZE355" s="1054"/>
      <c r="LZF355" s="1055"/>
      <c r="LZG355" s="1054"/>
      <c r="LZH355" s="1055"/>
      <c r="LZI355" s="1054"/>
      <c r="LZJ355" s="1055"/>
      <c r="LZK355" s="1054"/>
      <c r="LZL355" s="1055"/>
      <c r="LZM355" s="1054"/>
      <c r="LZN355" s="1055"/>
      <c r="LZO355" s="1054"/>
      <c r="LZP355" s="1055"/>
      <c r="LZQ355" s="1054"/>
      <c r="LZR355" s="1055"/>
      <c r="LZS355" s="1054"/>
      <c r="LZT355" s="1055"/>
      <c r="LZU355" s="1054"/>
      <c r="LZV355" s="1055"/>
      <c r="LZW355" s="1054"/>
      <c r="LZX355" s="1055"/>
      <c r="LZY355" s="1054"/>
      <c r="LZZ355" s="1055"/>
      <c r="MAA355" s="1054"/>
      <c r="MAB355" s="1055"/>
      <c r="MAC355" s="1054"/>
      <c r="MAD355" s="1055"/>
      <c r="MAE355" s="1054"/>
      <c r="MAF355" s="1055"/>
      <c r="MAG355" s="1054"/>
      <c r="MAH355" s="1055"/>
      <c r="MAI355" s="1054"/>
      <c r="MAJ355" s="1055"/>
      <c r="MAK355" s="1054"/>
      <c r="MAL355" s="1055"/>
      <c r="MAM355" s="1054"/>
      <c r="MAN355" s="1055"/>
      <c r="MAO355" s="1054"/>
      <c r="MAP355" s="1055"/>
      <c r="MAQ355" s="1054"/>
      <c r="MAR355" s="1055"/>
      <c r="MAS355" s="1054"/>
      <c r="MAT355" s="1055"/>
      <c r="MAU355" s="1054"/>
      <c r="MAV355" s="1055"/>
      <c r="MAW355" s="1054"/>
      <c r="MAX355" s="1055"/>
      <c r="MAY355" s="1054"/>
      <c r="MAZ355" s="1055"/>
      <c r="MBA355" s="1054"/>
      <c r="MBB355" s="1055"/>
      <c r="MBC355" s="1054"/>
      <c r="MBD355" s="1055"/>
      <c r="MBE355" s="1054"/>
      <c r="MBF355" s="1055"/>
      <c r="MBG355" s="1054"/>
      <c r="MBH355" s="1055"/>
      <c r="MBI355" s="1054"/>
      <c r="MBJ355" s="1055"/>
      <c r="MBK355" s="1054"/>
      <c r="MBL355" s="1055"/>
      <c r="MBM355" s="1054"/>
      <c r="MBN355" s="1055"/>
      <c r="MBO355" s="1054"/>
      <c r="MBP355" s="1055"/>
      <c r="MBQ355" s="1054"/>
      <c r="MBR355" s="1055"/>
      <c r="MBS355" s="1054"/>
      <c r="MBT355" s="1055"/>
      <c r="MBU355" s="1054"/>
      <c r="MBV355" s="1055"/>
      <c r="MBW355" s="1054"/>
      <c r="MBX355" s="1055"/>
      <c r="MBY355" s="1054"/>
      <c r="MBZ355" s="1055"/>
      <c r="MCA355" s="1054"/>
      <c r="MCB355" s="1055"/>
      <c r="MCC355" s="1054"/>
      <c r="MCD355" s="1055"/>
      <c r="MCE355" s="1054"/>
      <c r="MCF355" s="1055"/>
      <c r="MCG355" s="1054"/>
      <c r="MCH355" s="1055"/>
      <c r="MCI355" s="1054"/>
      <c r="MCJ355" s="1055"/>
      <c r="MCK355" s="1054"/>
      <c r="MCL355" s="1055"/>
      <c r="MCM355" s="1054"/>
      <c r="MCN355" s="1055"/>
      <c r="MCO355" s="1054"/>
      <c r="MCP355" s="1055"/>
      <c r="MCQ355" s="1054"/>
      <c r="MCR355" s="1055"/>
      <c r="MCS355" s="1054"/>
      <c r="MCT355" s="1055"/>
      <c r="MCU355" s="1054"/>
      <c r="MCV355" s="1055"/>
      <c r="MCW355" s="1054"/>
      <c r="MCX355" s="1055"/>
      <c r="MCY355" s="1054"/>
      <c r="MCZ355" s="1055"/>
      <c r="MDA355" s="1054"/>
      <c r="MDB355" s="1055"/>
      <c r="MDC355" s="1054"/>
      <c r="MDD355" s="1055"/>
      <c r="MDE355" s="1054"/>
      <c r="MDF355" s="1055"/>
      <c r="MDG355" s="1054"/>
      <c r="MDH355" s="1055"/>
      <c r="MDI355" s="1054"/>
      <c r="MDJ355" s="1055"/>
      <c r="MDK355" s="1054"/>
      <c r="MDL355" s="1055"/>
      <c r="MDM355" s="1054"/>
      <c r="MDN355" s="1055"/>
      <c r="MDO355" s="1054"/>
      <c r="MDP355" s="1055"/>
      <c r="MDQ355" s="1054"/>
      <c r="MDR355" s="1055"/>
      <c r="MDS355" s="1054"/>
      <c r="MDT355" s="1055"/>
      <c r="MDU355" s="1054"/>
      <c r="MDV355" s="1055"/>
      <c r="MDW355" s="1054"/>
      <c r="MDX355" s="1055"/>
      <c r="MDY355" s="1054"/>
      <c r="MDZ355" s="1055"/>
      <c r="MEA355" s="1054"/>
      <c r="MEB355" s="1055"/>
      <c r="MEC355" s="1054"/>
      <c r="MED355" s="1055"/>
      <c r="MEE355" s="1054"/>
      <c r="MEF355" s="1055"/>
      <c r="MEG355" s="1054"/>
      <c r="MEH355" s="1055"/>
      <c r="MEI355" s="1054"/>
      <c r="MEJ355" s="1055"/>
      <c r="MEK355" s="1054"/>
      <c r="MEL355" s="1055"/>
      <c r="MEM355" s="1054"/>
      <c r="MEN355" s="1055"/>
      <c r="MEO355" s="1054"/>
      <c r="MEP355" s="1055"/>
      <c r="MEQ355" s="1054"/>
      <c r="MER355" s="1055"/>
      <c r="MES355" s="1054"/>
      <c r="MET355" s="1055"/>
      <c r="MEU355" s="1054"/>
      <c r="MEV355" s="1055"/>
      <c r="MEW355" s="1054"/>
      <c r="MEX355" s="1055"/>
      <c r="MEY355" s="1054"/>
      <c r="MEZ355" s="1055"/>
      <c r="MFA355" s="1054"/>
      <c r="MFB355" s="1055"/>
      <c r="MFC355" s="1054"/>
      <c r="MFD355" s="1055"/>
      <c r="MFE355" s="1054"/>
      <c r="MFF355" s="1055"/>
      <c r="MFG355" s="1054"/>
      <c r="MFH355" s="1055"/>
      <c r="MFI355" s="1054"/>
      <c r="MFJ355" s="1055"/>
      <c r="MFK355" s="1054"/>
      <c r="MFL355" s="1055"/>
      <c r="MFM355" s="1054"/>
      <c r="MFN355" s="1055"/>
      <c r="MFO355" s="1054"/>
      <c r="MFP355" s="1055"/>
      <c r="MFQ355" s="1054"/>
      <c r="MFR355" s="1055"/>
      <c r="MFS355" s="1054"/>
      <c r="MFT355" s="1055"/>
      <c r="MFU355" s="1054"/>
      <c r="MFV355" s="1055"/>
      <c r="MFW355" s="1054"/>
      <c r="MFX355" s="1055"/>
      <c r="MFY355" s="1054"/>
      <c r="MFZ355" s="1055"/>
      <c r="MGA355" s="1054"/>
      <c r="MGB355" s="1055"/>
      <c r="MGC355" s="1054"/>
      <c r="MGD355" s="1055"/>
      <c r="MGE355" s="1054"/>
      <c r="MGF355" s="1055"/>
      <c r="MGG355" s="1054"/>
      <c r="MGH355" s="1055"/>
      <c r="MGI355" s="1054"/>
      <c r="MGJ355" s="1055"/>
      <c r="MGK355" s="1054"/>
      <c r="MGL355" s="1055"/>
      <c r="MGM355" s="1054"/>
      <c r="MGN355" s="1055"/>
      <c r="MGO355" s="1054"/>
      <c r="MGP355" s="1055"/>
      <c r="MGQ355" s="1054"/>
      <c r="MGR355" s="1055"/>
      <c r="MGS355" s="1054"/>
      <c r="MGT355" s="1055"/>
      <c r="MGU355" s="1054"/>
      <c r="MGV355" s="1055"/>
      <c r="MGW355" s="1054"/>
      <c r="MGX355" s="1055"/>
      <c r="MGY355" s="1054"/>
      <c r="MGZ355" s="1055"/>
      <c r="MHA355" s="1054"/>
      <c r="MHB355" s="1055"/>
      <c r="MHC355" s="1054"/>
      <c r="MHD355" s="1055"/>
      <c r="MHE355" s="1054"/>
      <c r="MHF355" s="1055"/>
      <c r="MHG355" s="1054"/>
      <c r="MHH355" s="1055"/>
      <c r="MHI355" s="1054"/>
      <c r="MHJ355" s="1055"/>
      <c r="MHK355" s="1054"/>
      <c r="MHL355" s="1055"/>
      <c r="MHM355" s="1054"/>
      <c r="MHN355" s="1055"/>
      <c r="MHO355" s="1054"/>
      <c r="MHP355" s="1055"/>
      <c r="MHQ355" s="1054"/>
      <c r="MHR355" s="1055"/>
      <c r="MHS355" s="1054"/>
      <c r="MHT355" s="1055"/>
      <c r="MHU355" s="1054"/>
      <c r="MHV355" s="1055"/>
      <c r="MHW355" s="1054"/>
      <c r="MHX355" s="1055"/>
      <c r="MHY355" s="1054"/>
      <c r="MHZ355" s="1055"/>
      <c r="MIA355" s="1054"/>
      <c r="MIB355" s="1055"/>
      <c r="MIC355" s="1054"/>
      <c r="MID355" s="1055"/>
      <c r="MIE355" s="1054"/>
      <c r="MIF355" s="1055"/>
      <c r="MIG355" s="1054"/>
      <c r="MIH355" s="1055"/>
      <c r="MII355" s="1054"/>
      <c r="MIJ355" s="1055"/>
      <c r="MIK355" s="1054"/>
      <c r="MIL355" s="1055"/>
      <c r="MIM355" s="1054"/>
      <c r="MIN355" s="1055"/>
      <c r="MIO355" s="1054"/>
      <c r="MIP355" s="1055"/>
      <c r="MIQ355" s="1054"/>
      <c r="MIR355" s="1055"/>
      <c r="MIS355" s="1054"/>
      <c r="MIT355" s="1055"/>
      <c r="MIU355" s="1054"/>
      <c r="MIV355" s="1055"/>
      <c r="MIW355" s="1054"/>
      <c r="MIX355" s="1055"/>
      <c r="MIY355" s="1054"/>
      <c r="MIZ355" s="1055"/>
      <c r="MJA355" s="1054"/>
      <c r="MJB355" s="1055"/>
      <c r="MJC355" s="1054"/>
      <c r="MJD355" s="1055"/>
      <c r="MJE355" s="1054"/>
      <c r="MJF355" s="1055"/>
      <c r="MJG355" s="1054"/>
      <c r="MJH355" s="1055"/>
      <c r="MJI355" s="1054"/>
      <c r="MJJ355" s="1055"/>
      <c r="MJK355" s="1054"/>
      <c r="MJL355" s="1055"/>
      <c r="MJM355" s="1054"/>
      <c r="MJN355" s="1055"/>
      <c r="MJO355" s="1054"/>
      <c r="MJP355" s="1055"/>
      <c r="MJQ355" s="1054"/>
      <c r="MJR355" s="1055"/>
      <c r="MJS355" s="1054"/>
      <c r="MJT355" s="1055"/>
      <c r="MJU355" s="1054"/>
      <c r="MJV355" s="1055"/>
      <c r="MJW355" s="1054"/>
      <c r="MJX355" s="1055"/>
      <c r="MJY355" s="1054"/>
      <c r="MJZ355" s="1055"/>
      <c r="MKA355" s="1054"/>
      <c r="MKB355" s="1055"/>
      <c r="MKC355" s="1054"/>
      <c r="MKD355" s="1055"/>
      <c r="MKE355" s="1054"/>
      <c r="MKF355" s="1055"/>
      <c r="MKG355" s="1054"/>
      <c r="MKH355" s="1055"/>
      <c r="MKI355" s="1054"/>
      <c r="MKJ355" s="1055"/>
      <c r="MKK355" s="1054"/>
      <c r="MKL355" s="1055"/>
      <c r="MKM355" s="1054"/>
      <c r="MKN355" s="1055"/>
      <c r="MKO355" s="1054"/>
      <c r="MKP355" s="1055"/>
      <c r="MKQ355" s="1054"/>
      <c r="MKR355" s="1055"/>
      <c r="MKS355" s="1054"/>
      <c r="MKT355" s="1055"/>
      <c r="MKU355" s="1054"/>
      <c r="MKV355" s="1055"/>
      <c r="MKW355" s="1054"/>
      <c r="MKX355" s="1055"/>
      <c r="MKY355" s="1054"/>
      <c r="MKZ355" s="1055"/>
      <c r="MLA355" s="1054"/>
      <c r="MLB355" s="1055"/>
      <c r="MLC355" s="1054"/>
      <c r="MLD355" s="1055"/>
      <c r="MLE355" s="1054"/>
      <c r="MLF355" s="1055"/>
      <c r="MLG355" s="1054"/>
      <c r="MLH355" s="1055"/>
      <c r="MLI355" s="1054"/>
      <c r="MLJ355" s="1055"/>
      <c r="MLK355" s="1054"/>
      <c r="MLL355" s="1055"/>
      <c r="MLM355" s="1054"/>
      <c r="MLN355" s="1055"/>
      <c r="MLO355" s="1054"/>
      <c r="MLP355" s="1055"/>
      <c r="MLQ355" s="1054"/>
      <c r="MLR355" s="1055"/>
      <c r="MLS355" s="1054"/>
      <c r="MLT355" s="1055"/>
      <c r="MLU355" s="1054"/>
      <c r="MLV355" s="1055"/>
      <c r="MLW355" s="1054"/>
      <c r="MLX355" s="1055"/>
      <c r="MLY355" s="1054"/>
      <c r="MLZ355" s="1055"/>
      <c r="MMA355" s="1054"/>
      <c r="MMB355" s="1055"/>
      <c r="MMC355" s="1054"/>
      <c r="MMD355" s="1055"/>
      <c r="MME355" s="1054"/>
      <c r="MMF355" s="1055"/>
      <c r="MMG355" s="1054"/>
      <c r="MMH355" s="1055"/>
      <c r="MMI355" s="1054"/>
      <c r="MMJ355" s="1055"/>
      <c r="MMK355" s="1054"/>
      <c r="MML355" s="1055"/>
      <c r="MMM355" s="1054"/>
      <c r="MMN355" s="1055"/>
      <c r="MMO355" s="1054"/>
      <c r="MMP355" s="1055"/>
      <c r="MMQ355" s="1054"/>
      <c r="MMR355" s="1055"/>
      <c r="MMS355" s="1054"/>
      <c r="MMT355" s="1055"/>
      <c r="MMU355" s="1054"/>
      <c r="MMV355" s="1055"/>
      <c r="MMW355" s="1054"/>
      <c r="MMX355" s="1055"/>
      <c r="MMY355" s="1054"/>
      <c r="MMZ355" s="1055"/>
      <c r="MNA355" s="1054"/>
      <c r="MNB355" s="1055"/>
      <c r="MNC355" s="1054"/>
      <c r="MND355" s="1055"/>
      <c r="MNE355" s="1054"/>
      <c r="MNF355" s="1055"/>
      <c r="MNG355" s="1054"/>
      <c r="MNH355" s="1055"/>
      <c r="MNI355" s="1054"/>
      <c r="MNJ355" s="1055"/>
      <c r="MNK355" s="1054"/>
      <c r="MNL355" s="1055"/>
      <c r="MNM355" s="1054"/>
      <c r="MNN355" s="1055"/>
      <c r="MNO355" s="1054"/>
      <c r="MNP355" s="1055"/>
      <c r="MNQ355" s="1054"/>
      <c r="MNR355" s="1055"/>
      <c r="MNS355" s="1054"/>
      <c r="MNT355" s="1055"/>
      <c r="MNU355" s="1054"/>
      <c r="MNV355" s="1055"/>
      <c r="MNW355" s="1054"/>
      <c r="MNX355" s="1055"/>
      <c r="MNY355" s="1054"/>
      <c r="MNZ355" s="1055"/>
      <c r="MOA355" s="1054"/>
      <c r="MOB355" s="1055"/>
      <c r="MOC355" s="1054"/>
      <c r="MOD355" s="1055"/>
      <c r="MOE355" s="1054"/>
      <c r="MOF355" s="1055"/>
      <c r="MOG355" s="1054"/>
      <c r="MOH355" s="1055"/>
      <c r="MOI355" s="1054"/>
      <c r="MOJ355" s="1055"/>
      <c r="MOK355" s="1054"/>
      <c r="MOL355" s="1055"/>
      <c r="MOM355" s="1054"/>
      <c r="MON355" s="1055"/>
      <c r="MOO355" s="1054"/>
      <c r="MOP355" s="1055"/>
      <c r="MOQ355" s="1054"/>
      <c r="MOR355" s="1055"/>
      <c r="MOS355" s="1054"/>
      <c r="MOT355" s="1055"/>
      <c r="MOU355" s="1054"/>
      <c r="MOV355" s="1055"/>
      <c r="MOW355" s="1054"/>
      <c r="MOX355" s="1055"/>
      <c r="MOY355" s="1054"/>
      <c r="MOZ355" s="1055"/>
      <c r="MPA355" s="1054"/>
      <c r="MPB355" s="1055"/>
      <c r="MPC355" s="1054"/>
      <c r="MPD355" s="1055"/>
      <c r="MPE355" s="1054"/>
      <c r="MPF355" s="1055"/>
      <c r="MPG355" s="1054"/>
      <c r="MPH355" s="1055"/>
      <c r="MPI355" s="1054"/>
      <c r="MPJ355" s="1055"/>
      <c r="MPK355" s="1054"/>
      <c r="MPL355" s="1055"/>
      <c r="MPM355" s="1054"/>
      <c r="MPN355" s="1055"/>
      <c r="MPO355" s="1054"/>
      <c r="MPP355" s="1055"/>
      <c r="MPQ355" s="1054"/>
      <c r="MPR355" s="1055"/>
      <c r="MPS355" s="1054"/>
      <c r="MPT355" s="1055"/>
      <c r="MPU355" s="1054"/>
      <c r="MPV355" s="1055"/>
      <c r="MPW355" s="1054"/>
      <c r="MPX355" s="1055"/>
      <c r="MPY355" s="1054"/>
      <c r="MPZ355" s="1055"/>
      <c r="MQA355" s="1054"/>
      <c r="MQB355" s="1055"/>
      <c r="MQC355" s="1054"/>
      <c r="MQD355" s="1055"/>
      <c r="MQE355" s="1054"/>
      <c r="MQF355" s="1055"/>
      <c r="MQG355" s="1054"/>
      <c r="MQH355" s="1055"/>
      <c r="MQI355" s="1054"/>
      <c r="MQJ355" s="1055"/>
      <c r="MQK355" s="1054"/>
      <c r="MQL355" s="1055"/>
      <c r="MQM355" s="1054"/>
      <c r="MQN355" s="1055"/>
      <c r="MQO355" s="1054"/>
      <c r="MQP355" s="1055"/>
      <c r="MQQ355" s="1054"/>
      <c r="MQR355" s="1055"/>
      <c r="MQS355" s="1054"/>
      <c r="MQT355" s="1055"/>
      <c r="MQU355" s="1054"/>
      <c r="MQV355" s="1055"/>
      <c r="MQW355" s="1054"/>
      <c r="MQX355" s="1055"/>
      <c r="MQY355" s="1054"/>
      <c r="MQZ355" s="1055"/>
      <c r="MRA355" s="1054"/>
      <c r="MRB355" s="1055"/>
      <c r="MRC355" s="1054"/>
      <c r="MRD355" s="1055"/>
      <c r="MRE355" s="1054"/>
      <c r="MRF355" s="1055"/>
      <c r="MRG355" s="1054"/>
      <c r="MRH355" s="1055"/>
      <c r="MRI355" s="1054"/>
      <c r="MRJ355" s="1055"/>
      <c r="MRK355" s="1054"/>
      <c r="MRL355" s="1055"/>
      <c r="MRM355" s="1054"/>
      <c r="MRN355" s="1055"/>
      <c r="MRO355" s="1054"/>
      <c r="MRP355" s="1055"/>
      <c r="MRQ355" s="1054"/>
      <c r="MRR355" s="1055"/>
      <c r="MRS355" s="1054"/>
      <c r="MRT355" s="1055"/>
      <c r="MRU355" s="1054"/>
      <c r="MRV355" s="1055"/>
      <c r="MRW355" s="1054"/>
      <c r="MRX355" s="1055"/>
      <c r="MRY355" s="1054"/>
      <c r="MRZ355" s="1055"/>
      <c r="MSA355" s="1054"/>
      <c r="MSB355" s="1055"/>
      <c r="MSC355" s="1054"/>
      <c r="MSD355" s="1055"/>
      <c r="MSE355" s="1054"/>
      <c r="MSF355" s="1055"/>
      <c r="MSG355" s="1054"/>
      <c r="MSH355" s="1055"/>
      <c r="MSI355" s="1054"/>
      <c r="MSJ355" s="1055"/>
      <c r="MSK355" s="1054"/>
      <c r="MSL355" s="1055"/>
      <c r="MSM355" s="1054"/>
      <c r="MSN355" s="1055"/>
      <c r="MSO355" s="1054"/>
      <c r="MSP355" s="1055"/>
      <c r="MSQ355" s="1054"/>
      <c r="MSR355" s="1055"/>
      <c r="MSS355" s="1054"/>
      <c r="MST355" s="1055"/>
      <c r="MSU355" s="1054"/>
      <c r="MSV355" s="1055"/>
      <c r="MSW355" s="1054"/>
      <c r="MSX355" s="1055"/>
      <c r="MSY355" s="1054"/>
      <c r="MSZ355" s="1055"/>
      <c r="MTA355" s="1054"/>
      <c r="MTB355" s="1055"/>
      <c r="MTC355" s="1054"/>
      <c r="MTD355" s="1055"/>
      <c r="MTE355" s="1054"/>
      <c r="MTF355" s="1055"/>
      <c r="MTG355" s="1054"/>
      <c r="MTH355" s="1055"/>
      <c r="MTI355" s="1054"/>
      <c r="MTJ355" s="1055"/>
      <c r="MTK355" s="1054"/>
      <c r="MTL355" s="1055"/>
      <c r="MTM355" s="1054"/>
      <c r="MTN355" s="1055"/>
      <c r="MTO355" s="1054"/>
      <c r="MTP355" s="1055"/>
      <c r="MTQ355" s="1054"/>
      <c r="MTR355" s="1055"/>
      <c r="MTS355" s="1054"/>
      <c r="MTT355" s="1055"/>
      <c r="MTU355" s="1054"/>
      <c r="MTV355" s="1055"/>
      <c r="MTW355" s="1054"/>
      <c r="MTX355" s="1055"/>
      <c r="MTY355" s="1054"/>
      <c r="MTZ355" s="1055"/>
      <c r="MUA355" s="1054"/>
      <c r="MUB355" s="1055"/>
      <c r="MUC355" s="1054"/>
      <c r="MUD355" s="1055"/>
      <c r="MUE355" s="1054"/>
      <c r="MUF355" s="1055"/>
      <c r="MUG355" s="1054"/>
      <c r="MUH355" s="1055"/>
      <c r="MUI355" s="1054"/>
      <c r="MUJ355" s="1055"/>
      <c r="MUK355" s="1054"/>
      <c r="MUL355" s="1055"/>
      <c r="MUM355" s="1054"/>
      <c r="MUN355" s="1055"/>
      <c r="MUO355" s="1054"/>
      <c r="MUP355" s="1055"/>
      <c r="MUQ355" s="1054"/>
      <c r="MUR355" s="1055"/>
      <c r="MUS355" s="1054"/>
      <c r="MUT355" s="1055"/>
      <c r="MUU355" s="1054"/>
      <c r="MUV355" s="1055"/>
      <c r="MUW355" s="1054"/>
      <c r="MUX355" s="1055"/>
      <c r="MUY355" s="1054"/>
      <c r="MUZ355" s="1055"/>
      <c r="MVA355" s="1054"/>
      <c r="MVB355" s="1055"/>
      <c r="MVC355" s="1054"/>
      <c r="MVD355" s="1055"/>
      <c r="MVE355" s="1054"/>
      <c r="MVF355" s="1055"/>
      <c r="MVG355" s="1054"/>
      <c r="MVH355" s="1055"/>
      <c r="MVI355" s="1054"/>
      <c r="MVJ355" s="1055"/>
      <c r="MVK355" s="1054"/>
      <c r="MVL355" s="1055"/>
      <c r="MVM355" s="1054"/>
      <c r="MVN355" s="1055"/>
      <c r="MVO355" s="1054"/>
      <c r="MVP355" s="1055"/>
      <c r="MVQ355" s="1054"/>
      <c r="MVR355" s="1055"/>
      <c r="MVS355" s="1054"/>
      <c r="MVT355" s="1055"/>
      <c r="MVU355" s="1054"/>
      <c r="MVV355" s="1055"/>
      <c r="MVW355" s="1054"/>
      <c r="MVX355" s="1055"/>
      <c r="MVY355" s="1054"/>
      <c r="MVZ355" s="1055"/>
      <c r="MWA355" s="1054"/>
      <c r="MWB355" s="1055"/>
      <c r="MWC355" s="1054"/>
      <c r="MWD355" s="1055"/>
      <c r="MWE355" s="1054"/>
      <c r="MWF355" s="1055"/>
      <c r="MWG355" s="1054"/>
      <c r="MWH355" s="1055"/>
      <c r="MWI355" s="1054"/>
      <c r="MWJ355" s="1055"/>
      <c r="MWK355" s="1054"/>
      <c r="MWL355" s="1055"/>
      <c r="MWM355" s="1054"/>
      <c r="MWN355" s="1055"/>
      <c r="MWO355" s="1054"/>
      <c r="MWP355" s="1055"/>
      <c r="MWQ355" s="1054"/>
      <c r="MWR355" s="1055"/>
      <c r="MWS355" s="1054"/>
      <c r="MWT355" s="1055"/>
      <c r="MWU355" s="1054"/>
      <c r="MWV355" s="1055"/>
      <c r="MWW355" s="1054"/>
      <c r="MWX355" s="1055"/>
      <c r="MWY355" s="1054"/>
      <c r="MWZ355" s="1055"/>
      <c r="MXA355" s="1054"/>
      <c r="MXB355" s="1055"/>
      <c r="MXC355" s="1054"/>
      <c r="MXD355" s="1055"/>
      <c r="MXE355" s="1054"/>
      <c r="MXF355" s="1055"/>
      <c r="MXG355" s="1054"/>
      <c r="MXH355" s="1055"/>
      <c r="MXI355" s="1054"/>
      <c r="MXJ355" s="1055"/>
      <c r="MXK355" s="1054"/>
      <c r="MXL355" s="1055"/>
      <c r="MXM355" s="1054"/>
      <c r="MXN355" s="1055"/>
      <c r="MXO355" s="1054"/>
      <c r="MXP355" s="1055"/>
      <c r="MXQ355" s="1054"/>
      <c r="MXR355" s="1055"/>
      <c r="MXS355" s="1054"/>
      <c r="MXT355" s="1055"/>
      <c r="MXU355" s="1054"/>
      <c r="MXV355" s="1055"/>
      <c r="MXW355" s="1054"/>
      <c r="MXX355" s="1055"/>
      <c r="MXY355" s="1054"/>
      <c r="MXZ355" s="1055"/>
      <c r="MYA355" s="1054"/>
      <c r="MYB355" s="1055"/>
      <c r="MYC355" s="1054"/>
      <c r="MYD355" s="1055"/>
      <c r="MYE355" s="1054"/>
      <c r="MYF355" s="1055"/>
      <c r="MYG355" s="1054"/>
      <c r="MYH355" s="1055"/>
      <c r="MYI355" s="1054"/>
      <c r="MYJ355" s="1055"/>
      <c r="MYK355" s="1054"/>
      <c r="MYL355" s="1055"/>
      <c r="MYM355" s="1054"/>
      <c r="MYN355" s="1055"/>
      <c r="MYO355" s="1054"/>
      <c r="MYP355" s="1055"/>
      <c r="MYQ355" s="1054"/>
      <c r="MYR355" s="1055"/>
      <c r="MYS355" s="1054"/>
      <c r="MYT355" s="1055"/>
      <c r="MYU355" s="1054"/>
      <c r="MYV355" s="1055"/>
      <c r="MYW355" s="1054"/>
      <c r="MYX355" s="1055"/>
      <c r="MYY355" s="1054"/>
      <c r="MYZ355" s="1055"/>
      <c r="MZA355" s="1054"/>
      <c r="MZB355" s="1055"/>
      <c r="MZC355" s="1054"/>
      <c r="MZD355" s="1055"/>
      <c r="MZE355" s="1054"/>
      <c r="MZF355" s="1055"/>
      <c r="MZG355" s="1054"/>
      <c r="MZH355" s="1055"/>
      <c r="MZI355" s="1054"/>
      <c r="MZJ355" s="1055"/>
      <c r="MZK355" s="1054"/>
      <c r="MZL355" s="1055"/>
      <c r="MZM355" s="1054"/>
      <c r="MZN355" s="1055"/>
      <c r="MZO355" s="1054"/>
      <c r="MZP355" s="1055"/>
      <c r="MZQ355" s="1054"/>
      <c r="MZR355" s="1055"/>
      <c r="MZS355" s="1054"/>
      <c r="MZT355" s="1055"/>
      <c r="MZU355" s="1054"/>
      <c r="MZV355" s="1055"/>
      <c r="MZW355" s="1054"/>
      <c r="MZX355" s="1055"/>
      <c r="MZY355" s="1054"/>
      <c r="MZZ355" s="1055"/>
      <c r="NAA355" s="1054"/>
      <c r="NAB355" s="1055"/>
      <c r="NAC355" s="1054"/>
      <c r="NAD355" s="1055"/>
      <c r="NAE355" s="1054"/>
      <c r="NAF355" s="1055"/>
      <c r="NAG355" s="1054"/>
      <c r="NAH355" s="1055"/>
      <c r="NAI355" s="1054"/>
      <c r="NAJ355" s="1055"/>
      <c r="NAK355" s="1054"/>
      <c r="NAL355" s="1055"/>
      <c r="NAM355" s="1054"/>
      <c r="NAN355" s="1055"/>
      <c r="NAO355" s="1054"/>
      <c r="NAP355" s="1055"/>
      <c r="NAQ355" s="1054"/>
      <c r="NAR355" s="1055"/>
      <c r="NAS355" s="1054"/>
      <c r="NAT355" s="1055"/>
      <c r="NAU355" s="1054"/>
      <c r="NAV355" s="1055"/>
      <c r="NAW355" s="1054"/>
      <c r="NAX355" s="1055"/>
      <c r="NAY355" s="1054"/>
      <c r="NAZ355" s="1055"/>
      <c r="NBA355" s="1054"/>
      <c r="NBB355" s="1055"/>
      <c r="NBC355" s="1054"/>
      <c r="NBD355" s="1055"/>
      <c r="NBE355" s="1054"/>
      <c r="NBF355" s="1055"/>
      <c r="NBG355" s="1054"/>
      <c r="NBH355" s="1055"/>
      <c r="NBI355" s="1054"/>
      <c r="NBJ355" s="1055"/>
      <c r="NBK355" s="1054"/>
      <c r="NBL355" s="1055"/>
      <c r="NBM355" s="1054"/>
      <c r="NBN355" s="1055"/>
      <c r="NBO355" s="1054"/>
      <c r="NBP355" s="1055"/>
      <c r="NBQ355" s="1054"/>
      <c r="NBR355" s="1055"/>
      <c r="NBS355" s="1054"/>
      <c r="NBT355" s="1055"/>
      <c r="NBU355" s="1054"/>
      <c r="NBV355" s="1055"/>
      <c r="NBW355" s="1054"/>
      <c r="NBX355" s="1055"/>
      <c r="NBY355" s="1054"/>
      <c r="NBZ355" s="1055"/>
      <c r="NCA355" s="1054"/>
      <c r="NCB355" s="1055"/>
      <c r="NCC355" s="1054"/>
      <c r="NCD355" s="1055"/>
      <c r="NCE355" s="1054"/>
      <c r="NCF355" s="1055"/>
      <c r="NCG355" s="1054"/>
      <c r="NCH355" s="1055"/>
      <c r="NCI355" s="1054"/>
      <c r="NCJ355" s="1055"/>
      <c r="NCK355" s="1054"/>
      <c r="NCL355" s="1055"/>
      <c r="NCM355" s="1054"/>
      <c r="NCN355" s="1055"/>
      <c r="NCO355" s="1054"/>
      <c r="NCP355" s="1055"/>
      <c r="NCQ355" s="1054"/>
      <c r="NCR355" s="1055"/>
      <c r="NCS355" s="1054"/>
      <c r="NCT355" s="1055"/>
      <c r="NCU355" s="1054"/>
      <c r="NCV355" s="1055"/>
      <c r="NCW355" s="1054"/>
      <c r="NCX355" s="1055"/>
      <c r="NCY355" s="1054"/>
      <c r="NCZ355" s="1055"/>
      <c r="NDA355" s="1054"/>
      <c r="NDB355" s="1055"/>
      <c r="NDC355" s="1054"/>
      <c r="NDD355" s="1055"/>
      <c r="NDE355" s="1054"/>
      <c r="NDF355" s="1055"/>
      <c r="NDG355" s="1054"/>
      <c r="NDH355" s="1055"/>
      <c r="NDI355" s="1054"/>
      <c r="NDJ355" s="1055"/>
      <c r="NDK355" s="1054"/>
      <c r="NDL355" s="1055"/>
      <c r="NDM355" s="1054"/>
      <c r="NDN355" s="1055"/>
      <c r="NDO355" s="1054"/>
      <c r="NDP355" s="1055"/>
      <c r="NDQ355" s="1054"/>
      <c r="NDR355" s="1055"/>
      <c r="NDS355" s="1054"/>
      <c r="NDT355" s="1055"/>
      <c r="NDU355" s="1054"/>
      <c r="NDV355" s="1055"/>
      <c r="NDW355" s="1054"/>
      <c r="NDX355" s="1055"/>
      <c r="NDY355" s="1054"/>
      <c r="NDZ355" s="1055"/>
      <c r="NEA355" s="1054"/>
      <c r="NEB355" s="1055"/>
      <c r="NEC355" s="1054"/>
      <c r="NED355" s="1055"/>
      <c r="NEE355" s="1054"/>
      <c r="NEF355" s="1055"/>
      <c r="NEG355" s="1054"/>
      <c r="NEH355" s="1055"/>
      <c r="NEI355" s="1054"/>
      <c r="NEJ355" s="1055"/>
      <c r="NEK355" s="1054"/>
      <c r="NEL355" s="1055"/>
      <c r="NEM355" s="1054"/>
      <c r="NEN355" s="1055"/>
      <c r="NEO355" s="1054"/>
      <c r="NEP355" s="1055"/>
      <c r="NEQ355" s="1054"/>
      <c r="NER355" s="1055"/>
      <c r="NES355" s="1054"/>
      <c r="NET355" s="1055"/>
      <c r="NEU355" s="1054"/>
      <c r="NEV355" s="1055"/>
      <c r="NEW355" s="1054"/>
      <c r="NEX355" s="1055"/>
      <c r="NEY355" s="1054"/>
      <c r="NEZ355" s="1055"/>
      <c r="NFA355" s="1054"/>
      <c r="NFB355" s="1055"/>
      <c r="NFC355" s="1054"/>
      <c r="NFD355" s="1055"/>
      <c r="NFE355" s="1054"/>
      <c r="NFF355" s="1055"/>
      <c r="NFG355" s="1054"/>
      <c r="NFH355" s="1055"/>
      <c r="NFI355" s="1054"/>
      <c r="NFJ355" s="1055"/>
      <c r="NFK355" s="1054"/>
      <c r="NFL355" s="1055"/>
      <c r="NFM355" s="1054"/>
      <c r="NFN355" s="1055"/>
      <c r="NFO355" s="1054"/>
      <c r="NFP355" s="1055"/>
      <c r="NFQ355" s="1054"/>
      <c r="NFR355" s="1055"/>
      <c r="NFS355" s="1054"/>
      <c r="NFT355" s="1055"/>
      <c r="NFU355" s="1054"/>
      <c r="NFV355" s="1055"/>
      <c r="NFW355" s="1054"/>
      <c r="NFX355" s="1055"/>
      <c r="NFY355" s="1054"/>
      <c r="NFZ355" s="1055"/>
      <c r="NGA355" s="1054"/>
      <c r="NGB355" s="1055"/>
      <c r="NGC355" s="1054"/>
      <c r="NGD355" s="1055"/>
      <c r="NGE355" s="1054"/>
      <c r="NGF355" s="1055"/>
      <c r="NGG355" s="1054"/>
      <c r="NGH355" s="1055"/>
      <c r="NGI355" s="1054"/>
      <c r="NGJ355" s="1055"/>
      <c r="NGK355" s="1054"/>
      <c r="NGL355" s="1055"/>
      <c r="NGM355" s="1054"/>
      <c r="NGN355" s="1055"/>
      <c r="NGO355" s="1054"/>
      <c r="NGP355" s="1055"/>
      <c r="NGQ355" s="1054"/>
      <c r="NGR355" s="1055"/>
      <c r="NGS355" s="1054"/>
      <c r="NGT355" s="1055"/>
      <c r="NGU355" s="1054"/>
      <c r="NGV355" s="1055"/>
      <c r="NGW355" s="1054"/>
      <c r="NGX355" s="1055"/>
      <c r="NGY355" s="1054"/>
      <c r="NGZ355" s="1055"/>
      <c r="NHA355" s="1054"/>
      <c r="NHB355" s="1055"/>
      <c r="NHC355" s="1054"/>
      <c r="NHD355" s="1055"/>
      <c r="NHE355" s="1054"/>
      <c r="NHF355" s="1055"/>
      <c r="NHG355" s="1054"/>
      <c r="NHH355" s="1055"/>
      <c r="NHI355" s="1054"/>
      <c r="NHJ355" s="1055"/>
      <c r="NHK355" s="1054"/>
      <c r="NHL355" s="1055"/>
      <c r="NHM355" s="1054"/>
      <c r="NHN355" s="1055"/>
      <c r="NHO355" s="1054"/>
      <c r="NHP355" s="1055"/>
      <c r="NHQ355" s="1054"/>
      <c r="NHR355" s="1055"/>
      <c r="NHS355" s="1054"/>
      <c r="NHT355" s="1055"/>
      <c r="NHU355" s="1054"/>
      <c r="NHV355" s="1055"/>
      <c r="NHW355" s="1054"/>
      <c r="NHX355" s="1055"/>
      <c r="NHY355" s="1054"/>
      <c r="NHZ355" s="1055"/>
      <c r="NIA355" s="1054"/>
      <c r="NIB355" s="1055"/>
      <c r="NIC355" s="1054"/>
      <c r="NID355" s="1055"/>
      <c r="NIE355" s="1054"/>
      <c r="NIF355" s="1055"/>
      <c r="NIG355" s="1054"/>
      <c r="NIH355" s="1055"/>
      <c r="NII355" s="1054"/>
      <c r="NIJ355" s="1055"/>
      <c r="NIK355" s="1054"/>
      <c r="NIL355" s="1055"/>
      <c r="NIM355" s="1054"/>
      <c r="NIN355" s="1055"/>
      <c r="NIO355" s="1054"/>
      <c r="NIP355" s="1055"/>
      <c r="NIQ355" s="1054"/>
      <c r="NIR355" s="1055"/>
      <c r="NIS355" s="1054"/>
      <c r="NIT355" s="1055"/>
      <c r="NIU355" s="1054"/>
      <c r="NIV355" s="1055"/>
      <c r="NIW355" s="1054"/>
      <c r="NIX355" s="1055"/>
      <c r="NIY355" s="1054"/>
      <c r="NIZ355" s="1055"/>
      <c r="NJA355" s="1054"/>
      <c r="NJB355" s="1055"/>
      <c r="NJC355" s="1054"/>
      <c r="NJD355" s="1055"/>
      <c r="NJE355" s="1054"/>
      <c r="NJF355" s="1055"/>
      <c r="NJG355" s="1054"/>
      <c r="NJH355" s="1055"/>
      <c r="NJI355" s="1054"/>
      <c r="NJJ355" s="1055"/>
      <c r="NJK355" s="1054"/>
      <c r="NJL355" s="1055"/>
      <c r="NJM355" s="1054"/>
      <c r="NJN355" s="1055"/>
      <c r="NJO355" s="1054"/>
      <c r="NJP355" s="1055"/>
      <c r="NJQ355" s="1054"/>
      <c r="NJR355" s="1055"/>
      <c r="NJS355" s="1054"/>
      <c r="NJT355" s="1055"/>
      <c r="NJU355" s="1054"/>
      <c r="NJV355" s="1055"/>
      <c r="NJW355" s="1054"/>
      <c r="NJX355" s="1055"/>
      <c r="NJY355" s="1054"/>
      <c r="NJZ355" s="1055"/>
      <c r="NKA355" s="1054"/>
      <c r="NKB355" s="1055"/>
      <c r="NKC355" s="1054"/>
      <c r="NKD355" s="1055"/>
      <c r="NKE355" s="1054"/>
      <c r="NKF355" s="1055"/>
      <c r="NKG355" s="1054"/>
      <c r="NKH355" s="1055"/>
      <c r="NKI355" s="1054"/>
      <c r="NKJ355" s="1055"/>
      <c r="NKK355" s="1054"/>
      <c r="NKL355" s="1055"/>
      <c r="NKM355" s="1054"/>
      <c r="NKN355" s="1055"/>
      <c r="NKO355" s="1054"/>
      <c r="NKP355" s="1055"/>
      <c r="NKQ355" s="1054"/>
      <c r="NKR355" s="1055"/>
      <c r="NKS355" s="1054"/>
      <c r="NKT355" s="1055"/>
      <c r="NKU355" s="1054"/>
      <c r="NKV355" s="1055"/>
      <c r="NKW355" s="1054"/>
      <c r="NKX355" s="1055"/>
      <c r="NKY355" s="1054"/>
      <c r="NKZ355" s="1055"/>
      <c r="NLA355" s="1054"/>
      <c r="NLB355" s="1055"/>
      <c r="NLC355" s="1054"/>
      <c r="NLD355" s="1055"/>
      <c r="NLE355" s="1054"/>
      <c r="NLF355" s="1055"/>
      <c r="NLG355" s="1054"/>
      <c r="NLH355" s="1055"/>
      <c r="NLI355" s="1054"/>
      <c r="NLJ355" s="1055"/>
      <c r="NLK355" s="1054"/>
      <c r="NLL355" s="1055"/>
      <c r="NLM355" s="1054"/>
      <c r="NLN355" s="1055"/>
      <c r="NLO355" s="1054"/>
      <c r="NLP355" s="1055"/>
      <c r="NLQ355" s="1054"/>
      <c r="NLR355" s="1055"/>
      <c r="NLS355" s="1054"/>
      <c r="NLT355" s="1055"/>
      <c r="NLU355" s="1054"/>
      <c r="NLV355" s="1055"/>
      <c r="NLW355" s="1054"/>
      <c r="NLX355" s="1055"/>
      <c r="NLY355" s="1054"/>
      <c r="NLZ355" s="1055"/>
      <c r="NMA355" s="1054"/>
      <c r="NMB355" s="1055"/>
      <c r="NMC355" s="1054"/>
      <c r="NMD355" s="1055"/>
      <c r="NME355" s="1054"/>
      <c r="NMF355" s="1055"/>
      <c r="NMG355" s="1054"/>
      <c r="NMH355" s="1055"/>
      <c r="NMI355" s="1054"/>
      <c r="NMJ355" s="1055"/>
      <c r="NMK355" s="1054"/>
      <c r="NML355" s="1055"/>
      <c r="NMM355" s="1054"/>
      <c r="NMN355" s="1055"/>
      <c r="NMO355" s="1054"/>
      <c r="NMP355" s="1055"/>
      <c r="NMQ355" s="1054"/>
      <c r="NMR355" s="1055"/>
      <c r="NMS355" s="1054"/>
      <c r="NMT355" s="1055"/>
      <c r="NMU355" s="1054"/>
      <c r="NMV355" s="1055"/>
      <c r="NMW355" s="1054"/>
      <c r="NMX355" s="1055"/>
      <c r="NMY355" s="1054"/>
      <c r="NMZ355" s="1055"/>
      <c r="NNA355" s="1054"/>
      <c r="NNB355" s="1055"/>
      <c r="NNC355" s="1054"/>
      <c r="NND355" s="1055"/>
      <c r="NNE355" s="1054"/>
      <c r="NNF355" s="1055"/>
      <c r="NNG355" s="1054"/>
      <c r="NNH355" s="1055"/>
      <c r="NNI355" s="1054"/>
      <c r="NNJ355" s="1055"/>
      <c r="NNK355" s="1054"/>
      <c r="NNL355" s="1055"/>
      <c r="NNM355" s="1054"/>
      <c r="NNN355" s="1055"/>
      <c r="NNO355" s="1054"/>
      <c r="NNP355" s="1055"/>
      <c r="NNQ355" s="1054"/>
      <c r="NNR355" s="1055"/>
      <c r="NNS355" s="1054"/>
      <c r="NNT355" s="1055"/>
      <c r="NNU355" s="1054"/>
      <c r="NNV355" s="1055"/>
      <c r="NNW355" s="1054"/>
      <c r="NNX355" s="1055"/>
      <c r="NNY355" s="1054"/>
      <c r="NNZ355" s="1055"/>
      <c r="NOA355" s="1054"/>
      <c r="NOB355" s="1055"/>
      <c r="NOC355" s="1054"/>
      <c r="NOD355" s="1055"/>
      <c r="NOE355" s="1054"/>
      <c r="NOF355" s="1055"/>
      <c r="NOG355" s="1054"/>
      <c r="NOH355" s="1055"/>
      <c r="NOI355" s="1054"/>
      <c r="NOJ355" s="1055"/>
      <c r="NOK355" s="1054"/>
      <c r="NOL355" s="1055"/>
      <c r="NOM355" s="1054"/>
      <c r="NON355" s="1055"/>
      <c r="NOO355" s="1054"/>
      <c r="NOP355" s="1055"/>
      <c r="NOQ355" s="1054"/>
      <c r="NOR355" s="1055"/>
      <c r="NOS355" s="1054"/>
      <c r="NOT355" s="1055"/>
      <c r="NOU355" s="1054"/>
      <c r="NOV355" s="1055"/>
      <c r="NOW355" s="1054"/>
      <c r="NOX355" s="1055"/>
      <c r="NOY355" s="1054"/>
      <c r="NOZ355" s="1055"/>
      <c r="NPA355" s="1054"/>
      <c r="NPB355" s="1055"/>
      <c r="NPC355" s="1054"/>
      <c r="NPD355" s="1055"/>
      <c r="NPE355" s="1054"/>
      <c r="NPF355" s="1055"/>
      <c r="NPG355" s="1054"/>
      <c r="NPH355" s="1055"/>
      <c r="NPI355" s="1054"/>
      <c r="NPJ355" s="1055"/>
      <c r="NPK355" s="1054"/>
      <c r="NPL355" s="1055"/>
      <c r="NPM355" s="1054"/>
      <c r="NPN355" s="1055"/>
      <c r="NPO355" s="1054"/>
      <c r="NPP355" s="1055"/>
      <c r="NPQ355" s="1054"/>
      <c r="NPR355" s="1055"/>
      <c r="NPS355" s="1054"/>
      <c r="NPT355" s="1055"/>
      <c r="NPU355" s="1054"/>
      <c r="NPV355" s="1055"/>
      <c r="NPW355" s="1054"/>
      <c r="NPX355" s="1055"/>
      <c r="NPY355" s="1054"/>
      <c r="NPZ355" s="1055"/>
      <c r="NQA355" s="1054"/>
      <c r="NQB355" s="1055"/>
      <c r="NQC355" s="1054"/>
      <c r="NQD355" s="1055"/>
      <c r="NQE355" s="1054"/>
      <c r="NQF355" s="1055"/>
      <c r="NQG355" s="1054"/>
      <c r="NQH355" s="1055"/>
      <c r="NQI355" s="1054"/>
      <c r="NQJ355" s="1055"/>
      <c r="NQK355" s="1054"/>
      <c r="NQL355" s="1055"/>
      <c r="NQM355" s="1054"/>
      <c r="NQN355" s="1055"/>
      <c r="NQO355" s="1054"/>
      <c r="NQP355" s="1055"/>
      <c r="NQQ355" s="1054"/>
      <c r="NQR355" s="1055"/>
      <c r="NQS355" s="1054"/>
      <c r="NQT355" s="1055"/>
      <c r="NQU355" s="1054"/>
      <c r="NQV355" s="1055"/>
      <c r="NQW355" s="1054"/>
      <c r="NQX355" s="1055"/>
      <c r="NQY355" s="1054"/>
      <c r="NQZ355" s="1055"/>
      <c r="NRA355" s="1054"/>
      <c r="NRB355" s="1055"/>
      <c r="NRC355" s="1054"/>
      <c r="NRD355" s="1055"/>
      <c r="NRE355" s="1054"/>
      <c r="NRF355" s="1055"/>
      <c r="NRG355" s="1054"/>
      <c r="NRH355" s="1055"/>
      <c r="NRI355" s="1054"/>
      <c r="NRJ355" s="1055"/>
      <c r="NRK355" s="1054"/>
      <c r="NRL355" s="1055"/>
      <c r="NRM355" s="1054"/>
      <c r="NRN355" s="1055"/>
      <c r="NRO355" s="1054"/>
      <c r="NRP355" s="1055"/>
      <c r="NRQ355" s="1054"/>
      <c r="NRR355" s="1055"/>
      <c r="NRS355" s="1054"/>
      <c r="NRT355" s="1055"/>
      <c r="NRU355" s="1054"/>
      <c r="NRV355" s="1055"/>
      <c r="NRW355" s="1054"/>
      <c r="NRX355" s="1055"/>
      <c r="NRY355" s="1054"/>
      <c r="NRZ355" s="1055"/>
      <c r="NSA355" s="1054"/>
      <c r="NSB355" s="1055"/>
      <c r="NSC355" s="1054"/>
      <c r="NSD355" s="1055"/>
      <c r="NSE355" s="1054"/>
      <c r="NSF355" s="1055"/>
      <c r="NSG355" s="1054"/>
      <c r="NSH355" s="1055"/>
      <c r="NSI355" s="1054"/>
      <c r="NSJ355" s="1055"/>
      <c r="NSK355" s="1054"/>
      <c r="NSL355" s="1055"/>
      <c r="NSM355" s="1054"/>
      <c r="NSN355" s="1055"/>
      <c r="NSO355" s="1054"/>
      <c r="NSP355" s="1055"/>
      <c r="NSQ355" s="1054"/>
      <c r="NSR355" s="1055"/>
      <c r="NSS355" s="1054"/>
      <c r="NST355" s="1055"/>
      <c r="NSU355" s="1054"/>
      <c r="NSV355" s="1055"/>
      <c r="NSW355" s="1054"/>
      <c r="NSX355" s="1055"/>
      <c r="NSY355" s="1054"/>
      <c r="NSZ355" s="1055"/>
      <c r="NTA355" s="1054"/>
      <c r="NTB355" s="1055"/>
      <c r="NTC355" s="1054"/>
      <c r="NTD355" s="1055"/>
      <c r="NTE355" s="1054"/>
      <c r="NTF355" s="1055"/>
      <c r="NTG355" s="1054"/>
      <c r="NTH355" s="1055"/>
      <c r="NTI355" s="1054"/>
      <c r="NTJ355" s="1055"/>
      <c r="NTK355" s="1054"/>
      <c r="NTL355" s="1055"/>
      <c r="NTM355" s="1054"/>
      <c r="NTN355" s="1055"/>
      <c r="NTO355" s="1054"/>
      <c r="NTP355" s="1055"/>
      <c r="NTQ355" s="1054"/>
      <c r="NTR355" s="1055"/>
      <c r="NTS355" s="1054"/>
      <c r="NTT355" s="1055"/>
      <c r="NTU355" s="1054"/>
      <c r="NTV355" s="1055"/>
      <c r="NTW355" s="1054"/>
      <c r="NTX355" s="1055"/>
      <c r="NTY355" s="1054"/>
      <c r="NTZ355" s="1055"/>
      <c r="NUA355" s="1054"/>
      <c r="NUB355" s="1055"/>
      <c r="NUC355" s="1054"/>
      <c r="NUD355" s="1055"/>
      <c r="NUE355" s="1054"/>
      <c r="NUF355" s="1055"/>
      <c r="NUG355" s="1054"/>
      <c r="NUH355" s="1055"/>
      <c r="NUI355" s="1054"/>
      <c r="NUJ355" s="1055"/>
      <c r="NUK355" s="1054"/>
      <c r="NUL355" s="1055"/>
      <c r="NUM355" s="1054"/>
      <c r="NUN355" s="1055"/>
      <c r="NUO355" s="1054"/>
      <c r="NUP355" s="1055"/>
      <c r="NUQ355" s="1054"/>
      <c r="NUR355" s="1055"/>
      <c r="NUS355" s="1054"/>
      <c r="NUT355" s="1055"/>
      <c r="NUU355" s="1054"/>
      <c r="NUV355" s="1055"/>
      <c r="NUW355" s="1054"/>
      <c r="NUX355" s="1055"/>
      <c r="NUY355" s="1054"/>
      <c r="NUZ355" s="1055"/>
      <c r="NVA355" s="1054"/>
      <c r="NVB355" s="1055"/>
      <c r="NVC355" s="1054"/>
      <c r="NVD355" s="1055"/>
      <c r="NVE355" s="1054"/>
      <c r="NVF355" s="1055"/>
      <c r="NVG355" s="1054"/>
      <c r="NVH355" s="1055"/>
      <c r="NVI355" s="1054"/>
      <c r="NVJ355" s="1055"/>
      <c r="NVK355" s="1054"/>
      <c r="NVL355" s="1055"/>
      <c r="NVM355" s="1054"/>
      <c r="NVN355" s="1055"/>
      <c r="NVO355" s="1054"/>
      <c r="NVP355" s="1055"/>
      <c r="NVQ355" s="1054"/>
      <c r="NVR355" s="1055"/>
      <c r="NVS355" s="1054"/>
      <c r="NVT355" s="1055"/>
      <c r="NVU355" s="1054"/>
      <c r="NVV355" s="1055"/>
      <c r="NVW355" s="1054"/>
      <c r="NVX355" s="1055"/>
      <c r="NVY355" s="1054"/>
      <c r="NVZ355" s="1055"/>
      <c r="NWA355" s="1054"/>
      <c r="NWB355" s="1055"/>
      <c r="NWC355" s="1054"/>
      <c r="NWD355" s="1055"/>
      <c r="NWE355" s="1054"/>
      <c r="NWF355" s="1055"/>
      <c r="NWG355" s="1054"/>
      <c r="NWH355" s="1055"/>
      <c r="NWI355" s="1054"/>
      <c r="NWJ355" s="1055"/>
      <c r="NWK355" s="1054"/>
      <c r="NWL355" s="1055"/>
      <c r="NWM355" s="1054"/>
      <c r="NWN355" s="1055"/>
      <c r="NWO355" s="1054"/>
      <c r="NWP355" s="1055"/>
      <c r="NWQ355" s="1054"/>
      <c r="NWR355" s="1055"/>
      <c r="NWS355" s="1054"/>
      <c r="NWT355" s="1055"/>
      <c r="NWU355" s="1054"/>
      <c r="NWV355" s="1055"/>
      <c r="NWW355" s="1054"/>
      <c r="NWX355" s="1055"/>
      <c r="NWY355" s="1054"/>
      <c r="NWZ355" s="1055"/>
      <c r="NXA355" s="1054"/>
      <c r="NXB355" s="1055"/>
      <c r="NXC355" s="1054"/>
      <c r="NXD355" s="1055"/>
      <c r="NXE355" s="1054"/>
      <c r="NXF355" s="1055"/>
      <c r="NXG355" s="1054"/>
      <c r="NXH355" s="1055"/>
      <c r="NXI355" s="1054"/>
      <c r="NXJ355" s="1055"/>
      <c r="NXK355" s="1054"/>
      <c r="NXL355" s="1055"/>
      <c r="NXM355" s="1054"/>
      <c r="NXN355" s="1055"/>
      <c r="NXO355" s="1054"/>
      <c r="NXP355" s="1055"/>
      <c r="NXQ355" s="1054"/>
      <c r="NXR355" s="1055"/>
      <c r="NXS355" s="1054"/>
      <c r="NXT355" s="1055"/>
      <c r="NXU355" s="1054"/>
      <c r="NXV355" s="1055"/>
      <c r="NXW355" s="1054"/>
      <c r="NXX355" s="1055"/>
      <c r="NXY355" s="1054"/>
      <c r="NXZ355" s="1055"/>
      <c r="NYA355" s="1054"/>
      <c r="NYB355" s="1055"/>
      <c r="NYC355" s="1054"/>
      <c r="NYD355" s="1055"/>
      <c r="NYE355" s="1054"/>
      <c r="NYF355" s="1055"/>
      <c r="NYG355" s="1054"/>
      <c r="NYH355" s="1055"/>
      <c r="NYI355" s="1054"/>
      <c r="NYJ355" s="1055"/>
      <c r="NYK355" s="1054"/>
      <c r="NYL355" s="1055"/>
      <c r="NYM355" s="1054"/>
      <c r="NYN355" s="1055"/>
      <c r="NYO355" s="1054"/>
      <c r="NYP355" s="1055"/>
      <c r="NYQ355" s="1054"/>
      <c r="NYR355" s="1055"/>
      <c r="NYS355" s="1054"/>
      <c r="NYT355" s="1055"/>
      <c r="NYU355" s="1054"/>
      <c r="NYV355" s="1055"/>
      <c r="NYW355" s="1054"/>
      <c r="NYX355" s="1055"/>
      <c r="NYY355" s="1054"/>
      <c r="NYZ355" s="1055"/>
      <c r="NZA355" s="1054"/>
      <c r="NZB355" s="1055"/>
      <c r="NZC355" s="1054"/>
      <c r="NZD355" s="1055"/>
      <c r="NZE355" s="1054"/>
      <c r="NZF355" s="1055"/>
      <c r="NZG355" s="1054"/>
      <c r="NZH355" s="1055"/>
      <c r="NZI355" s="1054"/>
      <c r="NZJ355" s="1055"/>
      <c r="NZK355" s="1054"/>
      <c r="NZL355" s="1055"/>
      <c r="NZM355" s="1054"/>
      <c r="NZN355" s="1055"/>
      <c r="NZO355" s="1054"/>
      <c r="NZP355" s="1055"/>
      <c r="NZQ355" s="1054"/>
      <c r="NZR355" s="1055"/>
      <c r="NZS355" s="1054"/>
      <c r="NZT355" s="1055"/>
      <c r="NZU355" s="1054"/>
      <c r="NZV355" s="1055"/>
      <c r="NZW355" s="1054"/>
      <c r="NZX355" s="1055"/>
      <c r="NZY355" s="1054"/>
      <c r="NZZ355" s="1055"/>
      <c r="OAA355" s="1054"/>
      <c r="OAB355" s="1055"/>
      <c r="OAC355" s="1054"/>
      <c r="OAD355" s="1055"/>
      <c r="OAE355" s="1054"/>
      <c r="OAF355" s="1055"/>
      <c r="OAG355" s="1054"/>
      <c r="OAH355" s="1055"/>
      <c r="OAI355" s="1054"/>
      <c r="OAJ355" s="1055"/>
      <c r="OAK355" s="1054"/>
      <c r="OAL355" s="1055"/>
      <c r="OAM355" s="1054"/>
      <c r="OAN355" s="1055"/>
      <c r="OAO355" s="1054"/>
      <c r="OAP355" s="1055"/>
      <c r="OAQ355" s="1054"/>
      <c r="OAR355" s="1055"/>
      <c r="OAS355" s="1054"/>
      <c r="OAT355" s="1055"/>
      <c r="OAU355" s="1054"/>
      <c r="OAV355" s="1055"/>
      <c r="OAW355" s="1054"/>
      <c r="OAX355" s="1055"/>
      <c r="OAY355" s="1054"/>
      <c r="OAZ355" s="1055"/>
      <c r="OBA355" s="1054"/>
      <c r="OBB355" s="1055"/>
      <c r="OBC355" s="1054"/>
      <c r="OBD355" s="1055"/>
      <c r="OBE355" s="1054"/>
      <c r="OBF355" s="1055"/>
      <c r="OBG355" s="1054"/>
      <c r="OBH355" s="1055"/>
      <c r="OBI355" s="1054"/>
      <c r="OBJ355" s="1055"/>
      <c r="OBK355" s="1054"/>
      <c r="OBL355" s="1055"/>
      <c r="OBM355" s="1054"/>
      <c r="OBN355" s="1055"/>
      <c r="OBO355" s="1054"/>
      <c r="OBP355" s="1055"/>
      <c r="OBQ355" s="1054"/>
      <c r="OBR355" s="1055"/>
      <c r="OBS355" s="1054"/>
      <c r="OBT355" s="1055"/>
      <c r="OBU355" s="1054"/>
      <c r="OBV355" s="1055"/>
      <c r="OBW355" s="1054"/>
      <c r="OBX355" s="1055"/>
      <c r="OBY355" s="1054"/>
      <c r="OBZ355" s="1055"/>
      <c r="OCA355" s="1054"/>
      <c r="OCB355" s="1055"/>
      <c r="OCC355" s="1054"/>
      <c r="OCD355" s="1055"/>
      <c r="OCE355" s="1054"/>
      <c r="OCF355" s="1055"/>
      <c r="OCG355" s="1054"/>
      <c r="OCH355" s="1055"/>
      <c r="OCI355" s="1054"/>
      <c r="OCJ355" s="1055"/>
      <c r="OCK355" s="1054"/>
      <c r="OCL355" s="1055"/>
      <c r="OCM355" s="1054"/>
      <c r="OCN355" s="1055"/>
      <c r="OCO355" s="1054"/>
      <c r="OCP355" s="1055"/>
      <c r="OCQ355" s="1054"/>
      <c r="OCR355" s="1055"/>
      <c r="OCS355" s="1054"/>
      <c r="OCT355" s="1055"/>
      <c r="OCU355" s="1054"/>
      <c r="OCV355" s="1055"/>
      <c r="OCW355" s="1054"/>
      <c r="OCX355" s="1055"/>
      <c r="OCY355" s="1054"/>
      <c r="OCZ355" s="1055"/>
      <c r="ODA355" s="1054"/>
      <c r="ODB355" s="1055"/>
      <c r="ODC355" s="1054"/>
      <c r="ODD355" s="1055"/>
      <c r="ODE355" s="1054"/>
      <c r="ODF355" s="1055"/>
      <c r="ODG355" s="1054"/>
      <c r="ODH355" s="1055"/>
      <c r="ODI355" s="1054"/>
      <c r="ODJ355" s="1055"/>
      <c r="ODK355" s="1054"/>
      <c r="ODL355" s="1055"/>
      <c r="ODM355" s="1054"/>
      <c r="ODN355" s="1055"/>
      <c r="ODO355" s="1054"/>
      <c r="ODP355" s="1055"/>
      <c r="ODQ355" s="1054"/>
      <c r="ODR355" s="1055"/>
      <c r="ODS355" s="1054"/>
      <c r="ODT355" s="1055"/>
      <c r="ODU355" s="1054"/>
      <c r="ODV355" s="1055"/>
      <c r="ODW355" s="1054"/>
      <c r="ODX355" s="1055"/>
      <c r="ODY355" s="1054"/>
      <c r="ODZ355" s="1055"/>
      <c r="OEA355" s="1054"/>
      <c r="OEB355" s="1055"/>
      <c r="OEC355" s="1054"/>
      <c r="OED355" s="1055"/>
      <c r="OEE355" s="1054"/>
      <c r="OEF355" s="1055"/>
      <c r="OEG355" s="1054"/>
      <c r="OEH355" s="1055"/>
      <c r="OEI355" s="1054"/>
      <c r="OEJ355" s="1055"/>
      <c r="OEK355" s="1054"/>
      <c r="OEL355" s="1055"/>
      <c r="OEM355" s="1054"/>
      <c r="OEN355" s="1055"/>
      <c r="OEO355" s="1054"/>
      <c r="OEP355" s="1055"/>
      <c r="OEQ355" s="1054"/>
      <c r="OER355" s="1055"/>
      <c r="OES355" s="1054"/>
      <c r="OET355" s="1055"/>
      <c r="OEU355" s="1054"/>
      <c r="OEV355" s="1055"/>
      <c r="OEW355" s="1054"/>
      <c r="OEX355" s="1055"/>
      <c r="OEY355" s="1054"/>
      <c r="OEZ355" s="1055"/>
      <c r="OFA355" s="1054"/>
      <c r="OFB355" s="1055"/>
      <c r="OFC355" s="1054"/>
      <c r="OFD355" s="1055"/>
      <c r="OFE355" s="1054"/>
      <c r="OFF355" s="1055"/>
      <c r="OFG355" s="1054"/>
      <c r="OFH355" s="1055"/>
      <c r="OFI355" s="1054"/>
      <c r="OFJ355" s="1055"/>
      <c r="OFK355" s="1054"/>
      <c r="OFL355" s="1055"/>
      <c r="OFM355" s="1054"/>
      <c r="OFN355" s="1055"/>
      <c r="OFO355" s="1054"/>
      <c r="OFP355" s="1055"/>
      <c r="OFQ355" s="1054"/>
      <c r="OFR355" s="1055"/>
      <c r="OFS355" s="1054"/>
      <c r="OFT355" s="1055"/>
      <c r="OFU355" s="1054"/>
      <c r="OFV355" s="1055"/>
      <c r="OFW355" s="1054"/>
      <c r="OFX355" s="1055"/>
      <c r="OFY355" s="1054"/>
      <c r="OFZ355" s="1055"/>
      <c r="OGA355" s="1054"/>
      <c r="OGB355" s="1055"/>
      <c r="OGC355" s="1054"/>
      <c r="OGD355" s="1055"/>
      <c r="OGE355" s="1054"/>
      <c r="OGF355" s="1055"/>
      <c r="OGG355" s="1054"/>
      <c r="OGH355" s="1055"/>
      <c r="OGI355" s="1054"/>
      <c r="OGJ355" s="1055"/>
      <c r="OGK355" s="1054"/>
      <c r="OGL355" s="1055"/>
      <c r="OGM355" s="1054"/>
      <c r="OGN355" s="1055"/>
      <c r="OGO355" s="1054"/>
      <c r="OGP355" s="1055"/>
      <c r="OGQ355" s="1054"/>
      <c r="OGR355" s="1055"/>
      <c r="OGS355" s="1054"/>
      <c r="OGT355" s="1055"/>
      <c r="OGU355" s="1054"/>
      <c r="OGV355" s="1055"/>
      <c r="OGW355" s="1054"/>
      <c r="OGX355" s="1055"/>
      <c r="OGY355" s="1054"/>
      <c r="OGZ355" s="1055"/>
      <c r="OHA355" s="1054"/>
      <c r="OHB355" s="1055"/>
      <c r="OHC355" s="1054"/>
      <c r="OHD355" s="1055"/>
      <c r="OHE355" s="1054"/>
      <c r="OHF355" s="1055"/>
      <c r="OHG355" s="1054"/>
      <c r="OHH355" s="1055"/>
      <c r="OHI355" s="1054"/>
      <c r="OHJ355" s="1055"/>
      <c r="OHK355" s="1054"/>
      <c r="OHL355" s="1055"/>
      <c r="OHM355" s="1054"/>
      <c r="OHN355" s="1055"/>
      <c r="OHO355" s="1054"/>
      <c r="OHP355" s="1055"/>
      <c r="OHQ355" s="1054"/>
      <c r="OHR355" s="1055"/>
      <c r="OHS355" s="1054"/>
      <c r="OHT355" s="1055"/>
      <c r="OHU355" s="1054"/>
      <c r="OHV355" s="1055"/>
      <c r="OHW355" s="1054"/>
      <c r="OHX355" s="1055"/>
      <c r="OHY355" s="1054"/>
      <c r="OHZ355" s="1055"/>
      <c r="OIA355" s="1054"/>
      <c r="OIB355" s="1055"/>
      <c r="OIC355" s="1054"/>
      <c r="OID355" s="1055"/>
      <c r="OIE355" s="1054"/>
      <c r="OIF355" s="1055"/>
      <c r="OIG355" s="1054"/>
      <c r="OIH355" s="1055"/>
      <c r="OII355" s="1054"/>
      <c r="OIJ355" s="1055"/>
      <c r="OIK355" s="1054"/>
      <c r="OIL355" s="1055"/>
      <c r="OIM355" s="1054"/>
      <c r="OIN355" s="1055"/>
      <c r="OIO355" s="1054"/>
      <c r="OIP355" s="1055"/>
      <c r="OIQ355" s="1054"/>
      <c r="OIR355" s="1055"/>
      <c r="OIS355" s="1054"/>
      <c r="OIT355" s="1055"/>
      <c r="OIU355" s="1054"/>
      <c r="OIV355" s="1055"/>
      <c r="OIW355" s="1054"/>
      <c r="OIX355" s="1055"/>
      <c r="OIY355" s="1054"/>
      <c r="OIZ355" s="1055"/>
      <c r="OJA355" s="1054"/>
      <c r="OJB355" s="1055"/>
      <c r="OJC355" s="1054"/>
      <c r="OJD355" s="1055"/>
      <c r="OJE355" s="1054"/>
      <c r="OJF355" s="1055"/>
      <c r="OJG355" s="1054"/>
      <c r="OJH355" s="1055"/>
      <c r="OJI355" s="1054"/>
      <c r="OJJ355" s="1055"/>
      <c r="OJK355" s="1054"/>
      <c r="OJL355" s="1055"/>
      <c r="OJM355" s="1054"/>
      <c r="OJN355" s="1055"/>
      <c r="OJO355" s="1054"/>
      <c r="OJP355" s="1055"/>
      <c r="OJQ355" s="1054"/>
      <c r="OJR355" s="1055"/>
      <c r="OJS355" s="1054"/>
      <c r="OJT355" s="1055"/>
      <c r="OJU355" s="1054"/>
      <c r="OJV355" s="1055"/>
      <c r="OJW355" s="1054"/>
      <c r="OJX355" s="1055"/>
      <c r="OJY355" s="1054"/>
      <c r="OJZ355" s="1055"/>
      <c r="OKA355" s="1054"/>
      <c r="OKB355" s="1055"/>
      <c r="OKC355" s="1054"/>
      <c r="OKD355" s="1055"/>
      <c r="OKE355" s="1054"/>
      <c r="OKF355" s="1055"/>
      <c r="OKG355" s="1054"/>
      <c r="OKH355" s="1055"/>
      <c r="OKI355" s="1054"/>
      <c r="OKJ355" s="1055"/>
      <c r="OKK355" s="1054"/>
      <c r="OKL355" s="1055"/>
      <c r="OKM355" s="1054"/>
      <c r="OKN355" s="1055"/>
      <c r="OKO355" s="1054"/>
      <c r="OKP355" s="1055"/>
      <c r="OKQ355" s="1054"/>
      <c r="OKR355" s="1055"/>
      <c r="OKS355" s="1054"/>
      <c r="OKT355" s="1055"/>
      <c r="OKU355" s="1054"/>
      <c r="OKV355" s="1055"/>
      <c r="OKW355" s="1054"/>
      <c r="OKX355" s="1055"/>
      <c r="OKY355" s="1054"/>
      <c r="OKZ355" s="1055"/>
      <c r="OLA355" s="1054"/>
      <c r="OLB355" s="1055"/>
      <c r="OLC355" s="1054"/>
      <c r="OLD355" s="1055"/>
      <c r="OLE355" s="1054"/>
      <c r="OLF355" s="1055"/>
      <c r="OLG355" s="1054"/>
      <c r="OLH355" s="1055"/>
      <c r="OLI355" s="1054"/>
      <c r="OLJ355" s="1055"/>
      <c r="OLK355" s="1054"/>
      <c r="OLL355" s="1055"/>
      <c r="OLM355" s="1054"/>
      <c r="OLN355" s="1055"/>
      <c r="OLO355" s="1054"/>
      <c r="OLP355" s="1055"/>
      <c r="OLQ355" s="1054"/>
      <c r="OLR355" s="1055"/>
      <c r="OLS355" s="1054"/>
      <c r="OLT355" s="1055"/>
      <c r="OLU355" s="1054"/>
      <c r="OLV355" s="1055"/>
      <c r="OLW355" s="1054"/>
      <c r="OLX355" s="1055"/>
      <c r="OLY355" s="1054"/>
      <c r="OLZ355" s="1055"/>
      <c r="OMA355" s="1054"/>
      <c r="OMB355" s="1055"/>
      <c r="OMC355" s="1054"/>
      <c r="OMD355" s="1055"/>
      <c r="OME355" s="1054"/>
      <c r="OMF355" s="1055"/>
      <c r="OMG355" s="1054"/>
      <c r="OMH355" s="1055"/>
      <c r="OMI355" s="1054"/>
      <c r="OMJ355" s="1055"/>
      <c r="OMK355" s="1054"/>
      <c r="OML355" s="1055"/>
      <c r="OMM355" s="1054"/>
      <c r="OMN355" s="1055"/>
      <c r="OMO355" s="1054"/>
      <c r="OMP355" s="1055"/>
      <c r="OMQ355" s="1054"/>
      <c r="OMR355" s="1055"/>
      <c r="OMS355" s="1054"/>
      <c r="OMT355" s="1055"/>
      <c r="OMU355" s="1054"/>
      <c r="OMV355" s="1055"/>
      <c r="OMW355" s="1054"/>
      <c r="OMX355" s="1055"/>
      <c r="OMY355" s="1054"/>
      <c r="OMZ355" s="1055"/>
      <c r="ONA355" s="1054"/>
      <c r="ONB355" s="1055"/>
      <c r="ONC355" s="1054"/>
      <c r="OND355" s="1055"/>
      <c r="ONE355" s="1054"/>
      <c r="ONF355" s="1055"/>
      <c r="ONG355" s="1054"/>
      <c r="ONH355" s="1055"/>
      <c r="ONI355" s="1054"/>
      <c r="ONJ355" s="1055"/>
      <c r="ONK355" s="1054"/>
      <c r="ONL355" s="1055"/>
      <c r="ONM355" s="1054"/>
      <c r="ONN355" s="1055"/>
      <c r="ONO355" s="1054"/>
      <c r="ONP355" s="1055"/>
      <c r="ONQ355" s="1054"/>
      <c r="ONR355" s="1055"/>
      <c r="ONS355" s="1054"/>
      <c r="ONT355" s="1055"/>
      <c r="ONU355" s="1054"/>
      <c r="ONV355" s="1055"/>
      <c r="ONW355" s="1054"/>
      <c r="ONX355" s="1055"/>
      <c r="ONY355" s="1054"/>
      <c r="ONZ355" s="1055"/>
      <c r="OOA355" s="1054"/>
      <c r="OOB355" s="1055"/>
      <c r="OOC355" s="1054"/>
      <c r="OOD355" s="1055"/>
      <c r="OOE355" s="1054"/>
      <c r="OOF355" s="1055"/>
      <c r="OOG355" s="1054"/>
      <c r="OOH355" s="1055"/>
      <c r="OOI355" s="1054"/>
      <c r="OOJ355" s="1055"/>
      <c r="OOK355" s="1054"/>
      <c r="OOL355" s="1055"/>
      <c r="OOM355" s="1054"/>
      <c r="OON355" s="1055"/>
      <c r="OOO355" s="1054"/>
      <c r="OOP355" s="1055"/>
      <c r="OOQ355" s="1054"/>
      <c r="OOR355" s="1055"/>
      <c r="OOS355" s="1054"/>
      <c r="OOT355" s="1055"/>
      <c r="OOU355" s="1054"/>
      <c r="OOV355" s="1055"/>
      <c r="OOW355" s="1054"/>
      <c r="OOX355" s="1055"/>
      <c r="OOY355" s="1054"/>
      <c r="OOZ355" s="1055"/>
      <c r="OPA355" s="1054"/>
      <c r="OPB355" s="1055"/>
      <c r="OPC355" s="1054"/>
      <c r="OPD355" s="1055"/>
      <c r="OPE355" s="1054"/>
      <c r="OPF355" s="1055"/>
      <c r="OPG355" s="1054"/>
      <c r="OPH355" s="1055"/>
      <c r="OPI355" s="1054"/>
      <c r="OPJ355" s="1055"/>
      <c r="OPK355" s="1054"/>
      <c r="OPL355" s="1055"/>
      <c r="OPM355" s="1054"/>
      <c r="OPN355" s="1055"/>
      <c r="OPO355" s="1054"/>
      <c r="OPP355" s="1055"/>
      <c r="OPQ355" s="1054"/>
      <c r="OPR355" s="1055"/>
      <c r="OPS355" s="1054"/>
      <c r="OPT355" s="1055"/>
      <c r="OPU355" s="1054"/>
      <c r="OPV355" s="1055"/>
      <c r="OPW355" s="1054"/>
      <c r="OPX355" s="1055"/>
      <c r="OPY355" s="1054"/>
      <c r="OPZ355" s="1055"/>
      <c r="OQA355" s="1054"/>
      <c r="OQB355" s="1055"/>
      <c r="OQC355" s="1054"/>
      <c r="OQD355" s="1055"/>
      <c r="OQE355" s="1054"/>
      <c r="OQF355" s="1055"/>
      <c r="OQG355" s="1054"/>
      <c r="OQH355" s="1055"/>
      <c r="OQI355" s="1054"/>
      <c r="OQJ355" s="1055"/>
      <c r="OQK355" s="1054"/>
      <c r="OQL355" s="1055"/>
      <c r="OQM355" s="1054"/>
      <c r="OQN355" s="1055"/>
      <c r="OQO355" s="1054"/>
      <c r="OQP355" s="1055"/>
      <c r="OQQ355" s="1054"/>
      <c r="OQR355" s="1055"/>
      <c r="OQS355" s="1054"/>
      <c r="OQT355" s="1055"/>
      <c r="OQU355" s="1054"/>
      <c r="OQV355" s="1055"/>
      <c r="OQW355" s="1054"/>
      <c r="OQX355" s="1055"/>
      <c r="OQY355" s="1054"/>
      <c r="OQZ355" s="1055"/>
      <c r="ORA355" s="1054"/>
      <c r="ORB355" s="1055"/>
      <c r="ORC355" s="1054"/>
      <c r="ORD355" s="1055"/>
      <c r="ORE355" s="1054"/>
      <c r="ORF355" s="1055"/>
      <c r="ORG355" s="1054"/>
      <c r="ORH355" s="1055"/>
      <c r="ORI355" s="1054"/>
      <c r="ORJ355" s="1055"/>
      <c r="ORK355" s="1054"/>
      <c r="ORL355" s="1055"/>
      <c r="ORM355" s="1054"/>
      <c r="ORN355" s="1055"/>
      <c r="ORO355" s="1054"/>
      <c r="ORP355" s="1055"/>
      <c r="ORQ355" s="1054"/>
      <c r="ORR355" s="1055"/>
      <c r="ORS355" s="1054"/>
      <c r="ORT355" s="1055"/>
      <c r="ORU355" s="1054"/>
      <c r="ORV355" s="1055"/>
      <c r="ORW355" s="1054"/>
      <c r="ORX355" s="1055"/>
      <c r="ORY355" s="1054"/>
      <c r="ORZ355" s="1055"/>
      <c r="OSA355" s="1054"/>
      <c r="OSB355" s="1055"/>
      <c r="OSC355" s="1054"/>
      <c r="OSD355" s="1055"/>
      <c r="OSE355" s="1054"/>
      <c r="OSF355" s="1055"/>
      <c r="OSG355" s="1054"/>
      <c r="OSH355" s="1055"/>
      <c r="OSI355" s="1054"/>
      <c r="OSJ355" s="1055"/>
      <c r="OSK355" s="1054"/>
      <c r="OSL355" s="1055"/>
      <c r="OSM355" s="1054"/>
      <c r="OSN355" s="1055"/>
      <c r="OSO355" s="1054"/>
      <c r="OSP355" s="1055"/>
      <c r="OSQ355" s="1054"/>
      <c r="OSR355" s="1055"/>
      <c r="OSS355" s="1054"/>
      <c r="OST355" s="1055"/>
      <c r="OSU355" s="1054"/>
      <c r="OSV355" s="1055"/>
      <c r="OSW355" s="1054"/>
      <c r="OSX355" s="1055"/>
      <c r="OSY355" s="1054"/>
      <c r="OSZ355" s="1055"/>
      <c r="OTA355" s="1054"/>
      <c r="OTB355" s="1055"/>
      <c r="OTC355" s="1054"/>
      <c r="OTD355" s="1055"/>
      <c r="OTE355" s="1054"/>
      <c r="OTF355" s="1055"/>
      <c r="OTG355" s="1054"/>
      <c r="OTH355" s="1055"/>
      <c r="OTI355" s="1054"/>
      <c r="OTJ355" s="1055"/>
      <c r="OTK355" s="1054"/>
      <c r="OTL355" s="1055"/>
      <c r="OTM355" s="1054"/>
      <c r="OTN355" s="1055"/>
      <c r="OTO355" s="1054"/>
      <c r="OTP355" s="1055"/>
      <c r="OTQ355" s="1054"/>
      <c r="OTR355" s="1055"/>
      <c r="OTS355" s="1054"/>
      <c r="OTT355" s="1055"/>
      <c r="OTU355" s="1054"/>
      <c r="OTV355" s="1055"/>
      <c r="OTW355" s="1054"/>
      <c r="OTX355" s="1055"/>
      <c r="OTY355" s="1054"/>
      <c r="OTZ355" s="1055"/>
      <c r="OUA355" s="1054"/>
      <c r="OUB355" s="1055"/>
      <c r="OUC355" s="1054"/>
      <c r="OUD355" s="1055"/>
      <c r="OUE355" s="1054"/>
      <c r="OUF355" s="1055"/>
      <c r="OUG355" s="1054"/>
      <c r="OUH355" s="1055"/>
      <c r="OUI355" s="1054"/>
      <c r="OUJ355" s="1055"/>
      <c r="OUK355" s="1054"/>
      <c r="OUL355" s="1055"/>
      <c r="OUM355" s="1054"/>
      <c r="OUN355" s="1055"/>
      <c r="OUO355" s="1054"/>
      <c r="OUP355" s="1055"/>
      <c r="OUQ355" s="1054"/>
      <c r="OUR355" s="1055"/>
      <c r="OUS355" s="1054"/>
      <c r="OUT355" s="1055"/>
      <c r="OUU355" s="1054"/>
      <c r="OUV355" s="1055"/>
      <c r="OUW355" s="1054"/>
      <c r="OUX355" s="1055"/>
      <c r="OUY355" s="1054"/>
      <c r="OUZ355" s="1055"/>
      <c r="OVA355" s="1054"/>
      <c r="OVB355" s="1055"/>
      <c r="OVC355" s="1054"/>
      <c r="OVD355" s="1055"/>
      <c r="OVE355" s="1054"/>
      <c r="OVF355" s="1055"/>
      <c r="OVG355" s="1054"/>
      <c r="OVH355" s="1055"/>
      <c r="OVI355" s="1054"/>
      <c r="OVJ355" s="1055"/>
      <c r="OVK355" s="1054"/>
      <c r="OVL355" s="1055"/>
      <c r="OVM355" s="1054"/>
      <c r="OVN355" s="1055"/>
      <c r="OVO355" s="1054"/>
      <c r="OVP355" s="1055"/>
      <c r="OVQ355" s="1054"/>
      <c r="OVR355" s="1055"/>
      <c r="OVS355" s="1054"/>
      <c r="OVT355" s="1055"/>
      <c r="OVU355" s="1054"/>
      <c r="OVV355" s="1055"/>
      <c r="OVW355" s="1054"/>
      <c r="OVX355" s="1055"/>
      <c r="OVY355" s="1054"/>
      <c r="OVZ355" s="1055"/>
      <c r="OWA355" s="1054"/>
      <c r="OWB355" s="1055"/>
      <c r="OWC355" s="1054"/>
      <c r="OWD355" s="1055"/>
      <c r="OWE355" s="1054"/>
      <c r="OWF355" s="1055"/>
      <c r="OWG355" s="1054"/>
      <c r="OWH355" s="1055"/>
      <c r="OWI355" s="1054"/>
      <c r="OWJ355" s="1055"/>
      <c r="OWK355" s="1054"/>
      <c r="OWL355" s="1055"/>
      <c r="OWM355" s="1054"/>
      <c r="OWN355" s="1055"/>
      <c r="OWO355" s="1054"/>
      <c r="OWP355" s="1055"/>
      <c r="OWQ355" s="1054"/>
      <c r="OWR355" s="1055"/>
      <c r="OWS355" s="1054"/>
      <c r="OWT355" s="1055"/>
      <c r="OWU355" s="1054"/>
      <c r="OWV355" s="1055"/>
      <c r="OWW355" s="1054"/>
      <c r="OWX355" s="1055"/>
      <c r="OWY355" s="1054"/>
      <c r="OWZ355" s="1055"/>
      <c r="OXA355" s="1054"/>
      <c r="OXB355" s="1055"/>
      <c r="OXC355" s="1054"/>
      <c r="OXD355" s="1055"/>
      <c r="OXE355" s="1054"/>
      <c r="OXF355" s="1055"/>
      <c r="OXG355" s="1054"/>
      <c r="OXH355" s="1055"/>
      <c r="OXI355" s="1054"/>
      <c r="OXJ355" s="1055"/>
      <c r="OXK355" s="1054"/>
      <c r="OXL355" s="1055"/>
      <c r="OXM355" s="1054"/>
      <c r="OXN355" s="1055"/>
      <c r="OXO355" s="1054"/>
      <c r="OXP355" s="1055"/>
      <c r="OXQ355" s="1054"/>
      <c r="OXR355" s="1055"/>
      <c r="OXS355" s="1054"/>
      <c r="OXT355" s="1055"/>
      <c r="OXU355" s="1054"/>
      <c r="OXV355" s="1055"/>
      <c r="OXW355" s="1054"/>
      <c r="OXX355" s="1055"/>
      <c r="OXY355" s="1054"/>
      <c r="OXZ355" s="1055"/>
      <c r="OYA355" s="1054"/>
      <c r="OYB355" s="1055"/>
      <c r="OYC355" s="1054"/>
      <c r="OYD355" s="1055"/>
      <c r="OYE355" s="1054"/>
      <c r="OYF355" s="1055"/>
      <c r="OYG355" s="1054"/>
      <c r="OYH355" s="1055"/>
      <c r="OYI355" s="1054"/>
      <c r="OYJ355" s="1055"/>
      <c r="OYK355" s="1054"/>
      <c r="OYL355" s="1055"/>
      <c r="OYM355" s="1054"/>
      <c r="OYN355" s="1055"/>
      <c r="OYO355" s="1054"/>
      <c r="OYP355" s="1055"/>
      <c r="OYQ355" s="1054"/>
      <c r="OYR355" s="1055"/>
      <c r="OYS355" s="1054"/>
      <c r="OYT355" s="1055"/>
      <c r="OYU355" s="1054"/>
      <c r="OYV355" s="1055"/>
      <c r="OYW355" s="1054"/>
      <c r="OYX355" s="1055"/>
      <c r="OYY355" s="1054"/>
      <c r="OYZ355" s="1055"/>
      <c r="OZA355" s="1054"/>
      <c r="OZB355" s="1055"/>
      <c r="OZC355" s="1054"/>
      <c r="OZD355" s="1055"/>
      <c r="OZE355" s="1054"/>
      <c r="OZF355" s="1055"/>
      <c r="OZG355" s="1054"/>
      <c r="OZH355" s="1055"/>
      <c r="OZI355" s="1054"/>
      <c r="OZJ355" s="1055"/>
      <c r="OZK355" s="1054"/>
      <c r="OZL355" s="1055"/>
      <c r="OZM355" s="1054"/>
      <c r="OZN355" s="1055"/>
      <c r="OZO355" s="1054"/>
      <c r="OZP355" s="1055"/>
      <c r="OZQ355" s="1054"/>
      <c r="OZR355" s="1055"/>
      <c r="OZS355" s="1054"/>
      <c r="OZT355" s="1055"/>
      <c r="OZU355" s="1054"/>
      <c r="OZV355" s="1055"/>
      <c r="OZW355" s="1054"/>
      <c r="OZX355" s="1055"/>
      <c r="OZY355" s="1054"/>
      <c r="OZZ355" s="1055"/>
      <c r="PAA355" s="1054"/>
      <c r="PAB355" s="1055"/>
      <c r="PAC355" s="1054"/>
      <c r="PAD355" s="1055"/>
      <c r="PAE355" s="1054"/>
      <c r="PAF355" s="1055"/>
      <c r="PAG355" s="1054"/>
      <c r="PAH355" s="1055"/>
      <c r="PAI355" s="1054"/>
      <c r="PAJ355" s="1055"/>
      <c r="PAK355" s="1054"/>
      <c r="PAL355" s="1055"/>
      <c r="PAM355" s="1054"/>
      <c r="PAN355" s="1055"/>
      <c r="PAO355" s="1054"/>
      <c r="PAP355" s="1055"/>
      <c r="PAQ355" s="1054"/>
      <c r="PAR355" s="1055"/>
      <c r="PAS355" s="1054"/>
      <c r="PAT355" s="1055"/>
      <c r="PAU355" s="1054"/>
      <c r="PAV355" s="1055"/>
      <c r="PAW355" s="1054"/>
      <c r="PAX355" s="1055"/>
      <c r="PAY355" s="1054"/>
      <c r="PAZ355" s="1055"/>
      <c r="PBA355" s="1054"/>
      <c r="PBB355" s="1055"/>
      <c r="PBC355" s="1054"/>
      <c r="PBD355" s="1055"/>
      <c r="PBE355" s="1054"/>
      <c r="PBF355" s="1055"/>
      <c r="PBG355" s="1054"/>
      <c r="PBH355" s="1055"/>
      <c r="PBI355" s="1054"/>
      <c r="PBJ355" s="1055"/>
      <c r="PBK355" s="1054"/>
      <c r="PBL355" s="1055"/>
      <c r="PBM355" s="1054"/>
      <c r="PBN355" s="1055"/>
      <c r="PBO355" s="1054"/>
      <c r="PBP355" s="1055"/>
      <c r="PBQ355" s="1054"/>
      <c r="PBR355" s="1055"/>
      <c r="PBS355" s="1054"/>
      <c r="PBT355" s="1055"/>
      <c r="PBU355" s="1054"/>
      <c r="PBV355" s="1055"/>
      <c r="PBW355" s="1054"/>
      <c r="PBX355" s="1055"/>
      <c r="PBY355" s="1054"/>
      <c r="PBZ355" s="1055"/>
      <c r="PCA355" s="1054"/>
      <c r="PCB355" s="1055"/>
      <c r="PCC355" s="1054"/>
      <c r="PCD355" s="1055"/>
      <c r="PCE355" s="1054"/>
      <c r="PCF355" s="1055"/>
      <c r="PCG355" s="1054"/>
      <c r="PCH355" s="1055"/>
      <c r="PCI355" s="1054"/>
      <c r="PCJ355" s="1055"/>
      <c r="PCK355" s="1054"/>
      <c r="PCL355" s="1055"/>
      <c r="PCM355" s="1054"/>
      <c r="PCN355" s="1055"/>
      <c r="PCO355" s="1054"/>
      <c r="PCP355" s="1055"/>
      <c r="PCQ355" s="1054"/>
      <c r="PCR355" s="1055"/>
      <c r="PCS355" s="1054"/>
      <c r="PCT355" s="1055"/>
      <c r="PCU355" s="1054"/>
      <c r="PCV355" s="1055"/>
      <c r="PCW355" s="1054"/>
      <c r="PCX355" s="1055"/>
      <c r="PCY355" s="1054"/>
      <c r="PCZ355" s="1055"/>
      <c r="PDA355" s="1054"/>
      <c r="PDB355" s="1055"/>
      <c r="PDC355" s="1054"/>
      <c r="PDD355" s="1055"/>
      <c r="PDE355" s="1054"/>
      <c r="PDF355" s="1055"/>
      <c r="PDG355" s="1054"/>
      <c r="PDH355" s="1055"/>
      <c r="PDI355" s="1054"/>
      <c r="PDJ355" s="1055"/>
      <c r="PDK355" s="1054"/>
      <c r="PDL355" s="1055"/>
      <c r="PDM355" s="1054"/>
      <c r="PDN355" s="1055"/>
      <c r="PDO355" s="1054"/>
      <c r="PDP355" s="1055"/>
      <c r="PDQ355" s="1054"/>
      <c r="PDR355" s="1055"/>
      <c r="PDS355" s="1054"/>
      <c r="PDT355" s="1055"/>
      <c r="PDU355" s="1054"/>
      <c r="PDV355" s="1055"/>
      <c r="PDW355" s="1054"/>
      <c r="PDX355" s="1055"/>
      <c r="PDY355" s="1054"/>
      <c r="PDZ355" s="1055"/>
      <c r="PEA355" s="1054"/>
      <c r="PEB355" s="1055"/>
      <c r="PEC355" s="1054"/>
      <c r="PED355" s="1055"/>
      <c r="PEE355" s="1054"/>
      <c r="PEF355" s="1055"/>
      <c r="PEG355" s="1054"/>
      <c r="PEH355" s="1055"/>
      <c r="PEI355" s="1054"/>
      <c r="PEJ355" s="1055"/>
      <c r="PEK355" s="1054"/>
      <c r="PEL355" s="1055"/>
      <c r="PEM355" s="1054"/>
      <c r="PEN355" s="1055"/>
      <c r="PEO355" s="1054"/>
      <c r="PEP355" s="1055"/>
      <c r="PEQ355" s="1054"/>
      <c r="PER355" s="1055"/>
      <c r="PES355" s="1054"/>
      <c r="PET355" s="1055"/>
      <c r="PEU355" s="1054"/>
      <c r="PEV355" s="1055"/>
      <c r="PEW355" s="1054"/>
      <c r="PEX355" s="1055"/>
      <c r="PEY355" s="1054"/>
      <c r="PEZ355" s="1055"/>
      <c r="PFA355" s="1054"/>
      <c r="PFB355" s="1055"/>
      <c r="PFC355" s="1054"/>
      <c r="PFD355" s="1055"/>
      <c r="PFE355" s="1054"/>
      <c r="PFF355" s="1055"/>
      <c r="PFG355" s="1054"/>
      <c r="PFH355" s="1055"/>
      <c r="PFI355" s="1054"/>
      <c r="PFJ355" s="1055"/>
      <c r="PFK355" s="1054"/>
      <c r="PFL355" s="1055"/>
      <c r="PFM355" s="1054"/>
      <c r="PFN355" s="1055"/>
      <c r="PFO355" s="1054"/>
      <c r="PFP355" s="1055"/>
      <c r="PFQ355" s="1054"/>
      <c r="PFR355" s="1055"/>
      <c r="PFS355" s="1054"/>
      <c r="PFT355" s="1055"/>
      <c r="PFU355" s="1054"/>
      <c r="PFV355" s="1055"/>
      <c r="PFW355" s="1054"/>
      <c r="PFX355" s="1055"/>
      <c r="PFY355" s="1054"/>
      <c r="PFZ355" s="1055"/>
      <c r="PGA355" s="1054"/>
      <c r="PGB355" s="1055"/>
      <c r="PGC355" s="1054"/>
      <c r="PGD355" s="1055"/>
      <c r="PGE355" s="1054"/>
      <c r="PGF355" s="1055"/>
      <c r="PGG355" s="1054"/>
      <c r="PGH355" s="1055"/>
      <c r="PGI355" s="1054"/>
      <c r="PGJ355" s="1055"/>
      <c r="PGK355" s="1054"/>
      <c r="PGL355" s="1055"/>
      <c r="PGM355" s="1054"/>
      <c r="PGN355" s="1055"/>
      <c r="PGO355" s="1054"/>
      <c r="PGP355" s="1055"/>
      <c r="PGQ355" s="1054"/>
      <c r="PGR355" s="1055"/>
      <c r="PGS355" s="1054"/>
      <c r="PGT355" s="1055"/>
      <c r="PGU355" s="1054"/>
      <c r="PGV355" s="1055"/>
      <c r="PGW355" s="1054"/>
      <c r="PGX355" s="1055"/>
      <c r="PGY355" s="1054"/>
      <c r="PGZ355" s="1055"/>
      <c r="PHA355" s="1054"/>
      <c r="PHB355" s="1055"/>
      <c r="PHC355" s="1054"/>
      <c r="PHD355" s="1055"/>
      <c r="PHE355" s="1054"/>
      <c r="PHF355" s="1055"/>
      <c r="PHG355" s="1054"/>
      <c r="PHH355" s="1055"/>
      <c r="PHI355" s="1054"/>
      <c r="PHJ355" s="1055"/>
      <c r="PHK355" s="1054"/>
      <c r="PHL355" s="1055"/>
      <c r="PHM355" s="1054"/>
      <c r="PHN355" s="1055"/>
      <c r="PHO355" s="1054"/>
      <c r="PHP355" s="1055"/>
      <c r="PHQ355" s="1054"/>
      <c r="PHR355" s="1055"/>
      <c r="PHS355" s="1054"/>
      <c r="PHT355" s="1055"/>
      <c r="PHU355" s="1054"/>
      <c r="PHV355" s="1055"/>
      <c r="PHW355" s="1054"/>
      <c r="PHX355" s="1055"/>
      <c r="PHY355" s="1054"/>
      <c r="PHZ355" s="1055"/>
      <c r="PIA355" s="1054"/>
      <c r="PIB355" s="1055"/>
      <c r="PIC355" s="1054"/>
      <c r="PID355" s="1055"/>
      <c r="PIE355" s="1054"/>
      <c r="PIF355" s="1055"/>
      <c r="PIG355" s="1054"/>
      <c r="PIH355" s="1055"/>
      <c r="PII355" s="1054"/>
      <c r="PIJ355" s="1055"/>
      <c r="PIK355" s="1054"/>
      <c r="PIL355" s="1055"/>
      <c r="PIM355" s="1054"/>
      <c r="PIN355" s="1055"/>
      <c r="PIO355" s="1054"/>
      <c r="PIP355" s="1055"/>
      <c r="PIQ355" s="1054"/>
      <c r="PIR355" s="1055"/>
      <c r="PIS355" s="1054"/>
      <c r="PIT355" s="1055"/>
      <c r="PIU355" s="1054"/>
      <c r="PIV355" s="1055"/>
      <c r="PIW355" s="1054"/>
      <c r="PIX355" s="1055"/>
      <c r="PIY355" s="1054"/>
      <c r="PIZ355" s="1055"/>
      <c r="PJA355" s="1054"/>
      <c r="PJB355" s="1055"/>
      <c r="PJC355" s="1054"/>
      <c r="PJD355" s="1055"/>
      <c r="PJE355" s="1054"/>
      <c r="PJF355" s="1055"/>
      <c r="PJG355" s="1054"/>
      <c r="PJH355" s="1055"/>
      <c r="PJI355" s="1054"/>
      <c r="PJJ355" s="1055"/>
      <c r="PJK355" s="1054"/>
      <c r="PJL355" s="1055"/>
      <c r="PJM355" s="1054"/>
      <c r="PJN355" s="1055"/>
      <c r="PJO355" s="1054"/>
      <c r="PJP355" s="1055"/>
      <c r="PJQ355" s="1054"/>
      <c r="PJR355" s="1055"/>
      <c r="PJS355" s="1054"/>
      <c r="PJT355" s="1055"/>
      <c r="PJU355" s="1054"/>
      <c r="PJV355" s="1055"/>
      <c r="PJW355" s="1054"/>
      <c r="PJX355" s="1055"/>
      <c r="PJY355" s="1054"/>
      <c r="PJZ355" s="1055"/>
      <c r="PKA355" s="1054"/>
      <c r="PKB355" s="1055"/>
      <c r="PKC355" s="1054"/>
      <c r="PKD355" s="1055"/>
      <c r="PKE355" s="1054"/>
      <c r="PKF355" s="1055"/>
      <c r="PKG355" s="1054"/>
      <c r="PKH355" s="1055"/>
      <c r="PKI355" s="1054"/>
      <c r="PKJ355" s="1055"/>
      <c r="PKK355" s="1054"/>
      <c r="PKL355" s="1055"/>
      <c r="PKM355" s="1054"/>
      <c r="PKN355" s="1055"/>
      <c r="PKO355" s="1054"/>
      <c r="PKP355" s="1055"/>
      <c r="PKQ355" s="1054"/>
      <c r="PKR355" s="1055"/>
      <c r="PKS355" s="1054"/>
      <c r="PKT355" s="1055"/>
      <c r="PKU355" s="1054"/>
      <c r="PKV355" s="1055"/>
      <c r="PKW355" s="1054"/>
      <c r="PKX355" s="1055"/>
      <c r="PKY355" s="1054"/>
      <c r="PKZ355" s="1055"/>
      <c r="PLA355" s="1054"/>
      <c r="PLB355" s="1055"/>
      <c r="PLC355" s="1054"/>
      <c r="PLD355" s="1055"/>
      <c r="PLE355" s="1054"/>
      <c r="PLF355" s="1055"/>
      <c r="PLG355" s="1054"/>
      <c r="PLH355" s="1055"/>
      <c r="PLI355" s="1054"/>
      <c r="PLJ355" s="1055"/>
      <c r="PLK355" s="1054"/>
      <c r="PLL355" s="1055"/>
      <c r="PLM355" s="1054"/>
      <c r="PLN355" s="1055"/>
      <c r="PLO355" s="1054"/>
      <c r="PLP355" s="1055"/>
      <c r="PLQ355" s="1054"/>
      <c r="PLR355" s="1055"/>
      <c r="PLS355" s="1054"/>
      <c r="PLT355" s="1055"/>
      <c r="PLU355" s="1054"/>
      <c r="PLV355" s="1055"/>
      <c r="PLW355" s="1054"/>
      <c r="PLX355" s="1055"/>
      <c r="PLY355" s="1054"/>
      <c r="PLZ355" s="1055"/>
      <c r="PMA355" s="1054"/>
      <c r="PMB355" s="1055"/>
      <c r="PMC355" s="1054"/>
      <c r="PMD355" s="1055"/>
      <c r="PME355" s="1054"/>
      <c r="PMF355" s="1055"/>
      <c r="PMG355" s="1054"/>
      <c r="PMH355" s="1055"/>
      <c r="PMI355" s="1054"/>
      <c r="PMJ355" s="1055"/>
      <c r="PMK355" s="1054"/>
      <c r="PML355" s="1055"/>
      <c r="PMM355" s="1054"/>
      <c r="PMN355" s="1055"/>
      <c r="PMO355" s="1054"/>
      <c r="PMP355" s="1055"/>
      <c r="PMQ355" s="1054"/>
      <c r="PMR355" s="1055"/>
      <c r="PMS355" s="1054"/>
      <c r="PMT355" s="1055"/>
      <c r="PMU355" s="1054"/>
      <c r="PMV355" s="1055"/>
      <c r="PMW355" s="1054"/>
      <c r="PMX355" s="1055"/>
      <c r="PMY355" s="1054"/>
      <c r="PMZ355" s="1055"/>
      <c r="PNA355" s="1054"/>
      <c r="PNB355" s="1055"/>
      <c r="PNC355" s="1054"/>
      <c r="PND355" s="1055"/>
      <c r="PNE355" s="1054"/>
      <c r="PNF355" s="1055"/>
      <c r="PNG355" s="1054"/>
      <c r="PNH355" s="1055"/>
      <c r="PNI355" s="1054"/>
      <c r="PNJ355" s="1055"/>
      <c r="PNK355" s="1054"/>
      <c r="PNL355" s="1055"/>
      <c r="PNM355" s="1054"/>
      <c r="PNN355" s="1055"/>
      <c r="PNO355" s="1054"/>
      <c r="PNP355" s="1055"/>
      <c r="PNQ355" s="1054"/>
      <c r="PNR355" s="1055"/>
      <c r="PNS355" s="1054"/>
      <c r="PNT355" s="1055"/>
      <c r="PNU355" s="1054"/>
      <c r="PNV355" s="1055"/>
      <c r="PNW355" s="1054"/>
      <c r="PNX355" s="1055"/>
      <c r="PNY355" s="1054"/>
      <c r="PNZ355" s="1055"/>
      <c r="POA355" s="1054"/>
      <c r="POB355" s="1055"/>
      <c r="POC355" s="1054"/>
      <c r="POD355" s="1055"/>
      <c r="POE355" s="1054"/>
      <c r="POF355" s="1055"/>
      <c r="POG355" s="1054"/>
      <c r="POH355" s="1055"/>
      <c r="POI355" s="1054"/>
      <c r="POJ355" s="1055"/>
      <c r="POK355" s="1054"/>
      <c r="POL355" s="1055"/>
      <c r="POM355" s="1054"/>
      <c r="PON355" s="1055"/>
      <c r="POO355" s="1054"/>
      <c r="POP355" s="1055"/>
      <c r="POQ355" s="1054"/>
      <c r="POR355" s="1055"/>
      <c r="POS355" s="1054"/>
      <c r="POT355" s="1055"/>
      <c r="POU355" s="1054"/>
      <c r="POV355" s="1055"/>
      <c r="POW355" s="1054"/>
      <c r="POX355" s="1055"/>
      <c r="POY355" s="1054"/>
      <c r="POZ355" s="1055"/>
      <c r="PPA355" s="1054"/>
      <c r="PPB355" s="1055"/>
      <c r="PPC355" s="1054"/>
      <c r="PPD355" s="1055"/>
      <c r="PPE355" s="1054"/>
      <c r="PPF355" s="1055"/>
      <c r="PPG355" s="1054"/>
      <c r="PPH355" s="1055"/>
      <c r="PPI355" s="1054"/>
      <c r="PPJ355" s="1055"/>
      <c r="PPK355" s="1054"/>
      <c r="PPL355" s="1055"/>
      <c r="PPM355" s="1054"/>
      <c r="PPN355" s="1055"/>
      <c r="PPO355" s="1054"/>
      <c r="PPP355" s="1055"/>
      <c r="PPQ355" s="1054"/>
      <c r="PPR355" s="1055"/>
      <c r="PPS355" s="1054"/>
      <c r="PPT355" s="1055"/>
      <c r="PPU355" s="1054"/>
      <c r="PPV355" s="1055"/>
      <c r="PPW355" s="1054"/>
      <c r="PPX355" s="1055"/>
      <c r="PPY355" s="1054"/>
      <c r="PPZ355" s="1055"/>
      <c r="PQA355" s="1054"/>
      <c r="PQB355" s="1055"/>
      <c r="PQC355" s="1054"/>
      <c r="PQD355" s="1055"/>
      <c r="PQE355" s="1054"/>
      <c r="PQF355" s="1055"/>
      <c r="PQG355" s="1054"/>
      <c r="PQH355" s="1055"/>
      <c r="PQI355" s="1054"/>
      <c r="PQJ355" s="1055"/>
      <c r="PQK355" s="1054"/>
      <c r="PQL355" s="1055"/>
      <c r="PQM355" s="1054"/>
      <c r="PQN355" s="1055"/>
      <c r="PQO355" s="1054"/>
      <c r="PQP355" s="1055"/>
      <c r="PQQ355" s="1054"/>
      <c r="PQR355" s="1055"/>
      <c r="PQS355" s="1054"/>
      <c r="PQT355" s="1055"/>
      <c r="PQU355" s="1054"/>
      <c r="PQV355" s="1055"/>
      <c r="PQW355" s="1054"/>
      <c r="PQX355" s="1055"/>
      <c r="PQY355" s="1054"/>
      <c r="PQZ355" s="1055"/>
      <c r="PRA355" s="1054"/>
      <c r="PRB355" s="1055"/>
      <c r="PRC355" s="1054"/>
      <c r="PRD355" s="1055"/>
      <c r="PRE355" s="1054"/>
      <c r="PRF355" s="1055"/>
      <c r="PRG355" s="1054"/>
      <c r="PRH355" s="1055"/>
      <c r="PRI355" s="1054"/>
      <c r="PRJ355" s="1055"/>
      <c r="PRK355" s="1054"/>
      <c r="PRL355" s="1055"/>
      <c r="PRM355" s="1054"/>
      <c r="PRN355" s="1055"/>
      <c r="PRO355" s="1054"/>
      <c r="PRP355" s="1055"/>
      <c r="PRQ355" s="1054"/>
      <c r="PRR355" s="1055"/>
      <c r="PRS355" s="1054"/>
      <c r="PRT355" s="1055"/>
      <c r="PRU355" s="1054"/>
      <c r="PRV355" s="1055"/>
      <c r="PRW355" s="1054"/>
      <c r="PRX355" s="1055"/>
      <c r="PRY355" s="1054"/>
      <c r="PRZ355" s="1055"/>
      <c r="PSA355" s="1054"/>
      <c r="PSB355" s="1055"/>
      <c r="PSC355" s="1054"/>
      <c r="PSD355" s="1055"/>
      <c r="PSE355" s="1054"/>
      <c r="PSF355" s="1055"/>
      <c r="PSG355" s="1054"/>
      <c r="PSH355" s="1055"/>
      <c r="PSI355" s="1054"/>
      <c r="PSJ355" s="1055"/>
      <c r="PSK355" s="1054"/>
      <c r="PSL355" s="1055"/>
      <c r="PSM355" s="1054"/>
      <c r="PSN355" s="1055"/>
      <c r="PSO355" s="1054"/>
      <c r="PSP355" s="1055"/>
      <c r="PSQ355" s="1054"/>
      <c r="PSR355" s="1055"/>
      <c r="PSS355" s="1054"/>
      <c r="PST355" s="1055"/>
      <c r="PSU355" s="1054"/>
      <c r="PSV355" s="1055"/>
      <c r="PSW355" s="1054"/>
      <c r="PSX355" s="1055"/>
      <c r="PSY355" s="1054"/>
      <c r="PSZ355" s="1055"/>
      <c r="PTA355" s="1054"/>
      <c r="PTB355" s="1055"/>
      <c r="PTC355" s="1054"/>
      <c r="PTD355" s="1055"/>
      <c r="PTE355" s="1054"/>
      <c r="PTF355" s="1055"/>
      <c r="PTG355" s="1054"/>
      <c r="PTH355" s="1055"/>
      <c r="PTI355" s="1054"/>
      <c r="PTJ355" s="1055"/>
      <c r="PTK355" s="1054"/>
      <c r="PTL355" s="1055"/>
      <c r="PTM355" s="1054"/>
      <c r="PTN355" s="1055"/>
      <c r="PTO355" s="1054"/>
      <c r="PTP355" s="1055"/>
      <c r="PTQ355" s="1054"/>
      <c r="PTR355" s="1055"/>
      <c r="PTS355" s="1054"/>
      <c r="PTT355" s="1055"/>
      <c r="PTU355" s="1054"/>
      <c r="PTV355" s="1055"/>
      <c r="PTW355" s="1054"/>
      <c r="PTX355" s="1055"/>
      <c r="PTY355" s="1054"/>
      <c r="PTZ355" s="1055"/>
      <c r="PUA355" s="1054"/>
      <c r="PUB355" s="1055"/>
      <c r="PUC355" s="1054"/>
      <c r="PUD355" s="1055"/>
      <c r="PUE355" s="1054"/>
      <c r="PUF355" s="1055"/>
      <c r="PUG355" s="1054"/>
      <c r="PUH355" s="1055"/>
      <c r="PUI355" s="1054"/>
      <c r="PUJ355" s="1055"/>
      <c r="PUK355" s="1054"/>
      <c r="PUL355" s="1055"/>
      <c r="PUM355" s="1054"/>
      <c r="PUN355" s="1055"/>
      <c r="PUO355" s="1054"/>
      <c r="PUP355" s="1055"/>
      <c r="PUQ355" s="1054"/>
      <c r="PUR355" s="1055"/>
      <c r="PUS355" s="1054"/>
      <c r="PUT355" s="1055"/>
      <c r="PUU355" s="1054"/>
      <c r="PUV355" s="1055"/>
      <c r="PUW355" s="1054"/>
      <c r="PUX355" s="1055"/>
      <c r="PUY355" s="1054"/>
      <c r="PUZ355" s="1055"/>
      <c r="PVA355" s="1054"/>
      <c r="PVB355" s="1055"/>
      <c r="PVC355" s="1054"/>
      <c r="PVD355" s="1055"/>
      <c r="PVE355" s="1054"/>
      <c r="PVF355" s="1055"/>
      <c r="PVG355" s="1054"/>
      <c r="PVH355" s="1055"/>
      <c r="PVI355" s="1054"/>
      <c r="PVJ355" s="1055"/>
      <c r="PVK355" s="1054"/>
      <c r="PVL355" s="1055"/>
      <c r="PVM355" s="1054"/>
      <c r="PVN355" s="1055"/>
      <c r="PVO355" s="1054"/>
      <c r="PVP355" s="1055"/>
      <c r="PVQ355" s="1054"/>
      <c r="PVR355" s="1055"/>
      <c r="PVS355" s="1054"/>
      <c r="PVT355" s="1055"/>
      <c r="PVU355" s="1054"/>
      <c r="PVV355" s="1055"/>
      <c r="PVW355" s="1054"/>
      <c r="PVX355" s="1055"/>
      <c r="PVY355" s="1054"/>
      <c r="PVZ355" s="1055"/>
      <c r="PWA355" s="1054"/>
      <c r="PWB355" s="1055"/>
      <c r="PWC355" s="1054"/>
      <c r="PWD355" s="1055"/>
      <c r="PWE355" s="1054"/>
      <c r="PWF355" s="1055"/>
      <c r="PWG355" s="1054"/>
      <c r="PWH355" s="1055"/>
      <c r="PWI355" s="1054"/>
      <c r="PWJ355" s="1055"/>
      <c r="PWK355" s="1054"/>
      <c r="PWL355" s="1055"/>
      <c r="PWM355" s="1054"/>
      <c r="PWN355" s="1055"/>
      <c r="PWO355" s="1054"/>
      <c r="PWP355" s="1055"/>
      <c r="PWQ355" s="1054"/>
      <c r="PWR355" s="1055"/>
      <c r="PWS355" s="1054"/>
      <c r="PWT355" s="1055"/>
      <c r="PWU355" s="1054"/>
      <c r="PWV355" s="1055"/>
      <c r="PWW355" s="1054"/>
      <c r="PWX355" s="1055"/>
      <c r="PWY355" s="1054"/>
      <c r="PWZ355" s="1055"/>
      <c r="PXA355" s="1054"/>
      <c r="PXB355" s="1055"/>
      <c r="PXC355" s="1054"/>
      <c r="PXD355" s="1055"/>
      <c r="PXE355" s="1054"/>
      <c r="PXF355" s="1055"/>
      <c r="PXG355" s="1054"/>
      <c r="PXH355" s="1055"/>
      <c r="PXI355" s="1054"/>
      <c r="PXJ355" s="1055"/>
      <c r="PXK355" s="1054"/>
      <c r="PXL355" s="1055"/>
      <c r="PXM355" s="1054"/>
      <c r="PXN355" s="1055"/>
      <c r="PXO355" s="1054"/>
      <c r="PXP355" s="1055"/>
      <c r="PXQ355" s="1054"/>
      <c r="PXR355" s="1055"/>
      <c r="PXS355" s="1054"/>
      <c r="PXT355" s="1055"/>
      <c r="PXU355" s="1054"/>
      <c r="PXV355" s="1055"/>
      <c r="PXW355" s="1054"/>
      <c r="PXX355" s="1055"/>
      <c r="PXY355" s="1054"/>
      <c r="PXZ355" s="1055"/>
      <c r="PYA355" s="1054"/>
      <c r="PYB355" s="1055"/>
      <c r="PYC355" s="1054"/>
      <c r="PYD355" s="1055"/>
      <c r="PYE355" s="1054"/>
      <c r="PYF355" s="1055"/>
      <c r="PYG355" s="1054"/>
      <c r="PYH355" s="1055"/>
      <c r="PYI355" s="1054"/>
      <c r="PYJ355" s="1055"/>
      <c r="PYK355" s="1054"/>
      <c r="PYL355" s="1055"/>
      <c r="PYM355" s="1054"/>
      <c r="PYN355" s="1055"/>
      <c r="PYO355" s="1054"/>
      <c r="PYP355" s="1055"/>
      <c r="PYQ355" s="1054"/>
      <c r="PYR355" s="1055"/>
      <c r="PYS355" s="1054"/>
      <c r="PYT355" s="1055"/>
      <c r="PYU355" s="1054"/>
      <c r="PYV355" s="1055"/>
      <c r="PYW355" s="1054"/>
      <c r="PYX355" s="1055"/>
      <c r="PYY355" s="1054"/>
      <c r="PYZ355" s="1055"/>
      <c r="PZA355" s="1054"/>
      <c r="PZB355" s="1055"/>
      <c r="PZC355" s="1054"/>
      <c r="PZD355" s="1055"/>
      <c r="PZE355" s="1054"/>
      <c r="PZF355" s="1055"/>
      <c r="PZG355" s="1054"/>
      <c r="PZH355" s="1055"/>
      <c r="PZI355" s="1054"/>
      <c r="PZJ355" s="1055"/>
      <c r="PZK355" s="1054"/>
      <c r="PZL355" s="1055"/>
      <c r="PZM355" s="1054"/>
      <c r="PZN355" s="1055"/>
      <c r="PZO355" s="1054"/>
      <c r="PZP355" s="1055"/>
      <c r="PZQ355" s="1054"/>
      <c r="PZR355" s="1055"/>
      <c r="PZS355" s="1054"/>
      <c r="PZT355" s="1055"/>
      <c r="PZU355" s="1054"/>
      <c r="PZV355" s="1055"/>
      <c r="PZW355" s="1054"/>
      <c r="PZX355" s="1055"/>
      <c r="PZY355" s="1054"/>
      <c r="PZZ355" s="1055"/>
      <c r="QAA355" s="1054"/>
      <c r="QAB355" s="1055"/>
      <c r="QAC355" s="1054"/>
      <c r="QAD355" s="1055"/>
      <c r="QAE355" s="1054"/>
      <c r="QAF355" s="1055"/>
      <c r="QAG355" s="1054"/>
      <c r="QAH355" s="1055"/>
      <c r="QAI355" s="1054"/>
      <c r="QAJ355" s="1055"/>
      <c r="QAK355" s="1054"/>
      <c r="QAL355" s="1055"/>
      <c r="QAM355" s="1054"/>
      <c r="QAN355" s="1055"/>
      <c r="QAO355" s="1054"/>
      <c r="QAP355" s="1055"/>
      <c r="QAQ355" s="1054"/>
      <c r="QAR355" s="1055"/>
      <c r="QAS355" s="1054"/>
      <c r="QAT355" s="1055"/>
      <c r="QAU355" s="1054"/>
      <c r="QAV355" s="1055"/>
      <c r="QAW355" s="1054"/>
      <c r="QAX355" s="1055"/>
      <c r="QAY355" s="1054"/>
      <c r="QAZ355" s="1055"/>
      <c r="QBA355" s="1054"/>
      <c r="QBB355" s="1055"/>
      <c r="QBC355" s="1054"/>
      <c r="QBD355" s="1055"/>
      <c r="QBE355" s="1054"/>
      <c r="QBF355" s="1055"/>
      <c r="QBG355" s="1054"/>
      <c r="QBH355" s="1055"/>
      <c r="QBI355" s="1054"/>
      <c r="QBJ355" s="1055"/>
      <c r="QBK355" s="1054"/>
      <c r="QBL355" s="1055"/>
      <c r="QBM355" s="1054"/>
      <c r="QBN355" s="1055"/>
      <c r="QBO355" s="1054"/>
      <c r="QBP355" s="1055"/>
      <c r="QBQ355" s="1054"/>
      <c r="QBR355" s="1055"/>
      <c r="QBS355" s="1054"/>
      <c r="QBT355" s="1055"/>
      <c r="QBU355" s="1054"/>
      <c r="QBV355" s="1055"/>
      <c r="QBW355" s="1054"/>
      <c r="QBX355" s="1055"/>
      <c r="QBY355" s="1054"/>
      <c r="QBZ355" s="1055"/>
      <c r="QCA355" s="1054"/>
      <c r="QCB355" s="1055"/>
      <c r="QCC355" s="1054"/>
      <c r="QCD355" s="1055"/>
      <c r="QCE355" s="1054"/>
      <c r="QCF355" s="1055"/>
      <c r="QCG355" s="1054"/>
      <c r="QCH355" s="1055"/>
      <c r="QCI355" s="1054"/>
      <c r="QCJ355" s="1055"/>
      <c r="QCK355" s="1054"/>
      <c r="QCL355" s="1055"/>
      <c r="QCM355" s="1054"/>
      <c r="QCN355" s="1055"/>
      <c r="QCO355" s="1054"/>
      <c r="QCP355" s="1055"/>
      <c r="QCQ355" s="1054"/>
      <c r="QCR355" s="1055"/>
      <c r="QCS355" s="1054"/>
      <c r="QCT355" s="1055"/>
      <c r="QCU355" s="1054"/>
      <c r="QCV355" s="1055"/>
      <c r="QCW355" s="1054"/>
      <c r="QCX355" s="1055"/>
      <c r="QCY355" s="1054"/>
      <c r="QCZ355" s="1055"/>
      <c r="QDA355" s="1054"/>
      <c r="QDB355" s="1055"/>
      <c r="QDC355" s="1054"/>
      <c r="QDD355" s="1055"/>
      <c r="QDE355" s="1054"/>
      <c r="QDF355" s="1055"/>
      <c r="QDG355" s="1054"/>
      <c r="QDH355" s="1055"/>
      <c r="QDI355" s="1054"/>
      <c r="QDJ355" s="1055"/>
      <c r="QDK355" s="1054"/>
      <c r="QDL355" s="1055"/>
      <c r="QDM355" s="1054"/>
      <c r="QDN355" s="1055"/>
      <c r="QDO355" s="1054"/>
      <c r="QDP355" s="1055"/>
      <c r="QDQ355" s="1054"/>
      <c r="QDR355" s="1055"/>
      <c r="QDS355" s="1054"/>
      <c r="QDT355" s="1055"/>
      <c r="QDU355" s="1054"/>
      <c r="QDV355" s="1055"/>
      <c r="QDW355" s="1054"/>
      <c r="QDX355" s="1055"/>
      <c r="QDY355" s="1054"/>
      <c r="QDZ355" s="1055"/>
      <c r="QEA355" s="1054"/>
      <c r="QEB355" s="1055"/>
      <c r="QEC355" s="1054"/>
      <c r="QED355" s="1055"/>
      <c r="QEE355" s="1054"/>
      <c r="QEF355" s="1055"/>
      <c r="QEG355" s="1054"/>
      <c r="QEH355" s="1055"/>
      <c r="QEI355" s="1054"/>
      <c r="QEJ355" s="1055"/>
      <c r="QEK355" s="1054"/>
      <c r="QEL355" s="1055"/>
      <c r="QEM355" s="1054"/>
      <c r="QEN355" s="1055"/>
      <c r="QEO355" s="1054"/>
      <c r="QEP355" s="1055"/>
      <c r="QEQ355" s="1054"/>
      <c r="QER355" s="1055"/>
      <c r="QES355" s="1054"/>
      <c r="QET355" s="1055"/>
      <c r="QEU355" s="1054"/>
      <c r="QEV355" s="1055"/>
      <c r="QEW355" s="1054"/>
      <c r="QEX355" s="1055"/>
      <c r="QEY355" s="1054"/>
      <c r="QEZ355" s="1055"/>
      <c r="QFA355" s="1054"/>
      <c r="QFB355" s="1055"/>
      <c r="QFC355" s="1054"/>
      <c r="QFD355" s="1055"/>
      <c r="QFE355" s="1054"/>
      <c r="QFF355" s="1055"/>
      <c r="QFG355" s="1054"/>
      <c r="QFH355" s="1055"/>
      <c r="QFI355" s="1054"/>
      <c r="QFJ355" s="1055"/>
      <c r="QFK355" s="1054"/>
      <c r="QFL355" s="1055"/>
      <c r="QFM355" s="1054"/>
      <c r="QFN355" s="1055"/>
      <c r="QFO355" s="1054"/>
      <c r="QFP355" s="1055"/>
      <c r="QFQ355" s="1054"/>
      <c r="QFR355" s="1055"/>
      <c r="QFS355" s="1054"/>
      <c r="QFT355" s="1055"/>
      <c r="QFU355" s="1054"/>
      <c r="QFV355" s="1055"/>
      <c r="QFW355" s="1054"/>
      <c r="QFX355" s="1055"/>
      <c r="QFY355" s="1054"/>
      <c r="QFZ355" s="1055"/>
      <c r="QGA355" s="1054"/>
      <c r="QGB355" s="1055"/>
      <c r="QGC355" s="1054"/>
      <c r="QGD355" s="1055"/>
      <c r="QGE355" s="1054"/>
      <c r="QGF355" s="1055"/>
      <c r="QGG355" s="1054"/>
      <c r="QGH355" s="1055"/>
      <c r="QGI355" s="1054"/>
      <c r="QGJ355" s="1055"/>
      <c r="QGK355" s="1054"/>
      <c r="QGL355" s="1055"/>
      <c r="QGM355" s="1054"/>
      <c r="QGN355" s="1055"/>
      <c r="QGO355" s="1054"/>
      <c r="QGP355" s="1055"/>
      <c r="QGQ355" s="1054"/>
      <c r="QGR355" s="1055"/>
      <c r="QGS355" s="1054"/>
      <c r="QGT355" s="1055"/>
      <c r="QGU355" s="1054"/>
      <c r="QGV355" s="1055"/>
      <c r="QGW355" s="1054"/>
      <c r="QGX355" s="1055"/>
      <c r="QGY355" s="1054"/>
      <c r="QGZ355" s="1055"/>
      <c r="QHA355" s="1054"/>
      <c r="QHB355" s="1055"/>
      <c r="QHC355" s="1054"/>
      <c r="QHD355" s="1055"/>
      <c r="QHE355" s="1054"/>
      <c r="QHF355" s="1055"/>
      <c r="QHG355" s="1054"/>
      <c r="QHH355" s="1055"/>
      <c r="QHI355" s="1054"/>
      <c r="QHJ355" s="1055"/>
      <c r="QHK355" s="1054"/>
      <c r="QHL355" s="1055"/>
      <c r="QHM355" s="1054"/>
      <c r="QHN355" s="1055"/>
      <c r="QHO355" s="1054"/>
      <c r="QHP355" s="1055"/>
      <c r="QHQ355" s="1054"/>
      <c r="QHR355" s="1055"/>
      <c r="QHS355" s="1054"/>
      <c r="QHT355" s="1055"/>
      <c r="QHU355" s="1054"/>
      <c r="QHV355" s="1055"/>
      <c r="QHW355" s="1054"/>
      <c r="QHX355" s="1055"/>
      <c r="QHY355" s="1054"/>
      <c r="QHZ355" s="1055"/>
      <c r="QIA355" s="1054"/>
      <c r="QIB355" s="1055"/>
      <c r="QIC355" s="1054"/>
      <c r="QID355" s="1055"/>
      <c r="QIE355" s="1054"/>
      <c r="QIF355" s="1055"/>
      <c r="QIG355" s="1054"/>
      <c r="QIH355" s="1055"/>
      <c r="QII355" s="1054"/>
      <c r="QIJ355" s="1055"/>
      <c r="QIK355" s="1054"/>
      <c r="QIL355" s="1055"/>
      <c r="QIM355" s="1054"/>
      <c r="QIN355" s="1055"/>
      <c r="QIO355" s="1054"/>
      <c r="QIP355" s="1055"/>
      <c r="QIQ355" s="1054"/>
      <c r="QIR355" s="1055"/>
      <c r="QIS355" s="1054"/>
      <c r="QIT355" s="1055"/>
      <c r="QIU355" s="1054"/>
      <c r="QIV355" s="1055"/>
      <c r="QIW355" s="1054"/>
      <c r="QIX355" s="1055"/>
      <c r="QIY355" s="1054"/>
      <c r="QIZ355" s="1055"/>
      <c r="QJA355" s="1054"/>
      <c r="QJB355" s="1055"/>
      <c r="QJC355" s="1054"/>
      <c r="QJD355" s="1055"/>
      <c r="QJE355" s="1054"/>
      <c r="QJF355" s="1055"/>
      <c r="QJG355" s="1054"/>
      <c r="QJH355" s="1055"/>
      <c r="QJI355" s="1054"/>
      <c r="QJJ355" s="1055"/>
      <c r="QJK355" s="1054"/>
      <c r="QJL355" s="1055"/>
      <c r="QJM355" s="1054"/>
      <c r="QJN355" s="1055"/>
      <c r="QJO355" s="1054"/>
      <c r="QJP355" s="1055"/>
      <c r="QJQ355" s="1054"/>
      <c r="QJR355" s="1055"/>
      <c r="QJS355" s="1054"/>
      <c r="QJT355" s="1055"/>
      <c r="QJU355" s="1054"/>
      <c r="QJV355" s="1055"/>
      <c r="QJW355" s="1054"/>
      <c r="QJX355" s="1055"/>
      <c r="QJY355" s="1054"/>
      <c r="QJZ355" s="1055"/>
      <c r="QKA355" s="1054"/>
      <c r="QKB355" s="1055"/>
      <c r="QKC355" s="1054"/>
      <c r="QKD355" s="1055"/>
      <c r="QKE355" s="1054"/>
      <c r="QKF355" s="1055"/>
      <c r="QKG355" s="1054"/>
      <c r="QKH355" s="1055"/>
      <c r="QKI355" s="1054"/>
      <c r="QKJ355" s="1055"/>
      <c r="QKK355" s="1054"/>
      <c r="QKL355" s="1055"/>
      <c r="QKM355" s="1054"/>
      <c r="QKN355" s="1055"/>
      <c r="QKO355" s="1054"/>
      <c r="QKP355" s="1055"/>
      <c r="QKQ355" s="1054"/>
      <c r="QKR355" s="1055"/>
      <c r="QKS355" s="1054"/>
      <c r="QKT355" s="1055"/>
      <c r="QKU355" s="1054"/>
      <c r="QKV355" s="1055"/>
      <c r="QKW355" s="1054"/>
      <c r="QKX355" s="1055"/>
      <c r="QKY355" s="1054"/>
      <c r="QKZ355" s="1055"/>
      <c r="QLA355" s="1054"/>
      <c r="QLB355" s="1055"/>
      <c r="QLC355" s="1054"/>
      <c r="QLD355" s="1055"/>
      <c r="QLE355" s="1054"/>
      <c r="QLF355" s="1055"/>
      <c r="QLG355" s="1054"/>
      <c r="QLH355" s="1055"/>
      <c r="QLI355" s="1054"/>
      <c r="QLJ355" s="1055"/>
      <c r="QLK355" s="1054"/>
      <c r="QLL355" s="1055"/>
      <c r="QLM355" s="1054"/>
      <c r="QLN355" s="1055"/>
      <c r="QLO355" s="1054"/>
      <c r="QLP355" s="1055"/>
      <c r="QLQ355" s="1054"/>
      <c r="QLR355" s="1055"/>
      <c r="QLS355" s="1054"/>
      <c r="QLT355" s="1055"/>
      <c r="QLU355" s="1054"/>
      <c r="QLV355" s="1055"/>
      <c r="QLW355" s="1054"/>
      <c r="QLX355" s="1055"/>
      <c r="QLY355" s="1054"/>
      <c r="QLZ355" s="1055"/>
      <c r="QMA355" s="1054"/>
      <c r="QMB355" s="1055"/>
      <c r="QMC355" s="1054"/>
      <c r="QMD355" s="1055"/>
      <c r="QME355" s="1054"/>
      <c r="QMF355" s="1055"/>
      <c r="QMG355" s="1054"/>
      <c r="QMH355" s="1055"/>
      <c r="QMI355" s="1054"/>
      <c r="QMJ355" s="1055"/>
      <c r="QMK355" s="1054"/>
      <c r="QML355" s="1055"/>
      <c r="QMM355" s="1054"/>
      <c r="QMN355" s="1055"/>
      <c r="QMO355" s="1054"/>
      <c r="QMP355" s="1055"/>
      <c r="QMQ355" s="1054"/>
      <c r="QMR355" s="1055"/>
      <c r="QMS355" s="1054"/>
      <c r="QMT355" s="1055"/>
      <c r="QMU355" s="1054"/>
      <c r="QMV355" s="1055"/>
      <c r="QMW355" s="1054"/>
      <c r="QMX355" s="1055"/>
      <c r="QMY355" s="1054"/>
      <c r="QMZ355" s="1055"/>
      <c r="QNA355" s="1054"/>
      <c r="QNB355" s="1055"/>
      <c r="QNC355" s="1054"/>
      <c r="QND355" s="1055"/>
      <c r="QNE355" s="1054"/>
      <c r="QNF355" s="1055"/>
      <c r="QNG355" s="1054"/>
      <c r="QNH355" s="1055"/>
      <c r="QNI355" s="1054"/>
      <c r="QNJ355" s="1055"/>
      <c r="QNK355" s="1054"/>
      <c r="QNL355" s="1055"/>
      <c r="QNM355" s="1054"/>
      <c r="QNN355" s="1055"/>
      <c r="QNO355" s="1054"/>
      <c r="QNP355" s="1055"/>
      <c r="QNQ355" s="1054"/>
      <c r="QNR355" s="1055"/>
      <c r="QNS355" s="1054"/>
      <c r="QNT355" s="1055"/>
      <c r="QNU355" s="1054"/>
      <c r="QNV355" s="1055"/>
      <c r="QNW355" s="1054"/>
      <c r="QNX355" s="1055"/>
      <c r="QNY355" s="1054"/>
      <c r="QNZ355" s="1055"/>
      <c r="QOA355" s="1054"/>
      <c r="QOB355" s="1055"/>
      <c r="QOC355" s="1054"/>
      <c r="QOD355" s="1055"/>
      <c r="QOE355" s="1054"/>
      <c r="QOF355" s="1055"/>
      <c r="QOG355" s="1054"/>
      <c r="QOH355" s="1055"/>
      <c r="QOI355" s="1054"/>
      <c r="QOJ355" s="1055"/>
      <c r="QOK355" s="1054"/>
      <c r="QOL355" s="1055"/>
      <c r="QOM355" s="1054"/>
      <c r="QON355" s="1055"/>
      <c r="QOO355" s="1054"/>
      <c r="QOP355" s="1055"/>
      <c r="QOQ355" s="1054"/>
      <c r="QOR355" s="1055"/>
      <c r="QOS355" s="1054"/>
      <c r="QOT355" s="1055"/>
      <c r="QOU355" s="1054"/>
      <c r="QOV355" s="1055"/>
      <c r="QOW355" s="1054"/>
      <c r="QOX355" s="1055"/>
      <c r="QOY355" s="1054"/>
      <c r="QOZ355" s="1055"/>
      <c r="QPA355" s="1054"/>
      <c r="QPB355" s="1055"/>
      <c r="QPC355" s="1054"/>
      <c r="QPD355" s="1055"/>
      <c r="QPE355" s="1054"/>
      <c r="QPF355" s="1055"/>
      <c r="QPG355" s="1054"/>
      <c r="QPH355" s="1055"/>
      <c r="QPI355" s="1054"/>
      <c r="QPJ355" s="1055"/>
      <c r="QPK355" s="1054"/>
      <c r="QPL355" s="1055"/>
      <c r="QPM355" s="1054"/>
      <c r="QPN355" s="1055"/>
      <c r="QPO355" s="1054"/>
      <c r="QPP355" s="1055"/>
      <c r="QPQ355" s="1054"/>
      <c r="QPR355" s="1055"/>
      <c r="QPS355" s="1054"/>
      <c r="QPT355" s="1055"/>
      <c r="QPU355" s="1054"/>
      <c r="QPV355" s="1055"/>
      <c r="QPW355" s="1054"/>
      <c r="QPX355" s="1055"/>
      <c r="QPY355" s="1054"/>
      <c r="QPZ355" s="1055"/>
      <c r="QQA355" s="1054"/>
      <c r="QQB355" s="1055"/>
      <c r="QQC355" s="1054"/>
      <c r="QQD355" s="1055"/>
      <c r="QQE355" s="1054"/>
      <c r="QQF355" s="1055"/>
      <c r="QQG355" s="1054"/>
      <c r="QQH355" s="1055"/>
      <c r="QQI355" s="1054"/>
      <c r="QQJ355" s="1055"/>
      <c r="QQK355" s="1054"/>
      <c r="QQL355" s="1055"/>
      <c r="QQM355" s="1054"/>
      <c r="QQN355" s="1055"/>
      <c r="QQO355" s="1054"/>
      <c r="QQP355" s="1055"/>
      <c r="QQQ355" s="1054"/>
      <c r="QQR355" s="1055"/>
      <c r="QQS355" s="1054"/>
      <c r="QQT355" s="1055"/>
      <c r="QQU355" s="1054"/>
      <c r="QQV355" s="1055"/>
      <c r="QQW355" s="1054"/>
      <c r="QQX355" s="1055"/>
      <c r="QQY355" s="1054"/>
      <c r="QQZ355" s="1055"/>
      <c r="QRA355" s="1054"/>
      <c r="QRB355" s="1055"/>
      <c r="QRC355" s="1054"/>
      <c r="QRD355" s="1055"/>
      <c r="QRE355" s="1054"/>
      <c r="QRF355" s="1055"/>
      <c r="QRG355" s="1054"/>
      <c r="QRH355" s="1055"/>
      <c r="QRI355" s="1054"/>
      <c r="QRJ355" s="1055"/>
      <c r="QRK355" s="1054"/>
      <c r="QRL355" s="1055"/>
      <c r="QRM355" s="1054"/>
      <c r="QRN355" s="1055"/>
      <c r="QRO355" s="1054"/>
      <c r="QRP355" s="1055"/>
      <c r="QRQ355" s="1054"/>
      <c r="QRR355" s="1055"/>
      <c r="QRS355" s="1054"/>
      <c r="QRT355" s="1055"/>
      <c r="QRU355" s="1054"/>
      <c r="QRV355" s="1055"/>
      <c r="QRW355" s="1054"/>
      <c r="QRX355" s="1055"/>
      <c r="QRY355" s="1054"/>
      <c r="QRZ355" s="1055"/>
      <c r="QSA355" s="1054"/>
      <c r="QSB355" s="1055"/>
      <c r="QSC355" s="1054"/>
      <c r="QSD355" s="1055"/>
      <c r="QSE355" s="1054"/>
      <c r="QSF355" s="1055"/>
      <c r="QSG355" s="1054"/>
      <c r="QSH355" s="1055"/>
      <c r="QSI355" s="1054"/>
      <c r="QSJ355" s="1055"/>
      <c r="QSK355" s="1054"/>
      <c r="QSL355" s="1055"/>
      <c r="QSM355" s="1054"/>
      <c r="QSN355" s="1055"/>
      <c r="QSO355" s="1054"/>
      <c r="QSP355" s="1055"/>
      <c r="QSQ355" s="1054"/>
      <c r="QSR355" s="1055"/>
      <c r="QSS355" s="1054"/>
      <c r="QST355" s="1055"/>
      <c r="QSU355" s="1054"/>
      <c r="QSV355" s="1055"/>
      <c r="QSW355" s="1054"/>
      <c r="QSX355" s="1055"/>
      <c r="QSY355" s="1054"/>
      <c r="QSZ355" s="1055"/>
      <c r="QTA355" s="1054"/>
      <c r="QTB355" s="1055"/>
      <c r="QTC355" s="1054"/>
      <c r="QTD355" s="1055"/>
      <c r="QTE355" s="1054"/>
      <c r="QTF355" s="1055"/>
      <c r="QTG355" s="1054"/>
      <c r="QTH355" s="1055"/>
      <c r="QTI355" s="1054"/>
      <c r="QTJ355" s="1055"/>
      <c r="QTK355" s="1054"/>
      <c r="QTL355" s="1055"/>
      <c r="QTM355" s="1054"/>
      <c r="QTN355" s="1055"/>
      <c r="QTO355" s="1054"/>
      <c r="QTP355" s="1055"/>
      <c r="QTQ355" s="1054"/>
      <c r="QTR355" s="1055"/>
      <c r="QTS355" s="1054"/>
      <c r="QTT355" s="1055"/>
      <c r="QTU355" s="1054"/>
      <c r="QTV355" s="1055"/>
      <c r="QTW355" s="1054"/>
      <c r="QTX355" s="1055"/>
      <c r="QTY355" s="1054"/>
      <c r="QTZ355" s="1055"/>
      <c r="QUA355" s="1054"/>
      <c r="QUB355" s="1055"/>
      <c r="QUC355" s="1054"/>
      <c r="QUD355" s="1055"/>
      <c r="QUE355" s="1054"/>
      <c r="QUF355" s="1055"/>
      <c r="QUG355" s="1054"/>
      <c r="QUH355" s="1055"/>
      <c r="QUI355" s="1054"/>
      <c r="QUJ355" s="1055"/>
      <c r="QUK355" s="1054"/>
      <c r="QUL355" s="1055"/>
      <c r="QUM355" s="1054"/>
      <c r="QUN355" s="1055"/>
      <c r="QUO355" s="1054"/>
      <c r="QUP355" s="1055"/>
      <c r="QUQ355" s="1054"/>
      <c r="QUR355" s="1055"/>
      <c r="QUS355" s="1054"/>
      <c r="QUT355" s="1055"/>
      <c r="QUU355" s="1054"/>
      <c r="QUV355" s="1055"/>
      <c r="QUW355" s="1054"/>
      <c r="QUX355" s="1055"/>
      <c r="QUY355" s="1054"/>
      <c r="QUZ355" s="1055"/>
      <c r="QVA355" s="1054"/>
      <c r="QVB355" s="1055"/>
      <c r="QVC355" s="1054"/>
      <c r="QVD355" s="1055"/>
      <c r="QVE355" s="1054"/>
      <c r="QVF355" s="1055"/>
      <c r="QVG355" s="1054"/>
      <c r="QVH355" s="1055"/>
      <c r="QVI355" s="1054"/>
      <c r="QVJ355" s="1055"/>
      <c r="QVK355" s="1054"/>
      <c r="QVL355" s="1055"/>
      <c r="QVM355" s="1054"/>
      <c r="QVN355" s="1055"/>
      <c r="QVO355" s="1054"/>
      <c r="QVP355" s="1055"/>
      <c r="QVQ355" s="1054"/>
      <c r="QVR355" s="1055"/>
      <c r="QVS355" s="1054"/>
      <c r="QVT355" s="1055"/>
      <c r="QVU355" s="1054"/>
      <c r="QVV355" s="1055"/>
      <c r="QVW355" s="1054"/>
      <c r="QVX355" s="1055"/>
      <c r="QVY355" s="1054"/>
      <c r="QVZ355" s="1055"/>
      <c r="QWA355" s="1054"/>
      <c r="QWB355" s="1055"/>
      <c r="QWC355" s="1054"/>
      <c r="QWD355" s="1055"/>
      <c r="QWE355" s="1054"/>
      <c r="QWF355" s="1055"/>
      <c r="QWG355" s="1054"/>
      <c r="QWH355" s="1055"/>
      <c r="QWI355" s="1054"/>
      <c r="QWJ355" s="1055"/>
      <c r="QWK355" s="1054"/>
      <c r="QWL355" s="1055"/>
      <c r="QWM355" s="1054"/>
      <c r="QWN355" s="1055"/>
      <c r="QWO355" s="1054"/>
      <c r="QWP355" s="1055"/>
      <c r="QWQ355" s="1054"/>
      <c r="QWR355" s="1055"/>
      <c r="QWS355" s="1054"/>
      <c r="QWT355" s="1055"/>
      <c r="QWU355" s="1054"/>
      <c r="QWV355" s="1055"/>
      <c r="QWW355" s="1054"/>
      <c r="QWX355" s="1055"/>
      <c r="QWY355" s="1054"/>
      <c r="QWZ355" s="1055"/>
      <c r="QXA355" s="1054"/>
      <c r="QXB355" s="1055"/>
      <c r="QXC355" s="1054"/>
      <c r="QXD355" s="1055"/>
      <c r="QXE355" s="1054"/>
      <c r="QXF355" s="1055"/>
      <c r="QXG355" s="1054"/>
      <c r="QXH355" s="1055"/>
      <c r="QXI355" s="1054"/>
      <c r="QXJ355" s="1055"/>
      <c r="QXK355" s="1054"/>
      <c r="QXL355" s="1055"/>
      <c r="QXM355" s="1054"/>
      <c r="QXN355" s="1055"/>
      <c r="QXO355" s="1054"/>
      <c r="QXP355" s="1055"/>
      <c r="QXQ355" s="1054"/>
      <c r="QXR355" s="1055"/>
      <c r="QXS355" s="1054"/>
      <c r="QXT355" s="1055"/>
      <c r="QXU355" s="1054"/>
      <c r="QXV355" s="1055"/>
      <c r="QXW355" s="1054"/>
      <c r="QXX355" s="1055"/>
      <c r="QXY355" s="1054"/>
      <c r="QXZ355" s="1055"/>
      <c r="QYA355" s="1054"/>
      <c r="QYB355" s="1055"/>
      <c r="QYC355" s="1054"/>
      <c r="QYD355" s="1055"/>
      <c r="QYE355" s="1054"/>
      <c r="QYF355" s="1055"/>
      <c r="QYG355" s="1054"/>
      <c r="QYH355" s="1055"/>
      <c r="QYI355" s="1054"/>
      <c r="QYJ355" s="1055"/>
      <c r="QYK355" s="1054"/>
      <c r="QYL355" s="1055"/>
      <c r="QYM355" s="1054"/>
      <c r="QYN355" s="1055"/>
      <c r="QYO355" s="1054"/>
      <c r="QYP355" s="1055"/>
      <c r="QYQ355" s="1054"/>
      <c r="QYR355" s="1055"/>
      <c r="QYS355" s="1054"/>
      <c r="QYT355" s="1055"/>
      <c r="QYU355" s="1054"/>
      <c r="QYV355" s="1055"/>
      <c r="QYW355" s="1054"/>
      <c r="QYX355" s="1055"/>
      <c r="QYY355" s="1054"/>
      <c r="QYZ355" s="1055"/>
      <c r="QZA355" s="1054"/>
      <c r="QZB355" s="1055"/>
      <c r="QZC355" s="1054"/>
      <c r="QZD355" s="1055"/>
      <c r="QZE355" s="1054"/>
      <c r="QZF355" s="1055"/>
      <c r="QZG355" s="1054"/>
      <c r="QZH355" s="1055"/>
      <c r="QZI355" s="1054"/>
      <c r="QZJ355" s="1055"/>
      <c r="QZK355" s="1054"/>
      <c r="QZL355" s="1055"/>
      <c r="QZM355" s="1054"/>
      <c r="QZN355" s="1055"/>
      <c r="QZO355" s="1054"/>
      <c r="QZP355" s="1055"/>
      <c r="QZQ355" s="1054"/>
      <c r="QZR355" s="1055"/>
      <c r="QZS355" s="1054"/>
      <c r="QZT355" s="1055"/>
      <c r="QZU355" s="1054"/>
      <c r="QZV355" s="1055"/>
      <c r="QZW355" s="1054"/>
      <c r="QZX355" s="1055"/>
      <c r="QZY355" s="1054"/>
      <c r="QZZ355" s="1055"/>
      <c r="RAA355" s="1054"/>
      <c r="RAB355" s="1055"/>
      <c r="RAC355" s="1054"/>
      <c r="RAD355" s="1055"/>
      <c r="RAE355" s="1054"/>
      <c r="RAF355" s="1055"/>
      <c r="RAG355" s="1054"/>
      <c r="RAH355" s="1055"/>
      <c r="RAI355" s="1054"/>
      <c r="RAJ355" s="1055"/>
      <c r="RAK355" s="1054"/>
      <c r="RAL355" s="1055"/>
      <c r="RAM355" s="1054"/>
      <c r="RAN355" s="1055"/>
      <c r="RAO355" s="1054"/>
      <c r="RAP355" s="1055"/>
      <c r="RAQ355" s="1054"/>
      <c r="RAR355" s="1055"/>
      <c r="RAS355" s="1054"/>
      <c r="RAT355" s="1055"/>
      <c r="RAU355" s="1054"/>
      <c r="RAV355" s="1055"/>
      <c r="RAW355" s="1054"/>
      <c r="RAX355" s="1055"/>
      <c r="RAY355" s="1054"/>
      <c r="RAZ355" s="1055"/>
      <c r="RBA355" s="1054"/>
      <c r="RBB355" s="1055"/>
      <c r="RBC355" s="1054"/>
      <c r="RBD355" s="1055"/>
      <c r="RBE355" s="1054"/>
      <c r="RBF355" s="1055"/>
      <c r="RBG355" s="1054"/>
      <c r="RBH355" s="1055"/>
      <c r="RBI355" s="1054"/>
      <c r="RBJ355" s="1055"/>
      <c r="RBK355" s="1054"/>
      <c r="RBL355" s="1055"/>
      <c r="RBM355" s="1054"/>
      <c r="RBN355" s="1055"/>
      <c r="RBO355" s="1054"/>
      <c r="RBP355" s="1055"/>
      <c r="RBQ355" s="1054"/>
      <c r="RBR355" s="1055"/>
      <c r="RBS355" s="1054"/>
      <c r="RBT355" s="1055"/>
      <c r="RBU355" s="1054"/>
      <c r="RBV355" s="1055"/>
      <c r="RBW355" s="1054"/>
      <c r="RBX355" s="1055"/>
      <c r="RBY355" s="1054"/>
      <c r="RBZ355" s="1055"/>
      <c r="RCA355" s="1054"/>
      <c r="RCB355" s="1055"/>
      <c r="RCC355" s="1054"/>
      <c r="RCD355" s="1055"/>
      <c r="RCE355" s="1054"/>
      <c r="RCF355" s="1055"/>
      <c r="RCG355" s="1054"/>
      <c r="RCH355" s="1055"/>
      <c r="RCI355" s="1054"/>
      <c r="RCJ355" s="1055"/>
      <c r="RCK355" s="1054"/>
      <c r="RCL355" s="1055"/>
      <c r="RCM355" s="1054"/>
      <c r="RCN355" s="1055"/>
      <c r="RCO355" s="1054"/>
      <c r="RCP355" s="1055"/>
      <c r="RCQ355" s="1054"/>
      <c r="RCR355" s="1055"/>
      <c r="RCS355" s="1054"/>
      <c r="RCT355" s="1055"/>
      <c r="RCU355" s="1054"/>
      <c r="RCV355" s="1055"/>
      <c r="RCW355" s="1054"/>
      <c r="RCX355" s="1055"/>
      <c r="RCY355" s="1054"/>
      <c r="RCZ355" s="1055"/>
      <c r="RDA355" s="1054"/>
      <c r="RDB355" s="1055"/>
      <c r="RDC355" s="1054"/>
      <c r="RDD355" s="1055"/>
      <c r="RDE355" s="1054"/>
      <c r="RDF355" s="1055"/>
      <c r="RDG355" s="1054"/>
      <c r="RDH355" s="1055"/>
      <c r="RDI355" s="1054"/>
      <c r="RDJ355" s="1055"/>
      <c r="RDK355" s="1054"/>
      <c r="RDL355" s="1055"/>
      <c r="RDM355" s="1054"/>
      <c r="RDN355" s="1055"/>
      <c r="RDO355" s="1054"/>
      <c r="RDP355" s="1055"/>
      <c r="RDQ355" s="1054"/>
      <c r="RDR355" s="1055"/>
      <c r="RDS355" s="1054"/>
      <c r="RDT355" s="1055"/>
      <c r="RDU355" s="1054"/>
      <c r="RDV355" s="1055"/>
      <c r="RDW355" s="1054"/>
      <c r="RDX355" s="1055"/>
      <c r="RDY355" s="1054"/>
      <c r="RDZ355" s="1055"/>
      <c r="REA355" s="1054"/>
      <c r="REB355" s="1055"/>
      <c r="REC355" s="1054"/>
      <c r="RED355" s="1055"/>
      <c r="REE355" s="1054"/>
      <c r="REF355" s="1055"/>
      <c r="REG355" s="1054"/>
      <c r="REH355" s="1055"/>
      <c r="REI355" s="1054"/>
      <c r="REJ355" s="1055"/>
      <c r="REK355" s="1054"/>
      <c r="REL355" s="1055"/>
      <c r="REM355" s="1054"/>
      <c r="REN355" s="1055"/>
      <c r="REO355" s="1054"/>
      <c r="REP355" s="1055"/>
      <c r="REQ355" s="1054"/>
      <c r="RER355" s="1055"/>
      <c r="RES355" s="1054"/>
      <c r="RET355" s="1055"/>
      <c r="REU355" s="1054"/>
      <c r="REV355" s="1055"/>
      <c r="REW355" s="1054"/>
      <c r="REX355" s="1055"/>
      <c r="REY355" s="1054"/>
      <c r="REZ355" s="1055"/>
      <c r="RFA355" s="1054"/>
      <c r="RFB355" s="1055"/>
      <c r="RFC355" s="1054"/>
      <c r="RFD355" s="1055"/>
      <c r="RFE355" s="1054"/>
      <c r="RFF355" s="1055"/>
      <c r="RFG355" s="1054"/>
      <c r="RFH355" s="1055"/>
      <c r="RFI355" s="1054"/>
      <c r="RFJ355" s="1055"/>
      <c r="RFK355" s="1054"/>
      <c r="RFL355" s="1055"/>
      <c r="RFM355" s="1054"/>
      <c r="RFN355" s="1055"/>
      <c r="RFO355" s="1054"/>
      <c r="RFP355" s="1055"/>
      <c r="RFQ355" s="1054"/>
      <c r="RFR355" s="1055"/>
      <c r="RFS355" s="1054"/>
      <c r="RFT355" s="1055"/>
      <c r="RFU355" s="1054"/>
      <c r="RFV355" s="1055"/>
      <c r="RFW355" s="1054"/>
      <c r="RFX355" s="1055"/>
      <c r="RFY355" s="1054"/>
      <c r="RFZ355" s="1055"/>
      <c r="RGA355" s="1054"/>
      <c r="RGB355" s="1055"/>
      <c r="RGC355" s="1054"/>
      <c r="RGD355" s="1055"/>
      <c r="RGE355" s="1054"/>
      <c r="RGF355" s="1055"/>
      <c r="RGG355" s="1054"/>
      <c r="RGH355" s="1055"/>
      <c r="RGI355" s="1054"/>
      <c r="RGJ355" s="1055"/>
      <c r="RGK355" s="1054"/>
      <c r="RGL355" s="1055"/>
      <c r="RGM355" s="1054"/>
      <c r="RGN355" s="1055"/>
      <c r="RGO355" s="1054"/>
      <c r="RGP355" s="1055"/>
      <c r="RGQ355" s="1054"/>
      <c r="RGR355" s="1055"/>
      <c r="RGS355" s="1054"/>
      <c r="RGT355" s="1055"/>
      <c r="RGU355" s="1054"/>
      <c r="RGV355" s="1055"/>
      <c r="RGW355" s="1054"/>
      <c r="RGX355" s="1055"/>
      <c r="RGY355" s="1054"/>
      <c r="RGZ355" s="1055"/>
      <c r="RHA355" s="1054"/>
      <c r="RHB355" s="1055"/>
      <c r="RHC355" s="1054"/>
      <c r="RHD355" s="1055"/>
      <c r="RHE355" s="1054"/>
      <c r="RHF355" s="1055"/>
      <c r="RHG355" s="1054"/>
      <c r="RHH355" s="1055"/>
      <c r="RHI355" s="1054"/>
      <c r="RHJ355" s="1055"/>
      <c r="RHK355" s="1054"/>
      <c r="RHL355" s="1055"/>
      <c r="RHM355" s="1054"/>
      <c r="RHN355" s="1055"/>
      <c r="RHO355" s="1054"/>
      <c r="RHP355" s="1055"/>
      <c r="RHQ355" s="1054"/>
      <c r="RHR355" s="1055"/>
      <c r="RHS355" s="1054"/>
      <c r="RHT355" s="1055"/>
      <c r="RHU355" s="1054"/>
      <c r="RHV355" s="1055"/>
      <c r="RHW355" s="1054"/>
      <c r="RHX355" s="1055"/>
      <c r="RHY355" s="1054"/>
      <c r="RHZ355" s="1055"/>
      <c r="RIA355" s="1054"/>
      <c r="RIB355" s="1055"/>
      <c r="RIC355" s="1054"/>
      <c r="RID355" s="1055"/>
      <c r="RIE355" s="1054"/>
      <c r="RIF355" s="1055"/>
      <c r="RIG355" s="1054"/>
      <c r="RIH355" s="1055"/>
      <c r="RII355" s="1054"/>
      <c r="RIJ355" s="1055"/>
      <c r="RIK355" s="1054"/>
      <c r="RIL355" s="1055"/>
      <c r="RIM355" s="1054"/>
      <c r="RIN355" s="1055"/>
      <c r="RIO355" s="1054"/>
      <c r="RIP355" s="1055"/>
      <c r="RIQ355" s="1054"/>
      <c r="RIR355" s="1055"/>
      <c r="RIS355" s="1054"/>
      <c r="RIT355" s="1055"/>
      <c r="RIU355" s="1054"/>
      <c r="RIV355" s="1055"/>
      <c r="RIW355" s="1054"/>
      <c r="RIX355" s="1055"/>
      <c r="RIY355" s="1054"/>
      <c r="RIZ355" s="1055"/>
      <c r="RJA355" s="1054"/>
      <c r="RJB355" s="1055"/>
      <c r="RJC355" s="1054"/>
      <c r="RJD355" s="1055"/>
      <c r="RJE355" s="1054"/>
      <c r="RJF355" s="1055"/>
      <c r="RJG355" s="1054"/>
      <c r="RJH355" s="1055"/>
      <c r="RJI355" s="1054"/>
      <c r="RJJ355" s="1055"/>
      <c r="RJK355" s="1054"/>
      <c r="RJL355" s="1055"/>
      <c r="RJM355" s="1054"/>
      <c r="RJN355" s="1055"/>
      <c r="RJO355" s="1054"/>
      <c r="RJP355" s="1055"/>
      <c r="RJQ355" s="1054"/>
      <c r="RJR355" s="1055"/>
      <c r="RJS355" s="1054"/>
      <c r="RJT355" s="1055"/>
      <c r="RJU355" s="1054"/>
      <c r="RJV355" s="1055"/>
      <c r="RJW355" s="1054"/>
      <c r="RJX355" s="1055"/>
      <c r="RJY355" s="1054"/>
      <c r="RJZ355" s="1055"/>
      <c r="RKA355" s="1054"/>
      <c r="RKB355" s="1055"/>
      <c r="RKC355" s="1054"/>
      <c r="RKD355" s="1055"/>
      <c r="RKE355" s="1054"/>
      <c r="RKF355" s="1055"/>
      <c r="RKG355" s="1054"/>
      <c r="RKH355" s="1055"/>
      <c r="RKI355" s="1054"/>
      <c r="RKJ355" s="1055"/>
      <c r="RKK355" s="1054"/>
      <c r="RKL355" s="1055"/>
      <c r="RKM355" s="1054"/>
      <c r="RKN355" s="1055"/>
      <c r="RKO355" s="1054"/>
      <c r="RKP355" s="1055"/>
      <c r="RKQ355" s="1054"/>
      <c r="RKR355" s="1055"/>
      <c r="RKS355" s="1054"/>
      <c r="RKT355" s="1055"/>
      <c r="RKU355" s="1054"/>
      <c r="RKV355" s="1055"/>
      <c r="RKW355" s="1054"/>
      <c r="RKX355" s="1055"/>
      <c r="RKY355" s="1054"/>
      <c r="RKZ355" s="1055"/>
      <c r="RLA355" s="1054"/>
      <c r="RLB355" s="1055"/>
      <c r="RLC355" s="1054"/>
      <c r="RLD355" s="1055"/>
      <c r="RLE355" s="1054"/>
      <c r="RLF355" s="1055"/>
      <c r="RLG355" s="1054"/>
      <c r="RLH355" s="1055"/>
      <c r="RLI355" s="1054"/>
      <c r="RLJ355" s="1055"/>
      <c r="RLK355" s="1054"/>
      <c r="RLL355" s="1055"/>
      <c r="RLM355" s="1054"/>
      <c r="RLN355" s="1055"/>
      <c r="RLO355" s="1054"/>
      <c r="RLP355" s="1055"/>
      <c r="RLQ355" s="1054"/>
      <c r="RLR355" s="1055"/>
      <c r="RLS355" s="1054"/>
      <c r="RLT355" s="1055"/>
      <c r="RLU355" s="1054"/>
      <c r="RLV355" s="1055"/>
      <c r="RLW355" s="1054"/>
      <c r="RLX355" s="1055"/>
      <c r="RLY355" s="1054"/>
      <c r="RLZ355" s="1055"/>
      <c r="RMA355" s="1054"/>
      <c r="RMB355" s="1055"/>
      <c r="RMC355" s="1054"/>
      <c r="RMD355" s="1055"/>
      <c r="RME355" s="1054"/>
      <c r="RMF355" s="1055"/>
      <c r="RMG355" s="1054"/>
      <c r="RMH355" s="1055"/>
      <c r="RMI355" s="1054"/>
      <c r="RMJ355" s="1055"/>
      <c r="RMK355" s="1054"/>
      <c r="RML355" s="1055"/>
      <c r="RMM355" s="1054"/>
      <c r="RMN355" s="1055"/>
      <c r="RMO355" s="1054"/>
      <c r="RMP355" s="1055"/>
      <c r="RMQ355" s="1054"/>
      <c r="RMR355" s="1055"/>
      <c r="RMS355" s="1054"/>
      <c r="RMT355" s="1055"/>
      <c r="RMU355" s="1054"/>
      <c r="RMV355" s="1055"/>
      <c r="RMW355" s="1054"/>
      <c r="RMX355" s="1055"/>
      <c r="RMY355" s="1054"/>
      <c r="RMZ355" s="1055"/>
      <c r="RNA355" s="1054"/>
      <c r="RNB355" s="1055"/>
      <c r="RNC355" s="1054"/>
      <c r="RND355" s="1055"/>
      <c r="RNE355" s="1054"/>
      <c r="RNF355" s="1055"/>
      <c r="RNG355" s="1054"/>
      <c r="RNH355" s="1055"/>
      <c r="RNI355" s="1054"/>
      <c r="RNJ355" s="1055"/>
      <c r="RNK355" s="1054"/>
      <c r="RNL355" s="1055"/>
      <c r="RNM355" s="1054"/>
      <c r="RNN355" s="1055"/>
      <c r="RNO355" s="1054"/>
      <c r="RNP355" s="1055"/>
      <c r="RNQ355" s="1054"/>
      <c r="RNR355" s="1055"/>
      <c r="RNS355" s="1054"/>
      <c r="RNT355" s="1055"/>
      <c r="RNU355" s="1054"/>
      <c r="RNV355" s="1055"/>
      <c r="RNW355" s="1054"/>
      <c r="RNX355" s="1055"/>
      <c r="RNY355" s="1054"/>
      <c r="RNZ355" s="1055"/>
      <c r="ROA355" s="1054"/>
      <c r="ROB355" s="1055"/>
      <c r="ROC355" s="1054"/>
      <c r="ROD355" s="1055"/>
      <c r="ROE355" s="1054"/>
      <c r="ROF355" s="1055"/>
      <c r="ROG355" s="1054"/>
      <c r="ROH355" s="1055"/>
      <c r="ROI355" s="1054"/>
      <c r="ROJ355" s="1055"/>
      <c r="ROK355" s="1054"/>
      <c r="ROL355" s="1055"/>
      <c r="ROM355" s="1054"/>
      <c r="RON355" s="1055"/>
      <c r="ROO355" s="1054"/>
      <c r="ROP355" s="1055"/>
      <c r="ROQ355" s="1054"/>
      <c r="ROR355" s="1055"/>
      <c r="ROS355" s="1054"/>
      <c r="ROT355" s="1055"/>
      <c r="ROU355" s="1054"/>
      <c r="ROV355" s="1055"/>
      <c r="ROW355" s="1054"/>
      <c r="ROX355" s="1055"/>
      <c r="ROY355" s="1054"/>
      <c r="ROZ355" s="1055"/>
      <c r="RPA355" s="1054"/>
      <c r="RPB355" s="1055"/>
      <c r="RPC355" s="1054"/>
      <c r="RPD355" s="1055"/>
      <c r="RPE355" s="1054"/>
      <c r="RPF355" s="1055"/>
      <c r="RPG355" s="1054"/>
      <c r="RPH355" s="1055"/>
      <c r="RPI355" s="1054"/>
      <c r="RPJ355" s="1055"/>
      <c r="RPK355" s="1054"/>
      <c r="RPL355" s="1055"/>
      <c r="RPM355" s="1054"/>
      <c r="RPN355" s="1055"/>
      <c r="RPO355" s="1054"/>
      <c r="RPP355" s="1055"/>
      <c r="RPQ355" s="1054"/>
      <c r="RPR355" s="1055"/>
      <c r="RPS355" s="1054"/>
      <c r="RPT355" s="1055"/>
      <c r="RPU355" s="1054"/>
      <c r="RPV355" s="1055"/>
      <c r="RPW355" s="1054"/>
      <c r="RPX355" s="1055"/>
      <c r="RPY355" s="1054"/>
      <c r="RPZ355" s="1055"/>
      <c r="RQA355" s="1054"/>
      <c r="RQB355" s="1055"/>
      <c r="RQC355" s="1054"/>
      <c r="RQD355" s="1055"/>
      <c r="RQE355" s="1054"/>
      <c r="RQF355" s="1055"/>
      <c r="RQG355" s="1054"/>
      <c r="RQH355" s="1055"/>
      <c r="RQI355" s="1054"/>
      <c r="RQJ355" s="1055"/>
      <c r="RQK355" s="1054"/>
      <c r="RQL355" s="1055"/>
      <c r="RQM355" s="1054"/>
      <c r="RQN355" s="1055"/>
      <c r="RQO355" s="1054"/>
      <c r="RQP355" s="1055"/>
      <c r="RQQ355" s="1054"/>
      <c r="RQR355" s="1055"/>
      <c r="RQS355" s="1054"/>
      <c r="RQT355" s="1055"/>
      <c r="RQU355" s="1054"/>
      <c r="RQV355" s="1055"/>
      <c r="RQW355" s="1054"/>
      <c r="RQX355" s="1055"/>
      <c r="RQY355" s="1054"/>
      <c r="RQZ355" s="1055"/>
      <c r="RRA355" s="1054"/>
      <c r="RRB355" s="1055"/>
      <c r="RRC355" s="1054"/>
      <c r="RRD355" s="1055"/>
      <c r="RRE355" s="1054"/>
      <c r="RRF355" s="1055"/>
      <c r="RRG355" s="1054"/>
      <c r="RRH355" s="1055"/>
      <c r="RRI355" s="1054"/>
      <c r="RRJ355" s="1055"/>
      <c r="RRK355" s="1054"/>
      <c r="RRL355" s="1055"/>
      <c r="RRM355" s="1054"/>
      <c r="RRN355" s="1055"/>
      <c r="RRO355" s="1054"/>
      <c r="RRP355" s="1055"/>
      <c r="RRQ355" s="1054"/>
      <c r="RRR355" s="1055"/>
      <c r="RRS355" s="1054"/>
      <c r="RRT355" s="1055"/>
      <c r="RRU355" s="1054"/>
      <c r="RRV355" s="1055"/>
      <c r="RRW355" s="1054"/>
      <c r="RRX355" s="1055"/>
      <c r="RRY355" s="1054"/>
      <c r="RRZ355" s="1055"/>
      <c r="RSA355" s="1054"/>
      <c r="RSB355" s="1055"/>
      <c r="RSC355" s="1054"/>
      <c r="RSD355" s="1055"/>
      <c r="RSE355" s="1054"/>
      <c r="RSF355" s="1055"/>
      <c r="RSG355" s="1054"/>
      <c r="RSH355" s="1055"/>
      <c r="RSI355" s="1054"/>
      <c r="RSJ355" s="1055"/>
      <c r="RSK355" s="1054"/>
      <c r="RSL355" s="1055"/>
      <c r="RSM355" s="1054"/>
      <c r="RSN355" s="1055"/>
      <c r="RSO355" s="1054"/>
      <c r="RSP355" s="1055"/>
      <c r="RSQ355" s="1054"/>
      <c r="RSR355" s="1055"/>
      <c r="RSS355" s="1054"/>
      <c r="RST355" s="1055"/>
      <c r="RSU355" s="1054"/>
      <c r="RSV355" s="1055"/>
      <c r="RSW355" s="1054"/>
      <c r="RSX355" s="1055"/>
      <c r="RSY355" s="1054"/>
      <c r="RSZ355" s="1055"/>
      <c r="RTA355" s="1054"/>
      <c r="RTB355" s="1055"/>
      <c r="RTC355" s="1054"/>
      <c r="RTD355" s="1055"/>
      <c r="RTE355" s="1054"/>
      <c r="RTF355" s="1055"/>
      <c r="RTG355" s="1054"/>
      <c r="RTH355" s="1055"/>
      <c r="RTI355" s="1054"/>
      <c r="RTJ355" s="1055"/>
      <c r="RTK355" s="1054"/>
      <c r="RTL355" s="1055"/>
      <c r="RTM355" s="1054"/>
      <c r="RTN355" s="1055"/>
      <c r="RTO355" s="1054"/>
      <c r="RTP355" s="1055"/>
      <c r="RTQ355" s="1054"/>
      <c r="RTR355" s="1055"/>
      <c r="RTS355" s="1054"/>
      <c r="RTT355" s="1055"/>
      <c r="RTU355" s="1054"/>
      <c r="RTV355" s="1055"/>
      <c r="RTW355" s="1054"/>
      <c r="RTX355" s="1055"/>
      <c r="RTY355" s="1054"/>
      <c r="RTZ355" s="1055"/>
      <c r="RUA355" s="1054"/>
      <c r="RUB355" s="1055"/>
      <c r="RUC355" s="1054"/>
      <c r="RUD355" s="1055"/>
      <c r="RUE355" s="1054"/>
      <c r="RUF355" s="1055"/>
      <c r="RUG355" s="1054"/>
      <c r="RUH355" s="1055"/>
      <c r="RUI355" s="1054"/>
      <c r="RUJ355" s="1055"/>
      <c r="RUK355" s="1054"/>
      <c r="RUL355" s="1055"/>
      <c r="RUM355" s="1054"/>
      <c r="RUN355" s="1055"/>
      <c r="RUO355" s="1054"/>
      <c r="RUP355" s="1055"/>
      <c r="RUQ355" s="1054"/>
      <c r="RUR355" s="1055"/>
      <c r="RUS355" s="1054"/>
      <c r="RUT355" s="1055"/>
      <c r="RUU355" s="1054"/>
      <c r="RUV355" s="1055"/>
      <c r="RUW355" s="1054"/>
      <c r="RUX355" s="1055"/>
      <c r="RUY355" s="1054"/>
      <c r="RUZ355" s="1055"/>
      <c r="RVA355" s="1054"/>
      <c r="RVB355" s="1055"/>
      <c r="RVC355" s="1054"/>
      <c r="RVD355" s="1055"/>
      <c r="RVE355" s="1054"/>
      <c r="RVF355" s="1055"/>
      <c r="RVG355" s="1054"/>
      <c r="RVH355" s="1055"/>
      <c r="RVI355" s="1054"/>
      <c r="RVJ355" s="1055"/>
      <c r="RVK355" s="1054"/>
      <c r="RVL355" s="1055"/>
      <c r="RVM355" s="1054"/>
      <c r="RVN355" s="1055"/>
      <c r="RVO355" s="1054"/>
      <c r="RVP355" s="1055"/>
      <c r="RVQ355" s="1054"/>
      <c r="RVR355" s="1055"/>
      <c r="RVS355" s="1054"/>
      <c r="RVT355" s="1055"/>
      <c r="RVU355" s="1054"/>
      <c r="RVV355" s="1055"/>
      <c r="RVW355" s="1054"/>
      <c r="RVX355" s="1055"/>
      <c r="RVY355" s="1054"/>
      <c r="RVZ355" s="1055"/>
      <c r="RWA355" s="1054"/>
      <c r="RWB355" s="1055"/>
      <c r="RWC355" s="1054"/>
      <c r="RWD355" s="1055"/>
      <c r="RWE355" s="1054"/>
      <c r="RWF355" s="1055"/>
      <c r="RWG355" s="1054"/>
      <c r="RWH355" s="1055"/>
      <c r="RWI355" s="1054"/>
      <c r="RWJ355" s="1055"/>
      <c r="RWK355" s="1054"/>
      <c r="RWL355" s="1055"/>
      <c r="RWM355" s="1054"/>
      <c r="RWN355" s="1055"/>
      <c r="RWO355" s="1054"/>
      <c r="RWP355" s="1055"/>
      <c r="RWQ355" s="1054"/>
      <c r="RWR355" s="1055"/>
      <c r="RWS355" s="1054"/>
      <c r="RWT355" s="1055"/>
      <c r="RWU355" s="1054"/>
      <c r="RWV355" s="1055"/>
      <c r="RWW355" s="1054"/>
      <c r="RWX355" s="1055"/>
      <c r="RWY355" s="1054"/>
      <c r="RWZ355" s="1055"/>
      <c r="RXA355" s="1054"/>
      <c r="RXB355" s="1055"/>
      <c r="RXC355" s="1054"/>
      <c r="RXD355" s="1055"/>
      <c r="RXE355" s="1054"/>
      <c r="RXF355" s="1055"/>
      <c r="RXG355" s="1054"/>
      <c r="RXH355" s="1055"/>
      <c r="RXI355" s="1054"/>
      <c r="RXJ355" s="1055"/>
      <c r="RXK355" s="1054"/>
      <c r="RXL355" s="1055"/>
      <c r="RXM355" s="1054"/>
      <c r="RXN355" s="1055"/>
      <c r="RXO355" s="1054"/>
      <c r="RXP355" s="1055"/>
      <c r="RXQ355" s="1054"/>
      <c r="RXR355" s="1055"/>
      <c r="RXS355" s="1054"/>
      <c r="RXT355" s="1055"/>
      <c r="RXU355" s="1054"/>
      <c r="RXV355" s="1055"/>
      <c r="RXW355" s="1054"/>
      <c r="RXX355" s="1055"/>
      <c r="RXY355" s="1054"/>
      <c r="RXZ355" s="1055"/>
      <c r="RYA355" s="1054"/>
      <c r="RYB355" s="1055"/>
      <c r="RYC355" s="1054"/>
      <c r="RYD355" s="1055"/>
      <c r="RYE355" s="1054"/>
      <c r="RYF355" s="1055"/>
      <c r="RYG355" s="1054"/>
      <c r="RYH355" s="1055"/>
      <c r="RYI355" s="1054"/>
      <c r="RYJ355" s="1055"/>
      <c r="RYK355" s="1054"/>
      <c r="RYL355" s="1055"/>
      <c r="RYM355" s="1054"/>
      <c r="RYN355" s="1055"/>
      <c r="RYO355" s="1054"/>
      <c r="RYP355" s="1055"/>
      <c r="RYQ355" s="1054"/>
      <c r="RYR355" s="1055"/>
      <c r="RYS355" s="1054"/>
      <c r="RYT355" s="1055"/>
      <c r="RYU355" s="1054"/>
      <c r="RYV355" s="1055"/>
      <c r="RYW355" s="1054"/>
      <c r="RYX355" s="1055"/>
      <c r="RYY355" s="1054"/>
      <c r="RYZ355" s="1055"/>
      <c r="RZA355" s="1054"/>
      <c r="RZB355" s="1055"/>
      <c r="RZC355" s="1054"/>
      <c r="RZD355" s="1055"/>
      <c r="RZE355" s="1054"/>
      <c r="RZF355" s="1055"/>
      <c r="RZG355" s="1054"/>
      <c r="RZH355" s="1055"/>
      <c r="RZI355" s="1054"/>
      <c r="RZJ355" s="1055"/>
      <c r="RZK355" s="1054"/>
      <c r="RZL355" s="1055"/>
      <c r="RZM355" s="1054"/>
      <c r="RZN355" s="1055"/>
      <c r="RZO355" s="1054"/>
      <c r="RZP355" s="1055"/>
      <c r="RZQ355" s="1054"/>
      <c r="RZR355" s="1055"/>
      <c r="RZS355" s="1054"/>
      <c r="RZT355" s="1055"/>
      <c r="RZU355" s="1054"/>
      <c r="RZV355" s="1055"/>
      <c r="RZW355" s="1054"/>
      <c r="RZX355" s="1055"/>
      <c r="RZY355" s="1054"/>
      <c r="RZZ355" s="1055"/>
      <c r="SAA355" s="1054"/>
      <c r="SAB355" s="1055"/>
      <c r="SAC355" s="1054"/>
      <c r="SAD355" s="1055"/>
      <c r="SAE355" s="1054"/>
      <c r="SAF355" s="1055"/>
      <c r="SAG355" s="1054"/>
      <c r="SAH355" s="1055"/>
      <c r="SAI355" s="1054"/>
      <c r="SAJ355" s="1055"/>
      <c r="SAK355" s="1054"/>
      <c r="SAL355" s="1055"/>
      <c r="SAM355" s="1054"/>
      <c r="SAN355" s="1055"/>
      <c r="SAO355" s="1054"/>
      <c r="SAP355" s="1055"/>
      <c r="SAQ355" s="1054"/>
      <c r="SAR355" s="1055"/>
      <c r="SAS355" s="1054"/>
      <c r="SAT355" s="1055"/>
      <c r="SAU355" s="1054"/>
      <c r="SAV355" s="1055"/>
      <c r="SAW355" s="1054"/>
      <c r="SAX355" s="1055"/>
      <c r="SAY355" s="1054"/>
      <c r="SAZ355" s="1055"/>
      <c r="SBA355" s="1054"/>
      <c r="SBB355" s="1055"/>
      <c r="SBC355" s="1054"/>
      <c r="SBD355" s="1055"/>
      <c r="SBE355" s="1054"/>
      <c r="SBF355" s="1055"/>
      <c r="SBG355" s="1054"/>
      <c r="SBH355" s="1055"/>
      <c r="SBI355" s="1054"/>
      <c r="SBJ355" s="1055"/>
      <c r="SBK355" s="1054"/>
      <c r="SBL355" s="1055"/>
      <c r="SBM355" s="1054"/>
      <c r="SBN355" s="1055"/>
      <c r="SBO355" s="1054"/>
      <c r="SBP355" s="1055"/>
      <c r="SBQ355" s="1054"/>
      <c r="SBR355" s="1055"/>
      <c r="SBS355" s="1054"/>
      <c r="SBT355" s="1055"/>
      <c r="SBU355" s="1054"/>
      <c r="SBV355" s="1055"/>
      <c r="SBW355" s="1054"/>
      <c r="SBX355" s="1055"/>
      <c r="SBY355" s="1054"/>
      <c r="SBZ355" s="1055"/>
      <c r="SCA355" s="1054"/>
      <c r="SCB355" s="1055"/>
      <c r="SCC355" s="1054"/>
      <c r="SCD355" s="1055"/>
      <c r="SCE355" s="1054"/>
      <c r="SCF355" s="1055"/>
      <c r="SCG355" s="1054"/>
      <c r="SCH355" s="1055"/>
      <c r="SCI355" s="1054"/>
      <c r="SCJ355" s="1055"/>
      <c r="SCK355" s="1054"/>
      <c r="SCL355" s="1055"/>
      <c r="SCM355" s="1054"/>
      <c r="SCN355" s="1055"/>
      <c r="SCO355" s="1054"/>
      <c r="SCP355" s="1055"/>
      <c r="SCQ355" s="1054"/>
      <c r="SCR355" s="1055"/>
      <c r="SCS355" s="1054"/>
      <c r="SCT355" s="1055"/>
      <c r="SCU355" s="1054"/>
      <c r="SCV355" s="1055"/>
      <c r="SCW355" s="1054"/>
      <c r="SCX355" s="1055"/>
      <c r="SCY355" s="1054"/>
      <c r="SCZ355" s="1055"/>
      <c r="SDA355" s="1054"/>
      <c r="SDB355" s="1055"/>
      <c r="SDC355" s="1054"/>
      <c r="SDD355" s="1055"/>
      <c r="SDE355" s="1054"/>
      <c r="SDF355" s="1055"/>
      <c r="SDG355" s="1054"/>
      <c r="SDH355" s="1055"/>
      <c r="SDI355" s="1054"/>
      <c r="SDJ355" s="1055"/>
      <c r="SDK355" s="1054"/>
      <c r="SDL355" s="1055"/>
      <c r="SDM355" s="1054"/>
      <c r="SDN355" s="1055"/>
      <c r="SDO355" s="1054"/>
      <c r="SDP355" s="1055"/>
      <c r="SDQ355" s="1054"/>
      <c r="SDR355" s="1055"/>
      <c r="SDS355" s="1054"/>
      <c r="SDT355" s="1055"/>
      <c r="SDU355" s="1054"/>
      <c r="SDV355" s="1055"/>
      <c r="SDW355" s="1054"/>
      <c r="SDX355" s="1055"/>
      <c r="SDY355" s="1054"/>
      <c r="SDZ355" s="1055"/>
      <c r="SEA355" s="1054"/>
      <c r="SEB355" s="1055"/>
      <c r="SEC355" s="1054"/>
      <c r="SED355" s="1055"/>
      <c r="SEE355" s="1054"/>
      <c r="SEF355" s="1055"/>
      <c r="SEG355" s="1054"/>
      <c r="SEH355" s="1055"/>
      <c r="SEI355" s="1054"/>
      <c r="SEJ355" s="1055"/>
      <c r="SEK355" s="1054"/>
      <c r="SEL355" s="1055"/>
      <c r="SEM355" s="1054"/>
      <c r="SEN355" s="1055"/>
      <c r="SEO355" s="1054"/>
      <c r="SEP355" s="1055"/>
      <c r="SEQ355" s="1054"/>
      <c r="SER355" s="1055"/>
      <c r="SES355" s="1054"/>
      <c r="SET355" s="1055"/>
      <c r="SEU355" s="1054"/>
      <c r="SEV355" s="1055"/>
      <c r="SEW355" s="1054"/>
      <c r="SEX355" s="1055"/>
      <c r="SEY355" s="1054"/>
      <c r="SEZ355" s="1055"/>
      <c r="SFA355" s="1054"/>
      <c r="SFB355" s="1055"/>
      <c r="SFC355" s="1054"/>
      <c r="SFD355" s="1055"/>
      <c r="SFE355" s="1054"/>
      <c r="SFF355" s="1055"/>
      <c r="SFG355" s="1054"/>
      <c r="SFH355" s="1055"/>
      <c r="SFI355" s="1054"/>
      <c r="SFJ355" s="1055"/>
      <c r="SFK355" s="1054"/>
      <c r="SFL355" s="1055"/>
      <c r="SFM355" s="1054"/>
      <c r="SFN355" s="1055"/>
      <c r="SFO355" s="1054"/>
      <c r="SFP355" s="1055"/>
      <c r="SFQ355" s="1054"/>
      <c r="SFR355" s="1055"/>
      <c r="SFS355" s="1054"/>
      <c r="SFT355" s="1055"/>
      <c r="SFU355" s="1054"/>
      <c r="SFV355" s="1055"/>
      <c r="SFW355" s="1054"/>
      <c r="SFX355" s="1055"/>
      <c r="SFY355" s="1054"/>
      <c r="SFZ355" s="1055"/>
      <c r="SGA355" s="1054"/>
      <c r="SGB355" s="1055"/>
      <c r="SGC355" s="1054"/>
      <c r="SGD355" s="1055"/>
      <c r="SGE355" s="1054"/>
      <c r="SGF355" s="1055"/>
      <c r="SGG355" s="1054"/>
      <c r="SGH355" s="1055"/>
      <c r="SGI355" s="1054"/>
      <c r="SGJ355" s="1055"/>
      <c r="SGK355" s="1054"/>
      <c r="SGL355" s="1055"/>
      <c r="SGM355" s="1054"/>
      <c r="SGN355" s="1055"/>
      <c r="SGO355" s="1054"/>
      <c r="SGP355" s="1055"/>
      <c r="SGQ355" s="1054"/>
      <c r="SGR355" s="1055"/>
      <c r="SGS355" s="1054"/>
      <c r="SGT355" s="1055"/>
      <c r="SGU355" s="1054"/>
      <c r="SGV355" s="1055"/>
      <c r="SGW355" s="1054"/>
      <c r="SGX355" s="1055"/>
      <c r="SGY355" s="1054"/>
      <c r="SGZ355" s="1055"/>
      <c r="SHA355" s="1054"/>
      <c r="SHB355" s="1055"/>
      <c r="SHC355" s="1054"/>
      <c r="SHD355" s="1055"/>
      <c r="SHE355" s="1054"/>
      <c r="SHF355" s="1055"/>
      <c r="SHG355" s="1054"/>
      <c r="SHH355" s="1055"/>
      <c r="SHI355" s="1054"/>
      <c r="SHJ355" s="1055"/>
      <c r="SHK355" s="1054"/>
      <c r="SHL355" s="1055"/>
      <c r="SHM355" s="1054"/>
      <c r="SHN355" s="1055"/>
      <c r="SHO355" s="1054"/>
      <c r="SHP355" s="1055"/>
      <c r="SHQ355" s="1054"/>
      <c r="SHR355" s="1055"/>
      <c r="SHS355" s="1054"/>
      <c r="SHT355" s="1055"/>
      <c r="SHU355" s="1054"/>
      <c r="SHV355" s="1055"/>
      <c r="SHW355" s="1054"/>
      <c r="SHX355" s="1055"/>
      <c r="SHY355" s="1054"/>
      <c r="SHZ355" s="1055"/>
      <c r="SIA355" s="1054"/>
      <c r="SIB355" s="1055"/>
      <c r="SIC355" s="1054"/>
      <c r="SID355" s="1055"/>
      <c r="SIE355" s="1054"/>
      <c r="SIF355" s="1055"/>
      <c r="SIG355" s="1054"/>
      <c r="SIH355" s="1055"/>
      <c r="SII355" s="1054"/>
      <c r="SIJ355" s="1055"/>
      <c r="SIK355" s="1054"/>
      <c r="SIL355" s="1055"/>
      <c r="SIM355" s="1054"/>
      <c r="SIN355" s="1055"/>
      <c r="SIO355" s="1054"/>
      <c r="SIP355" s="1055"/>
      <c r="SIQ355" s="1054"/>
      <c r="SIR355" s="1055"/>
      <c r="SIS355" s="1054"/>
      <c r="SIT355" s="1055"/>
      <c r="SIU355" s="1054"/>
      <c r="SIV355" s="1055"/>
      <c r="SIW355" s="1054"/>
      <c r="SIX355" s="1055"/>
      <c r="SIY355" s="1054"/>
      <c r="SIZ355" s="1055"/>
      <c r="SJA355" s="1054"/>
      <c r="SJB355" s="1055"/>
      <c r="SJC355" s="1054"/>
      <c r="SJD355" s="1055"/>
      <c r="SJE355" s="1054"/>
      <c r="SJF355" s="1055"/>
      <c r="SJG355" s="1054"/>
      <c r="SJH355" s="1055"/>
      <c r="SJI355" s="1054"/>
      <c r="SJJ355" s="1055"/>
      <c r="SJK355" s="1054"/>
      <c r="SJL355" s="1055"/>
      <c r="SJM355" s="1054"/>
      <c r="SJN355" s="1055"/>
      <c r="SJO355" s="1054"/>
      <c r="SJP355" s="1055"/>
      <c r="SJQ355" s="1054"/>
      <c r="SJR355" s="1055"/>
      <c r="SJS355" s="1054"/>
      <c r="SJT355" s="1055"/>
      <c r="SJU355" s="1054"/>
      <c r="SJV355" s="1055"/>
      <c r="SJW355" s="1054"/>
      <c r="SJX355" s="1055"/>
      <c r="SJY355" s="1054"/>
      <c r="SJZ355" s="1055"/>
      <c r="SKA355" s="1054"/>
      <c r="SKB355" s="1055"/>
      <c r="SKC355" s="1054"/>
      <c r="SKD355" s="1055"/>
      <c r="SKE355" s="1054"/>
      <c r="SKF355" s="1055"/>
      <c r="SKG355" s="1054"/>
      <c r="SKH355" s="1055"/>
      <c r="SKI355" s="1054"/>
      <c r="SKJ355" s="1055"/>
      <c r="SKK355" s="1054"/>
      <c r="SKL355" s="1055"/>
      <c r="SKM355" s="1054"/>
      <c r="SKN355" s="1055"/>
      <c r="SKO355" s="1054"/>
      <c r="SKP355" s="1055"/>
      <c r="SKQ355" s="1054"/>
      <c r="SKR355" s="1055"/>
      <c r="SKS355" s="1054"/>
      <c r="SKT355" s="1055"/>
      <c r="SKU355" s="1054"/>
      <c r="SKV355" s="1055"/>
      <c r="SKW355" s="1054"/>
      <c r="SKX355" s="1055"/>
      <c r="SKY355" s="1054"/>
      <c r="SKZ355" s="1055"/>
      <c r="SLA355" s="1054"/>
      <c r="SLB355" s="1055"/>
      <c r="SLC355" s="1054"/>
      <c r="SLD355" s="1055"/>
      <c r="SLE355" s="1054"/>
      <c r="SLF355" s="1055"/>
      <c r="SLG355" s="1054"/>
      <c r="SLH355" s="1055"/>
      <c r="SLI355" s="1054"/>
      <c r="SLJ355" s="1055"/>
      <c r="SLK355" s="1054"/>
      <c r="SLL355" s="1055"/>
      <c r="SLM355" s="1054"/>
      <c r="SLN355" s="1055"/>
      <c r="SLO355" s="1054"/>
      <c r="SLP355" s="1055"/>
      <c r="SLQ355" s="1054"/>
      <c r="SLR355" s="1055"/>
      <c r="SLS355" s="1054"/>
      <c r="SLT355" s="1055"/>
      <c r="SLU355" s="1054"/>
      <c r="SLV355" s="1055"/>
      <c r="SLW355" s="1054"/>
      <c r="SLX355" s="1055"/>
      <c r="SLY355" s="1054"/>
      <c r="SLZ355" s="1055"/>
      <c r="SMA355" s="1054"/>
      <c r="SMB355" s="1055"/>
      <c r="SMC355" s="1054"/>
      <c r="SMD355" s="1055"/>
      <c r="SME355" s="1054"/>
      <c r="SMF355" s="1055"/>
      <c r="SMG355" s="1054"/>
      <c r="SMH355" s="1055"/>
      <c r="SMI355" s="1054"/>
      <c r="SMJ355" s="1055"/>
      <c r="SMK355" s="1054"/>
      <c r="SML355" s="1055"/>
      <c r="SMM355" s="1054"/>
      <c r="SMN355" s="1055"/>
      <c r="SMO355" s="1054"/>
      <c r="SMP355" s="1055"/>
      <c r="SMQ355" s="1054"/>
      <c r="SMR355" s="1055"/>
      <c r="SMS355" s="1054"/>
      <c r="SMT355" s="1055"/>
      <c r="SMU355" s="1054"/>
      <c r="SMV355" s="1055"/>
      <c r="SMW355" s="1054"/>
      <c r="SMX355" s="1055"/>
      <c r="SMY355" s="1054"/>
      <c r="SMZ355" s="1055"/>
      <c r="SNA355" s="1054"/>
      <c r="SNB355" s="1055"/>
      <c r="SNC355" s="1054"/>
      <c r="SND355" s="1055"/>
      <c r="SNE355" s="1054"/>
      <c r="SNF355" s="1055"/>
      <c r="SNG355" s="1054"/>
      <c r="SNH355" s="1055"/>
      <c r="SNI355" s="1054"/>
      <c r="SNJ355" s="1055"/>
      <c r="SNK355" s="1054"/>
      <c r="SNL355" s="1055"/>
      <c r="SNM355" s="1054"/>
      <c r="SNN355" s="1055"/>
      <c r="SNO355" s="1054"/>
      <c r="SNP355" s="1055"/>
      <c r="SNQ355" s="1054"/>
      <c r="SNR355" s="1055"/>
      <c r="SNS355" s="1054"/>
      <c r="SNT355" s="1055"/>
      <c r="SNU355" s="1054"/>
      <c r="SNV355" s="1055"/>
      <c r="SNW355" s="1054"/>
      <c r="SNX355" s="1055"/>
      <c r="SNY355" s="1054"/>
      <c r="SNZ355" s="1055"/>
      <c r="SOA355" s="1054"/>
      <c r="SOB355" s="1055"/>
      <c r="SOC355" s="1054"/>
      <c r="SOD355" s="1055"/>
      <c r="SOE355" s="1054"/>
      <c r="SOF355" s="1055"/>
      <c r="SOG355" s="1054"/>
      <c r="SOH355" s="1055"/>
      <c r="SOI355" s="1054"/>
      <c r="SOJ355" s="1055"/>
      <c r="SOK355" s="1054"/>
      <c r="SOL355" s="1055"/>
      <c r="SOM355" s="1054"/>
      <c r="SON355" s="1055"/>
      <c r="SOO355" s="1054"/>
      <c r="SOP355" s="1055"/>
      <c r="SOQ355" s="1054"/>
      <c r="SOR355" s="1055"/>
      <c r="SOS355" s="1054"/>
      <c r="SOT355" s="1055"/>
      <c r="SOU355" s="1054"/>
      <c r="SOV355" s="1055"/>
      <c r="SOW355" s="1054"/>
      <c r="SOX355" s="1055"/>
      <c r="SOY355" s="1054"/>
      <c r="SOZ355" s="1055"/>
      <c r="SPA355" s="1054"/>
      <c r="SPB355" s="1055"/>
      <c r="SPC355" s="1054"/>
      <c r="SPD355" s="1055"/>
      <c r="SPE355" s="1054"/>
      <c r="SPF355" s="1055"/>
      <c r="SPG355" s="1054"/>
      <c r="SPH355" s="1055"/>
      <c r="SPI355" s="1054"/>
      <c r="SPJ355" s="1055"/>
      <c r="SPK355" s="1054"/>
      <c r="SPL355" s="1055"/>
      <c r="SPM355" s="1054"/>
      <c r="SPN355" s="1055"/>
      <c r="SPO355" s="1054"/>
      <c r="SPP355" s="1055"/>
      <c r="SPQ355" s="1054"/>
      <c r="SPR355" s="1055"/>
      <c r="SPS355" s="1054"/>
      <c r="SPT355" s="1055"/>
      <c r="SPU355" s="1054"/>
      <c r="SPV355" s="1055"/>
      <c r="SPW355" s="1054"/>
      <c r="SPX355" s="1055"/>
      <c r="SPY355" s="1054"/>
      <c r="SPZ355" s="1055"/>
      <c r="SQA355" s="1054"/>
      <c r="SQB355" s="1055"/>
      <c r="SQC355" s="1054"/>
      <c r="SQD355" s="1055"/>
      <c r="SQE355" s="1054"/>
      <c r="SQF355" s="1055"/>
      <c r="SQG355" s="1054"/>
      <c r="SQH355" s="1055"/>
      <c r="SQI355" s="1054"/>
      <c r="SQJ355" s="1055"/>
      <c r="SQK355" s="1054"/>
      <c r="SQL355" s="1055"/>
      <c r="SQM355" s="1054"/>
      <c r="SQN355" s="1055"/>
      <c r="SQO355" s="1054"/>
      <c r="SQP355" s="1055"/>
      <c r="SQQ355" s="1054"/>
      <c r="SQR355" s="1055"/>
      <c r="SQS355" s="1054"/>
      <c r="SQT355" s="1055"/>
      <c r="SQU355" s="1054"/>
      <c r="SQV355" s="1055"/>
      <c r="SQW355" s="1054"/>
      <c r="SQX355" s="1055"/>
      <c r="SQY355" s="1054"/>
      <c r="SQZ355" s="1055"/>
      <c r="SRA355" s="1054"/>
      <c r="SRB355" s="1055"/>
      <c r="SRC355" s="1054"/>
      <c r="SRD355" s="1055"/>
      <c r="SRE355" s="1054"/>
      <c r="SRF355" s="1055"/>
      <c r="SRG355" s="1054"/>
      <c r="SRH355" s="1055"/>
      <c r="SRI355" s="1054"/>
      <c r="SRJ355" s="1055"/>
      <c r="SRK355" s="1054"/>
      <c r="SRL355" s="1055"/>
      <c r="SRM355" s="1054"/>
      <c r="SRN355" s="1055"/>
      <c r="SRO355" s="1054"/>
      <c r="SRP355" s="1055"/>
      <c r="SRQ355" s="1054"/>
      <c r="SRR355" s="1055"/>
      <c r="SRS355" s="1054"/>
      <c r="SRT355" s="1055"/>
      <c r="SRU355" s="1054"/>
      <c r="SRV355" s="1055"/>
      <c r="SRW355" s="1054"/>
      <c r="SRX355" s="1055"/>
      <c r="SRY355" s="1054"/>
      <c r="SRZ355" s="1055"/>
      <c r="SSA355" s="1054"/>
      <c r="SSB355" s="1055"/>
      <c r="SSC355" s="1054"/>
      <c r="SSD355" s="1055"/>
      <c r="SSE355" s="1054"/>
      <c r="SSF355" s="1055"/>
      <c r="SSG355" s="1054"/>
      <c r="SSH355" s="1055"/>
      <c r="SSI355" s="1054"/>
      <c r="SSJ355" s="1055"/>
      <c r="SSK355" s="1054"/>
      <c r="SSL355" s="1055"/>
      <c r="SSM355" s="1054"/>
      <c r="SSN355" s="1055"/>
      <c r="SSO355" s="1054"/>
      <c r="SSP355" s="1055"/>
      <c r="SSQ355" s="1054"/>
      <c r="SSR355" s="1055"/>
      <c r="SSS355" s="1054"/>
      <c r="SST355" s="1055"/>
      <c r="SSU355" s="1054"/>
      <c r="SSV355" s="1055"/>
      <c r="SSW355" s="1054"/>
      <c r="SSX355" s="1055"/>
      <c r="SSY355" s="1054"/>
      <c r="SSZ355" s="1055"/>
      <c r="STA355" s="1054"/>
      <c r="STB355" s="1055"/>
      <c r="STC355" s="1054"/>
      <c r="STD355" s="1055"/>
      <c r="STE355" s="1054"/>
      <c r="STF355" s="1055"/>
      <c r="STG355" s="1054"/>
      <c r="STH355" s="1055"/>
      <c r="STI355" s="1054"/>
      <c r="STJ355" s="1055"/>
      <c r="STK355" s="1054"/>
      <c r="STL355" s="1055"/>
      <c r="STM355" s="1054"/>
      <c r="STN355" s="1055"/>
      <c r="STO355" s="1054"/>
      <c r="STP355" s="1055"/>
      <c r="STQ355" s="1054"/>
      <c r="STR355" s="1055"/>
      <c r="STS355" s="1054"/>
      <c r="STT355" s="1055"/>
      <c r="STU355" s="1054"/>
      <c r="STV355" s="1055"/>
      <c r="STW355" s="1054"/>
      <c r="STX355" s="1055"/>
      <c r="STY355" s="1054"/>
      <c r="STZ355" s="1055"/>
      <c r="SUA355" s="1054"/>
      <c r="SUB355" s="1055"/>
      <c r="SUC355" s="1054"/>
      <c r="SUD355" s="1055"/>
      <c r="SUE355" s="1054"/>
      <c r="SUF355" s="1055"/>
      <c r="SUG355" s="1054"/>
      <c r="SUH355" s="1055"/>
      <c r="SUI355" s="1054"/>
      <c r="SUJ355" s="1055"/>
      <c r="SUK355" s="1054"/>
      <c r="SUL355" s="1055"/>
      <c r="SUM355" s="1054"/>
      <c r="SUN355" s="1055"/>
      <c r="SUO355" s="1054"/>
      <c r="SUP355" s="1055"/>
      <c r="SUQ355" s="1054"/>
      <c r="SUR355" s="1055"/>
      <c r="SUS355" s="1054"/>
      <c r="SUT355" s="1055"/>
      <c r="SUU355" s="1054"/>
      <c r="SUV355" s="1055"/>
      <c r="SUW355" s="1054"/>
      <c r="SUX355" s="1055"/>
      <c r="SUY355" s="1054"/>
      <c r="SUZ355" s="1055"/>
      <c r="SVA355" s="1054"/>
      <c r="SVB355" s="1055"/>
      <c r="SVC355" s="1054"/>
      <c r="SVD355" s="1055"/>
      <c r="SVE355" s="1054"/>
      <c r="SVF355" s="1055"/>
      <c r="SVG355" s="1054"/>
      <c r="SVH355" s="1055"/>
      <c r="SVI355" s="1054"/>
      <c r="SVJ355" s="1055"/>
      <c r="SVK355" s="1054"/>
      <c r="SVL355" s="1055"/>
      <c r="SVM355" s="1054"/>
      <c r="SVN355" s="1055"/>
      <c r="SVO355" s="1054"/>
      <c r="SVP355" s="1055"/>
      <c r="SVQ355" s="1054"/>
      <c r="SVR355" s="1055"/>
      <c r="SVS355" s="1054"/>
      <c r="SVT355" s="1055"/>
      <c r="SVU355" s="1054"/>
      <c r="SVV355" s="1055"/>
      <c r="SVW355" s="1054"/>
      <c r="SVX355" s="1055"/>
      <c r="SVY355" s="1054"/>
      <c r="SVZ355" s="1055"/>
      <c r="SWA355" s="1054"/>
      <c r="SWB355" s="1055"/>
      <c r="SWC355" s="1054"/>
      <c r="SWD355" s="1055"/>
      <c r="SWE355" s="1054"/>
      <c r="SWF355" s="1055"/>
      <c r="SWG355" s="1054"/>
      <c r="SWH355" s="1055"/>
      <c r="SWI355" s="1054"/>
      <c r="SWJ355" s="1055"/>
      <c r="SWK355" s="1054"/>
      <c r="SWL355" s="1055"/>
      <c r="SWM355" s="1054"/>
      <c r="SWN355" s="1055"/>
      <c r="SWO355" s="1054"/>
      <c r="SWP355" s="1055"/>
      <c r="SWQ355" s="1054"/>
      <c r="SWR355" s="1055"/>
      <c r="SWS355" s="1054"/>
      <c r="SWT355" s="1055"/>
      <c r="SWU355" s="1054"/>
      <c r="SWV355" s="1055"/>
      <c r="SWW355" s="1054"/>
      <c r="SWX355" s="1055"/>
      <c r="SWY355" s="1054"/>
      <c r="SWZ355" s="1055"/>
      <c r="SXA355" s="1054"/>
      <c r="SXB355" s="1055"/>
      <c r="SXC355" s="1054"/>
      <c r="SXD355" s="1055"/>
      <c r="SXE355" s="1054"/>
      <c r="SXF355" s="1055"/>
      <c r="SXG355" s="1054"/>
      <c r="SXH355" s="1055"/>
      <c r="SXI355" s="1054"/>
      <c r="SXJ355" s="1055"/>
      <c r="SXK355" s="1054"/>
      <c r="SXL355" s="1055"/>
      <c r="SXM355" s="1054"/>
      <c r="SXN355" s="1055"/>
      <c r="SXO355" s="1054"/>
      <c r="SXP355" s="1055"/>
      <c r="SXQ355" s="1054"/>
      <c r="SXR355" s="1055"/>
      <c r="SXS355" s="1054"/>
      <c r="SXT355" s="1055"/>
      <c r="SXU355" s="1054"/>
      <c r="SXV355" s="1055"/>
      <c r="SXW355" s="1054"/>
      <c r="SXX355" s="1055"/>
      <c r="SXY355" s="1054"/>
      <c r="SXZ355" s="1055"/>
      <c r="SYA355" s="1054"/>
      <c r="SYB355" s="1055"/>
      <c r="SYC355" s="1054"/>
      <c r="SYD355" s="1055"/>
      <c r="SYE355" s="1054"/>
      <c r="SYF355" s="1055"/>
      <c r="SYG355" s="1054"/>
      <c r="SYH355" s="1055"/>
      <c r="SYI355" s="1054"/>
      <c r="SYJ355" s="1055"/>
      <c r="SYK355" s="1054"/>
      <c r="SYL355" s="1055"/>
      <c r="SYM355" s="1054"/>
      <c r="SYN355" s="1055"/>
      <c r="SYO355" s="1054"/>
      <c r="SYP355" s="1055"/>
      <c r="SYQ355" s="1054"/>
      <c r="SYR355" s="1055"/>
      <c r="SYS355" s="1054"/>
      <c r="SYT355" s="1055"/>
      <c r="SYU355" s="1054"/>
      <c r="SYV355" s="1055"/>
      <c r="SYW355" s="1054"/>
      <c r="SYX355" s="1055"/>
      <c r="SYY355" s="1054"/>
      <c r="SYZ355" s="1055"/>
      <c r="SZA355" s="1054"/>
      <c r="SZB355" s="1055"/>
      <c r="SZC355" s="1054"/>
      <c r="SZD355" s="1055"/>
      <c r="SZE355" s="1054"/>
      <c r="SZF355" s="1055"/>
      <c r="SZG355" s="1054"/>
      <c r="SZH355" s="1055"/>
      <c r="SZI355" s="1054"/>
      <c r="SZJ355" s="1055"/>
      <c r="SZK355" s="1054"/>
      <c r="SZL355" s="1055"/>
      <c r="SZM355" s="1054"/>
      <c r="SZN355" s="1055"/>
      <c r="SZO355" s="1054"/>
      <c r="SZP355" s="1055"/>
      <c r="SZQ355" s="1054"/>
      <c r="SZR355" s="1055"/>
      <c r="SZS355" s="1054"/>
      <c r="SZT355" s="1055"/>
      <c r="SZU355" s="1054"/>
      <c r="SZV355" s="1055"/>
      <c r="SZW355" s="1054"/>
      <c r="SZX355" s="1055"/>
      <c r="SZY355" s="1054"/>
      <c r="SZZ355" s="1055"/>
      <c r="TAA355" s="1054"/>
      <c r="TAB355" s="1055"/>
      <c r="TAC355" s="1054"/>
      <c r="TAD355" s="1055"/>
      <c r="TAE355" s="1054"/>
      <c r="TAF355" s="1055"/>
      <c r="TAG355" s="1054"/>
      <c r="TAH355" s="1055"/>
      <c r="TAI355" s="1054"/>
      <c r="TAJ355" s="1055"/>
      <c r="TAK355" s="1054"/>
      <c r="TAL355" s="1055"/>
      <c r="TAM355" s="1054"/>
      <c r="TAN355" s="1055"/>
      <c r="TAO355" s="1054"/>
      <c r="TAP355" s="1055"/>
      <c r="TAQ355" s="1054"/>
      <c r="TAR355" s="1055"/>
      <c r="TAS355" s="1054"/>
      <c r="TAT355" s="1055"/>
      <c r="TAU355" s="1054"/>
      <c r="TAV355" s="1055"/>
      <c r="TAW355" s="1054"/>
      <c r="TAX355" s="1055"/>
      <c r="TAY355" s="1054"/>
      <c r="TAZ355" s="1055"/>
      <c r="TBA355" s="1054"/>
      <c r="TBB355" s="1055"/>
      <c r="TBC355" s="1054"/>
      <c r="TBD355" s="1055"/>
      <c r="TBE355" s="1054"/>
      <c r="TBF355" s="1055"/>
      <c r="TBG355" s="1054"/>
      <c r="TBH355" s="1055"/>
      <c r="TBI355" s="1054"/>
      <c r="TBJ355" s="1055"/>
      <c r="TBK355" s="1054"/>
      <c r="TBL355" s="1055"/>
      <c r="TBM355" s="1054"/>
      <c r="TBN355" s="1055"/>
      <c r="TBO355" s="1054"/>
      <c r="TBP355" s="1055"/>
      <c r="TBQ355" s="1054"/>
      <c r="TBR355" s="1055"/>
      <c r="TBS355" s="1054"/>
      <c r="TBT355" s="1055"/>
      <c r="TBU355" s="1054"/>
      <c r="TBV355" s="1055"/>
      <c r="TBW355" s="1054"/>
      <c r="TBX355" s="1055"/>
      <c r="TBY355" s="1054"/>
      <c r="TBZ355" s="1055"/>
      <c r="TCA355" s="1054"/>
      <c r="TCB355" s="1055"/>
      <c r="TCC355" s="1054"/>
      <c r="TCD355" s="1055"/>
      <c r="TCE355" s="1054"/>
      <c r="TCF355" s="1055"/>
      <c r="TCG355" s="1054"/>
      <c r="TCH355" s="1055"/>
      <c r="TCI355" s="1054"/>
      <c r="TCJ355" s="1055"/>
      <c r="TCK355" s="1054"/>
      <c r="TCL355" s="1055"/>
      <c r="TCM355" s="1054"/>
      <c r="TCN355" s="1055"/>
      <c r="TCO355" s="1054"/>
      <c r="TCP355" s="1055"/>
      <c r="TCQ355" s="1054"/>
      <c r="TCR355" s="1055"/>
      <c r="TCS355" s="1054"/>
      <c r="TCT355" s="1055"/>
      <c r="TCU355" s="1054"/>
      <c r="TCV355" s="1055"/>
      <c r="TCW355" s="1054"/>
      <c r="TCX355" s="1055"/>
      <c r="TCY355" s="1054"/>
      <c r="TCZ355" s="1055"/>
      <c r="TDA355" s="1054"/>
      <c r="TDB355" s="1055"/>
      <c r="TDC355" s="1054"/>
      <c r="TDD355" s="1055"/>
      <c r="TDE355" s="1054"/>
      <c r="TDF355" s="1055"/>
      <c r="TDG355" s="1054"/>
      <c r="TDH355" s="1055"/>
      <c r="TDI355" s="1054"/>
      <c r="TDJ355" s="1055"/>
      <c r="TDK355" s="1054"/>
      <c r="TDL355" s="1055"/>
      <c r="TDM355" s="1054"/>
      <c r="TDN355" s="1055"/>
      <c r="TDO355" s="1054"/>
      <c r="TDP355" s="1055"/>
      <c r="TDQ355" s="1054"/>
      <c r="TDR355" s="1055"/>
      <c r="TDS355" s="1054"/>
      <c r="TDT355" s="1055"/>
      <c r="TDU355" s="1054"/>
      <c r="TDV355" s="1055"/>
      <c r="TDW355" s="1054"/>
      <c r="TDX355" s="1055"/>
      <c r="TDY355" s="1054"/>
      <c r="TDZ355" s="1055"/>
      <c r="TEA355" s="1054"/>
      <c r="TEB355" s="1055"/>
      <c r="TEC355" s="1054"/>
      <c r="TED355" s="1055"/>
      <c r="TEE355" s="1054"/>
      <c r="TEF355" s="1055"/>
      <c r="TEG355" s="1054"/>
      <c r="TEH355" s="1055"/>
      <c r="TEI355" s="1054"/>
      <c r="TEJ355" s="1055"/>
      <c r="TEK355" s="1054"/>
      <c r="TEL355" s="1055"/>
      <c r="TEM355" s="1054"/>
      <c r="TEN355" s="1055"/>
      <c r="TEO355" s="1054"/>
      <c r="TEP355" s="1055"/>
      <c r="TEQ355" s="1054"/>
      <c r="TER355" s="1055"/>
      <c r="TES355" s="1054"/>
      <c r="TET355" s="1055"/>
      <c r="TEU355" s="1054"/>
      <c r="TEV355" s="1055"/>
      <c r="TEW355" s="1054"/>
      <c r="TEX355" s="1055"/>
      <c r="TEY355" s="1054"/>
      <c r="TEZ355" s="1055"/>
      <c r="TFA355" s="1054"/>
      <c r="TFB355" s="1055"/>
      <c r="TFC355" s="1054"/>
      <c r="TFD355" s="1055"/>
      <c r="TFE355" s="1054"/>
      <c r="TFF355" s="1055"/>
      <c r="TFG355" s="1054"/>
      <c r="TFH355" s="1055"/>
      <c r="TFI355" s="1054"/>
      <c r="TFJ355" s="1055"/>
      <c r="TFK355" s="1054"/>
      <c r="TFL355" s="1055"/>
      <c r="TFM355" s="1054"/>
      <c r="TFN355" s="1055"/>
      <c r="TFO355" s="1054"/>
      <c r="TFP355" s="1055"/>
      <c r="TFQ355" s="1054"/>
      <c r="TFR355" s="1055"/>
      <c r="TFS355" s="1054"/>
      <c r="TFT355" s="1055"/>
      <c r="TFU355" s="1054"/>
      <c r="TFV355" s="1055"/>
      <c r="TFW355" s="1054"/>
      <c r="TFX355" s="1055"/>
      <c r="TFY355" s="1054"/>
      <c r="TFZ355" s="1055"/>
      <c r="TGA355" s="1054"/>
      <c r="TGB355" s="1055"/>
      <c r="TGC355" s="1054"/>
      <c r="TGD355" s="1055"/>
      <c r="TGE355" s="1054"/>
      <c r="TGF355" s="1055"/>
      <c r="TGG355" s="1054"/>
      <c r="TGH355" s="1055"/>
      <c r="TGI355" s="1054"/>
      <c r="TGJ355" s="1055"/>
      <c r="TGK355" s="1054"/>
      <c r="TGL355" s="1055"/>
      <c r="TGM355" s="1054"/>
      <c r="TGN355" s="1055"/>
      <c r="TGO355" s="1054"/>
      <c r="TGP355" s="1055"/>
      <c r="TGQ355" s="1054"/>
      <c r="TGR355" s="1055"/>
      <c r="TGS355" s="1054"/>
      <c r="TGT355" s="1055"/>
      <c r="TGU355" s="1054"/>
      <c r="TGV355" s="1055"/>
      <c r="TGW355" s="1054"/>
      <c r="TGX355" s="1055"/>
      <c r="TGY355" s="1054"/>
      <c r="TGZ355" s="1055"/>
      <c r="THA355" s="1054"/>
      <c r="THB355" s="1055"/>
      <c r="THC355" s="1054"/>
      <c r="THD355" s="1055"/>
      <c r="THE355" s="1054"/>
      <c r="THF355" s="1055"/>
      <c r="THG355" s="1054"/>
      <c r="THH355" s="1055"/>
      <c r="THI355" s="1054"/>
      <c r="THJ355" s="1055"/>
      <c r="THK355" s="1054"/>
      <c r="THL355" s="1055"/>
      <c r="THM355" s="1054"/>
      <c r="THN355" s="1055"/>
      <c r="THO355" s="1054"/>
      <c r="THP355" s="1055"/>
      <c r="THQ355" s="1054"/>
      <c r="THR355" s="1055"/>
      <c r="THS355" s="1054"/>
      <c r="THT355" s="1055"/>
      <c r="THU355" s="1054"/>
      <c r="THV355" s="1055"/>
      <c r="THW355" s="1054"/>
      <c r="THX355" s="1055"/>
      <c r="THY355" s="1054"/>
      <c r="THZ355" s="1055"/>
      <c r="TIA355" s="1054"/>
      <c r="TIB355" s="1055"/>
      <c r="TIC355" s="1054"/>
      <c r="TID355" s="1055"/>
      <c r="TIE355" s="1054"/>
      <c r="TIF355" s="1055"/>
      <c r="TIG355" s="1054"/>
      <c r="TIH355" s="1055"/>
      <c r="TII355" s="1054"/>
      <c r="TIJ355" s="1055"/>
      <c r="TIK355" s="1054"/>
      <c r="TIL355" s="1055"/>
      <c r="TIM355" s="1054"/>
      <c r="TIN355" s="1055"/>
      <c r="TIO355" s="1054"/>
      <c r="TIP355" s="1055"/>
      <c r="TIQ355" s="1054"/>
      <c r="TIR355" s="1055"/>
      <c r="TIS355" s="1054"/>
      <c r="TIT355" s="1055"/>
      <c r="TIU355" s="1054"/>
      <c r="TIV355" s="1055"/>
      <c r="TIW355" s="1054"/>
      <c r="TIX355" s="1055"/>
      <c r="TIY355" s="1054"/>
      <c r="TIZ355" s="1055"/>
      <c r="TJA355" s="1054"/>
      <c r="TJB355" s="1055"/>
      <c r="TJC355" s="1054"/>
      <c r="TJD355" s="1055"/>
      <c r="TJE355" s="1054"/>
      <c r="TJF355" s="1055"/>
      <c r="TJG355" s="1054"/>
      <c r="TJH355" s="1055"/>
      <c r="TJI355" s="1054"/>
      <c r="TJJ355" s="1055"/>
      <c r="TJK355" s="1054"/>
      <c r="TJL355" s="1055"/>
      <c r="TJM355" s="1054"/>
      <c r="TJN355" s="1055"/>
      <c r="TJO355" s="1054"/>
      <c r="TJP355" s="1055"/>
      <c r="TJQ355" s="1054"/>
      <c r="TJR355" s="1055"/>
      <c r="TJS355" s="1054"/>
      <c r="TJT355" s="1055"/>
      <c r="TJU355" s="1054"/>
      <c r="TJV355" s="1055"/>
      <c r="TJW355" s="1054"/>
      <c r="TJX355" s="1055"/>
      <c r="TJY355" s="1054"/>
      <c r="TJZ355" s="1055"/>
      <c r="TKA355" s="1054"/>
      <c r="TKB355" s="1055"/>
      <c r="TKC355" s="1054"/>
      <c r="TKD355" s="1055"/>
      <c r="TKE355" s="1054"/>
      <c r="TKF355" s="1055"/>
      <c r="TKG355" s="1054"/>
      <c r="TKH355" s="1055"/>
      <c r="TKI355" s="1054"/>
      <c r="TKJ355" s="1055"/>
      <c r="TKK355" s="1054"/>
      <c r="TKL355" s="1055"/>
      <c r="TKM355" s="1054"/>
      <c r="TKN355" s="1055"/>
      <c r="TKO355" s="1054"/>
      <c r="TKP355" s="1055"/>
      <c r="TKQ355" s="1054"/>
      <c r="TKR355" s="1055"/>
      <c r="TKS355" s="1054"/>
      <c r="TKT355" s="1055"/>
      <c r="TKU355" s="1054"/>
      <c r="TKV355" s="1055"/>
      <c r="TKW355" s="1054"/>
      <c r="TKX355" s="1055"/>
      <c r="TKY355" s="1054"/>
      <c r="TKZ355" s="1055"/>
      <c r="TLA355" s="1054"/>
      <c r="TLB355" s="1055"/>
      <c r="TLC355" s="1054"/>
      <c r="TLD355" s="1055"/>
      <c r="TLE355" s="1054"/>
      <c r="TLF355" s="1055"/>
      <c r="TLG355" s="1054"/>
      <c r="TLH355" s="1055"/>
      <c r="TLI355" s="1054"/>
      <c r="TLJ355" s="1055"/>
      <c r="TLK355" s="1054"/>
      <c r="TLL355" s="1055"/>
      <c r="TLM355" s="1054"/>
      <c r="TLN355" s="1055"/>
      <c r="TLO355" s="1054"/>
      <c r="TLP355" s="1055"/>
      <c r="TLQ355" s="1054"/>
      <c r="TLR355" s="1055"/>
      <c r="TLS355" s="1054"/>
      <c r="TLT355" s="1055"/>
      <c r="TLU355" s="1054"/>
      <c r="TLV355" s="1055"/>
      <c r="TLW355" s="1054"/>
      <c r="TLX355" s="1055"/>
      <c r="TLY355" s="1054"/>
      <c r="TLZ355" s="1055"/>
      <c r="TMA355" s="1054"/>
      <c r="TMB355" s="1055"/>
      <c r="TMC355" s="1054"/>
      <c r="TMD355" s="1055"/>
      <c r="TME355" s="1054"/>
      <c r="TMF355" s="1055"/>
      <c r="TMG355" s="1054"/>
      <c r="TMH355" s="1055"/>
      <c r="TMI355" s="1054"/>
      <c r="TMJ355" s="1055"/>
      <c r="TMK355" s="1054"/>
      <c r="TML355" s="1055"/>
      <c r="TMM355" s="1054"/>
      <c r="TMN355" s="1055"/>
      <c r="TMO355" s="1054"/>
      <c r="TMP355" s="1055"/>
      <c r="TMQ355" s="1054"/>
      <c r="TMR355" s="1055"/>
      <c r="TMS355" s="1054"/>
      <c r="TMT355" s="1055"/>
      <c r="TMU355" s="1054"/>
      <c r="TMV355" s="1055"/>
      <c r="TMW355" s="1054"/>
      <c r="TMX355" s="1055"/>
      <c r="TMY355" s="1054"/>
      <c r="TMZ355" s="1055"/>
      <c r="TNA355" s="1054"/>
      <c r="TNB355" s="1055"/>
      <c r="TNC355" s="1054"/>
      <c r="TND355" s="1055"/>
      <c r="TNE355" s="1054"/>
      <c r="TNF355" s="1055"/>
      <c r="TNG355" s="1054"/>
      <c r="TNH355" s="1055"/>
      <c r="TNI355" s="1054"/>
      <c r="TNJ355" s="1055"/>
      <c r="TNK355" s="1054"/>
      <c r="TNL355" s="1055"/>
      <c r="TNM355" s="1054"/>
      <c r="TNN355" s="1055"/>
      <c r="TNO355" s="1054"/>
      <c r="TNP355" s="1055"/>
      <c r="TNQ355" s="1054"/>
      <c r="TNR355" s="1055"/>
      <c r="TNS355" s="1054"/>
      <c r="TNT355" s="1055"/>
      <c r="TNU355" s="1054"/>
      <c r="TNV355" s="1055"/>
      <c r="TNW355" s="1054"/>
      <c r="TNX355" s="1055"/>
      <c r="TNY355" s="1054"/>
      <c r="TNZ355" s="1055"/>
      <c r="TOA355" s="1054"/>
      <c r="TOB355" s="1055"/>
      <c r="TOC355" s="1054"/>
      <c r="TOD355" s="1055"/>
      <c r="TOE355" s="1054"/>
      <c r="TOF355" s="1055"/>
      <c r="TOG355" s="1054"/>
      <c r="TOH355" s="1055"/>
      <c r="TOI355" s="1054"/>
      <c r="TOJ355" s="1055"/>
      <c r="TOK355" s="1054"/>
      <c r="TOL355" s="1055"/>
      <c r="TOM355" s="1054"/>
      <c r="TON355" s="1055"/>
      <c r="TOO355" s="1054"/>
      <c r="TOP355" s="1055"/>
      <c r="TOQ355" s="1054"/>
      <c r="TOR355" s="1055"/>
      <c r="TOS355" s="1054"/>
      <c r="TOT355" s="1055"/>
      <c r="TOU355" s="1054"/>
      <c r="TOV355" s="1055"/>
      <c r="TOW355" s="1054"/>
      <c r="TOX355" s="1055"/>
      <c r="TOY355" s="1054"/>
      <c r="TOZ355" s="1055"/>
      <c r="TPA355" s="1054"/>
      <c r="TPB355" s="1055"/>
      <c r="TPC355" s="1054"/>
      <c r="TPD355" s="1055"/>
      <c r="TPE355" s="1054"/>
      <c r="TPF355" s="1055"/>
      <c r="TPG355" s="1054"/>
      <c r="TPH355" s="1055"/>
      <c r="TPI355" s="1054"/>
      <c r="TPJ355" s="1055"/>
      <c r="TPK355" s="1054"/>
      <c r="TPL355" s="1055"/>
      <c r="TPM355" s="1054"/>
      <c r="TPN355" s="1055"/>
      <c r="TPO355" s="1054"/>
      <c r="TPP355" s="1055"/>
      <c r="TPQ355" s="1054"/>
      <c r="TPR355" s="1055"/>
      <c r="TPS355" s="1054"/>
      <c r="TPT355" s="1055"/>
      <c r="TPU355" s="1054"/>
      <c r="TPV355" s="1055"/>
      <c r="TPW355" s="1054"/>
      <c r="TPX355" s="1055"/>
      <c r="TPY355" s="1054"/>
      <c r="TPZ355" s="1055"/>
      <c r="TQA355" s="1054"/>
      <c r="TQB355" s="1055"/>
      <c r="TQC355" s="1054"/>
      <c r="TQD355" s="1055"/>
      <c r="TQE355" s="1054"/>
      <c r="TQF355" s="1055"/>
      <c r="TQG355" s="1054"/>
      <c r="TQH355" s="1055"/>
      <c r="TQI355" s="1054"/>
      <c r="TQJ355" s="1055"/>
      <c r="TQK355" s="1054"/>
      <c r="TQL355" s="1055"/>
      <c r="TQM355" s="1054"/>
      <c r="TQN355" s="1055"/>
      <c r="TQO355" s="1054"/>
      <c r="TQP355" s="1055"/>
      <c r="TQQ355" s="1054"/>
      <c r="TQR355" s="1055"/>
      <c r="TQS355" s="1054"/>
      <c r="TQT355" s="1055"/>
      <c r="TQU355" s="1054"/>
      <c r="TQV355" s="1055"/>
      <c r="TQW355" s="1054"/>
      <c r="TQX355" s="1055"/>
      <c r="TQY355" s="1054"/>
      <c r="TQZ355" s="1055"/>
      <c r="TRA355" s="1054"/>
      <c r="TRB355" s="1055"/>
      <c r="TRC355" s="1054"/>
      <c r="TRD355" s="1055"/>
      <c r="TRE355" s="1054"/>
      <c r="TRF355" s="1055"/>
      <c r="TRG355" s="1054"/>
      <c r="TRH355" s="1055"/>
      <c r="TRI355" s="1054"/>
      <c r="TRJ355" s="1055"/>
      <c r="TRK355" s="1054"/>
      <c r="TRL355" s="1055"/>
      <c r="TRM355" s="1054"/>
      <c r="TRN355" s="1055"/>
      <c r="TRO355" s="1054"/>
      <c r="TRP355" s="1055"/>
      <c r="TRQ355" s="1054"/>
      <c r="TRR355" s="1055"/>
      <c r="TRS355" s="1054"/>
      <c r="TRT355" s="1055"/>
      <c r="TRU355" s="1054"/>
      <c r="TRV355" s="1055"/>
      <c r="TRW355" s="1054"/>
      <c r="TRX355" s="1055"/>
      <c r="TRY355" s="1054"/>
      <c r="TRZ355" s="1055"/>
      <c r="TSA355" s="1054"/>
      <c r="TSB355" s="1055"/>
      <c r="TSC355" s="1054"/>
      <c r="TSD355" s="1055"/>
      <c r="TSE355" s="1054"/>
      <c r="TSF355" s="1055"/>
      <c r="TSG355" s="1054"/>
      <c r="TSH355" s="1055"/>
      <c r="TSI355" s="1054"/>
      <c r="TSJ355" s="1055"/>
      <c r="TSK355" s="1054"/>
      <c r="TSL355" s="1055"/>
      <c r="TSM355" s="1054"/>
      <c r="TSN355" s="1055"/>
      <c r="TSO355" s="1054"/>
      <c r="TSP355" s="1055"/>
      <c r="TSQ355" s="1054"/>
      <c r="TSR355" s="1055"/>
      <c r="TSS355" s="1054"/>
      <c r="TST355" s="1055"/>
      <c r="TSU355" s="1054"/>
      <c r="TSV355" s="1055"/>
      <c r="TSW355" s="1054"/>
      <c r="TSX355" s="1055"/>
      <c r="TSY355" s="1054"/>
      <c r="TSZ355" s="1055"/>
      <c r="TTA355" s="1054"/>
      <c r="TTB355" s="1055"/>
      <c r="TTC355" s="1054"/>
      <c r="TTD355" s="1055"/>
      <c r="TTE355" s="1054"/>
      <c r="TTF355" s="1055"/>
      <c r="TTG355" s="1054"/>
      <c r="TTH355" s="1055"/>
      <c r="TTI355" s="1054"/>
      <c r="TTJ355" s="1055"/>
      <c r="TTK355" s="1054"/>
      <c r="TTL355" s="1055"/>
      <c r="TTM355" s="1054"/>
      <c r="TTN355" s="1055"/>
      <c r="TTO355" s="1054"/>
      <c r="TTP355" s="1055"/>
      <c r="TTQ355" s="1054"/>
      <c r="TTR355" s="1055"/>
      <c r="TTS355" s="1054"/>
      <c r="TTT355" s="1055"/>
      <c r="TTU355" s="1054"/>
      <c r="TTV355" s="1055"/>
      <c r="TTW355" s="1054"/>
      <c r="TTX355" s="1055"/>
      <c r="TTY355" s="1054"/>
      <c r="TTZ355" s="1055"/>
      <c r="TUA355" s="1054"/>
      <c r="TUB355" s="1055"/>
      <c r="TUC355" s="1054"/>
      <c r="TUD355" s="1055"/>
      <c r="TUE355" s="1054"/>
      <c r="TUF355" s="1055"/>
      <c r="TUG355" s="1054"/>
      <c r="TUH355" s="1055"/>
      <c r="TUI355" s="1054"/>
      <c r="TUJ355" s="1055"/>
      <c r="TUK355" s="1054"/>
      <c r="TUL355" s="1055"/>
      <c r="TUM355" s="1054"/>
      <c r="TUN355" s="1055"/>
      <c r="TUO355" s="1054"/>
      <c r="TUP355" s="1055"/>
      <c r="TUQ355" s="1054"/>
      <c r="TUR355" s="1055"/>
      <c r="TUS355" s="1054"/>
      <c r="TUT355" s="1055"/>
      <c r="TUU355" s="1054"/>
      <c r="TUV355" s="1055"/>
      <c r="TUW355" s="1054"/>
      <c r="TUX355" s="1055"/>
      <c r="TUY355" s="1054"/>
      <c r="TUZ355" s="1055"/>
      <c r="TVA355" s="1054"/>
      <c r="TVB355" s="1055"/>
      <c r="TVC355" s="1054"/>
      <c r="TVD355" s="1055"/>
      <c r="TVE355" s="1054"/>
      <c r="TVF355" s="1055"/>
      <c r="TVG355" s="1054"/>
      <c r="TVH355" s="1055"/>
      <c r="TVI355" s="1054"/>
      <c r="TVJ355" s="1055"/>
      <c r="TVK355" s="1054"/>
      <c r="TVL355" s="1055"/>
      <c r="TVM355" s="1054"/>
      <c r="TVN355" s="1055"/>
      <c r="TVO355" s="1054"/>
      <c r="TVP355" s="1055"/>
      <c r="TVQ355" s="1054"/>
      <c r="TVR355" s="1055"/>
      <c r="TVS355" s="1054"/>
      <c r="TVT355" s="1055"/>
      <c r="TVU355" s="1054"/>
      <c r="TVV355" s="1055"/>
      <c r="TVW355" s="1054"/>
      <c r="TVX355" s="1055"/>
      <c r="TVY355" s="1054"/>
      <c r="TVZ355" s="1055"/>
      <c r="TWA355" s="1054"/>
      <c r="TWB355" s="1055"/>
      <c r="TWC355" s="1054"/>
      <c r="TWD355" s="1055"/>
      <c r="TWE355" s="1054"/>
      <c r="TWF355" s="1055"/>
      <c r="TWG355" s="1054"/>
      <c r="TWH355" s="1055"/>
      <c r="TWI355" s="1054"/>
      <c r="TWJ355" s="1055"/>
      <c r="TWK355" s="1054"/>
      <c r="TWL355" s="1055"/>
      <c r="TWM355" s="1054"/>
      <c r="TWN355" s="1055"/>
      <c r="TWO355" s="1054"/>
      <c r="TWP355" s="1055"/>
      <c r="TWQ355" s="1054"/>
      <c r="TWR355" s="1055"/>
      <c r="TWS355" s="1054"/>
      <c r="TWT355" s="1055"/>
      <c r="TWU355" s="1054"/>
      <c r="TWV355" s="1055"/>
      <c r="TWW355" s="1054"/>
      <c r="TWX355" s="1055"/>
      <c r="TWY355" s="1054"/>
      <c r="TWZ355" s="1055"/>
      <c r="TXA355" s="1054"/>
      <c r="TXB355" s="1055"/>
      <c r="TXC355" s="1054"/>
      <c r="TXD355" s="1055"/>
      <c r="TXE355" s="1054"/>
      <c r="TXF355" s="1055"/>
      <c r="TXG355" s="1054"/>
      <c r="TXH355" s="1055"/>
      <c r="TXI355" s="1054"/>
      <c r="TXJ355" s="1055"/>
      <c r="TXK355" s="1054"/>
      <c r="TXL355" s="1055"/>
      <c r="TXM355" s="1054"/>
      <c r="TXN355" s="1055"/>
      <c r="TXO355" s="1054"/>
      <c r="TXP355" s="1055"/>
      <c r="TXQ355" s="1054"/>
      <c r="TXR355" s="1055"/>
      <c r="TXS355" s="1054"/>
      <c r="TXT355" s="1055"/>
      <c r="TXU355" s="1054"/>
      <c r="TXV355" s="1055"/>
      <c r="TXW355" s="1054"/>
      <c r="TXX355" s="1055"/>
      <c r="TXY355" s="1054"/>
      <c r="TXZ355" s="1055"/>
      <c r="TYA355" s="1054"/>
      <c r="TYB355" s="1055"/>
      <c r="TYC355" s="1054"/>
      <c r="TYD355" s="1055"/>
      <c r="TYE355" s="1054"/>
      <c r="TYF355" s="1055"/>
      <c r="TYG355" s="1054"/>
      <c r="TYH355" s="1055"/>
      <c r="TYI355" s="1054"/>
      <c r="TYJ355" s="1055"/>
      <c r="TYK355" s="1054"/>
      <c r="TYL355" s="1055"/>
      <c r="TYM355" s="1054"/>
      <c r="TYN355" s="1055"/>
      <c r="TYO355" s="1054"/>
      <c r="TYP355" s="1055"/>
      <c r="TYQ355" s="1054"/>
      <c r="TYR355" s="1055"/>
      <c r="TYS355" s="1054"/>
      <c r="TYT355" s="1055"/>
      <c r="TYU355" s="1054"/>
      <c r="TYV355" s="1055"/>
      <c r="TYW355" s="1054"/>
      <c r="TYX355" s="1055"/>
      <c r="TYY355" s="1054"/>
      <c r="TYZ355" s="1055"/>
      <c r="TZA355" s="1054"/>
      <c r="TZB355" s="1055"/>
      <c r="TZC355" s="1054"/>
      <c r="TZD355" s="1055"/>
      <c r="TZE355" s="1054"/>
      <c r="TZF355" s="1055"/>
      <c r="TZG355" s="1054"/>
      <c r="TZH355" s="1055"/>
      <c r="TZI355" s="1054"/>
      <c r="TZJ355" s="1055"/>
      <c r="TZK355" s="1054"/>
      <c r="TZL355" s="1055"/>
      <c r="TZM355" s="1054"/>
      <c r="TZN355" s="1055"/>
      <c r="TZO355" s="1054"/>
      <c r="TZP355" s="1055"/>
      <c r="TZQ355" s="1054"/>
      <c r="TZR355" s="1055"/>
      <c r="TZS355" s="1054"/>
      <c r="TZT355" s="1055"/>
      <c r="TZU355" s="1054"/>
      <c r="TZV355" s="1055"/>
      <c r="TZW355" s="1054"/>
      <c r="TZX355" s="1055"/>
      <c r="TZY355" s="1054"/>
      <c r="TZZ355" s="1055"/>
      <c r="UAA355" s="1054"/>
      <c r="UAB355" s="1055"/>
      <c r="UAC355" s="1054"/>
      <c r="UAD355" s="1055"/>
      <c r="UAE355" s="1054"/>
      <c r="UAF355" s="1055"/>
      <c r="UAG355" s="1054"/>
      <c r="UAH355" s="1055"/>
      <c r="UAI355" s="1054"/>
      <c r="UAJ355" s="1055"/>
      <c r="UAK355" s="1054"/>
      <c r="UAL355" s="1055"/>
      <c r="UAM355" s="1054"/>
      <c r="UAN355" s="1055"/>
      <c r="UAO355" s="1054"/>
      <c r="UAP355" s="1055"/>
      <c r="UAQ355" s="1054"/>
      <c r="UAR355" s="1055"/>
      <c r="UAS355" s="1054"/>
      <c r="UAT355" s="1055"/>
      <c r="UAU355" s="1054"/>
      <c r="UAV355" s="1055"/>
      <c r="UAW355" s="1054"/>
      <c r="UAX355" s="1055"/>
      <c r="UAY355" s="1054"/>
      <c r="UAZ355" s="1055"/>
      <c r="UBA355" s="1054"/>
      <c r="UBB355" s="1055"/>
      <c r="UBC355" s="1054"/>
      <c r="UBD355" s="1055"/>
      <c r="UBE355" s="1054"/>
      <c r="UBF355" s="1055"/>
      <c r="UBG355" s="1054"/>
      <c r="UBH355" s="1055"/>
      <c r="UBI355" s="1054"/>
      <c r="UBJ355" s="1055"/>
      <c r="UBK355" s="1054"/>
      <c r="UBL355" s="1055"/>
      <c r="UBM355" s="1054"/>
      <c r="UBN355" s="1055"/>
      <c r="UBO355" s="1054"/>
      <c r="UBP355" s="1055"/>
      <c r="UBQ355" s="1054"/>
      <c r="UBR355" s="1055"/>
      <c r="UBS355" s="1054"/>
      <c r="UBT355" s="1055"/>
      <c r="UBU355" s="1054"/>
      <c r="UBV355" s="1055"/>
      <c r="UBW355" s="1054"/>
      <c r="UBX355" s="1055"/>
      <c r="UBY355" s="1054"/>
      <c r="UBZ355" s="1055"/>
      <c r="UCA355" s="1054"/>
      <c r="UCB355" s="1055"/>
      <c r="UCC355" s="1054"/>
      <c r="UCD355" s="1055"/>
      <c r="UCE355" s="1054"/>
      <c r="UCF355" s="1055"/>
      <c r="UCG355" s="1054"/>
      <c r="UCH355" s="1055"/>
      <c r="UCI355" s="1054"/>
      <c r="UCJ355" s="1055"/>
      <c r="UCK355" s="1054"/>
      <c r="UCL355" s="1055"/>
      <c r="UCM355" s="1054"/>
      <c r="UCN355" s="1055"/>
      <c r="UCO355" s="1054"/>
      <c r="UCP355" s="1055"/>
      <c r="UCQ355" s="1054"/>
      <c r="UCR355" s="1055"/>
      <c r="UCS355" s="1054"/>
      <c r="UCT355" s="1055"/>
      <c r="UCU355" s="1054"/>
      <c r="UCV355" s="1055"/>
      <c r="UCW355" s="1054"/>
      <c r="UCX355" s="1055"/>
      <c r="UCY355" s="1054"/>
      <c r="UCZ355" s="1055"/>
      <c r="UDA355" s="1054"/>
      <c r="UDB355" s="1055"/>
      <c r="UDC355" s="1054"/>
      <c r="UDD355" s="1055"/>
      <c r="UDE355" s="1054"/>
      <c r="UDF355" s="1055"/>
      <c r="UDG355" s="1054"/>
      <c r="UDH355" s="1055"/>
      <c r="UDI355" s="1054"/>
      <c r="UDJ355" s="1055"/>
      <c r="UDK355" s="1054"/>
      <c r="UDL355" s="1055"/>
      <c r="UDM355" s="1054"/>
      <c r="UDN355" s="1055"/>
      <c r="UDO355" s="1054"/>
      <c r="UDP355" s="1055"/>
      <c r="UDQ355" s="1054"/>
      <c r="UDR355" s="1055"/>
      <c r="UDS355" s="1054"/>
      <c r="UDT355" s="1055"/>
      <c r="UDU355" s="1054"/>
      <c r="UDV355" s="1055"/>
      <c r="UDW355" s="1054"/>
      <c r="UDX355" s="1055"/>
      <c r="UDY355" s="1054"/>
      <c r="UDZ355" s="1055"/>
      <c r="UEA355" s="1054"/>
      <c r="UEB355" s="1055"/>
      <c r="UEC355" s="1054"/>
      <c r="UED355" s="1055"/>
      <c r="UEE355" s="1054"/>
      <c r="UEF355" s="1055"/>
      <c r="UEG355" s="1054"/>
      <c r="UEH355" s="1055"/>
      <c r="UEI355" s="1054"/>
      <c r="UEJ355" s="1055"/>
      <c r="UEK355" s="1054"/>
      <c r="UEL355" s="1055"/>
      <c r="UEM355" s="1054"/>
      <c r="UEN355" s="1055"/>
      <c r="UEO355" s="1054"/>
      <c r="UEP355" s="1055"/>
      <c r="UEQ355" s="1054"/>
      <c r="UER355" s="1055"/>
      <c r="UES355" s="1054"/>
      <c r="UET355" s="1055"/>
      <c r="UEU355" s="1054"/>
      <c r="UEV355" s="1055"/>
      <c r="UEW355" s="1054"/>
      <c r="UEX355" s="1055"/>
      <c r="UEY355" s="1054"/>
      <c r="UEZ355" s="1055"/>
      <c r="UFA355" s="1054"/>
      <c r="UFB355" s="1055"/>
      <c r="UFC355" s="1054"/>
      <c r="UFD355" s="1055"/>
      <c r="UFE355" s="1054"/>
      <c r="UFF355" s="1055"/>
      <c r="UFG355" s="1054"/>
      <c r="UFH355" s="1055"/>
      <c r="UFI355" s="1054"/>
      <c r="UFJ355" s="1055"/>
      <c r="UFK355" s="1054"/>
      <c r="UFL355" s="1055"/>
      <c r="UFM355" s="1054"/>
      <c r="UFN355" s="1055"/>
      <c r="UFO355" s="1054"/>
      <c r="UFP355" s="1055"/>
      <c r="UFQ355" s="1054"/>
      <c r="UFR355" s="1055"/>
      <c r="UFS355" s="1054"/>
      <c r="UFT355" s="1055"/>
      <c r="UFU355" s="1054"/>
      <c r="UFV355" s="1055"/>
      <c r="UFW355" s="1054"/>
      <c r="UFX355" s="1055"/>
      <c r="UFY355" s="1054"/>
      <c r="UFZ355" s="1055"/>
      <c r="UGA355" s="1054"/>
      <c r="UGB355" s="1055"/>
      <c r="UGC355" s="1054"/>
      <c r="UGD355" s="1055"/>
      <c r="UGE355" s="1054"/>
      <c r="UGF355" s="1055"/>
      <c r="UGG355" s="1054"/>
      <c r="UGH355" s="1055"/>
      <c r="UGI355" s="1054"/>
      <c r="UGJ355" s="1055"/>
      <c r="UGK355" s="1054"/>
      <c r="UGL355" s="1055"/>
      <c r="UGM355" s="1054"/>
      <c r="UGN355" s="1055"/>
      <c r="UGO355" s="1054"/>
      <c r="UGP355" s="1055"/>
      <c r="UGQ355" s="1054"/>
      <c r="UGR355" s="1055"/>
      <c r="UGS355" s="1054"/>
      <c r="UGT355" s="1055"/>
      <c r="UGU355" s="1054"/>
      <c r="UGV355" s="1055"/>
      <c r="UGW355" s="1054"/>
      <c r="UGX355" s="1055"/>
      <c r="UGY355" s="1054"/>
      <c r="UGZ355" s="1055"/>
      <c r="UHA355" s="1054"/>
      <c r="UHB355" s="1055"/>
      <c r="UHC355" s="1054"/>
      <c r="UHD355" s="1055"/>
      <c r="UHE355" s="1054"/>
      <c r="UHF355" s="1055"/>
      <c r="UHG355" s="1054"/>
      <c r="UHH355" s="1055"/>
      <c r="UHI355" s="1054"/>
      <c r="UHJ355" s="1055"/>
      <c r="UHK355" s="1054"/>
      <c r="UHL355" s="1055"/>
      <c r="UHM355" s="1054"/>
      <c r="UHN355" s="1055"/>
      <c r="UHO355" s="1054"/>
      <c r="UHP355" s="1055"/>
      <c r="UHQ355" s="1054"/>
      <c r="UHR355" s="1055"/>
      <c r="UHS355" s="1054"/>
      <c r="UHT355" s="1055"/>
      <c r="UHU355" s="1054"/>
      <c r="UHV355" s="1055"/>
      <c r="UHW355" s="1054"/>
      <c r="UHX355" s="1055"/>
      <c r="UHY355" s="1054"/>
      <c r="UHZ355" s="1055"/>
      <c r="UIA355" s="1054"/>
      <c r="UIB355" s="1055"/>
      <c r="UIC355" s="1054"/>
      <c r="UID355" s="1055"/>
      <c r="UIE355" s="1054"/>
      <c r="UIF355" s="1055"/>
      <c r="UIG355" s="1054"/>
      <c r="UIH355" s="1055"/>
      <c r="UII355" s="1054"/>
      <c r="UIJ355" s="1055"/>
      <c r="UIK355" s="1054"/>
      <c r="UIL355" s="1055"/>
      <c r="UIM355" s="1054"/>
      <c r="UIN355" s="1055"/>
      <c r="UIO355" s="1054"/>
      <c r="UIP355" s="1055"/>
      <c r="UIQ355" s="1054"/>
      <c r="UIR355" s="1055"/>
      <c r="UIS355" s="1054"/>
      <c r="UIT355" s="1055"/>
      <c r="UIU355" s="1054"/>
      <c r="UIV355" s="1055"/>
      <c r="UIW355" s="1054"/>
      <c r="UIX355" s="1055"/>
      <c r="UIY355" s="1054"/>
      <c r="UIZ355" s="1055"/>
      <c r="UJA355" s="1054"/>
      <c r="UJB355" s="1055"/>
      <c r="UJC355" s="1054"/>
      <c r="UJD355" s="1055"/>
      <c r="UJE355" s="1054"/>
      <c r="UJF355" s="1055"/>
      <c r="UJG355" s="1054"/>
      <c r="UJH355" s="1055"/>
      <c r="UJI355" s="1054"/>
      <c r="UJJ355" s="1055"/>
      <c r="UJK355" s="1054"/>
      <c r="UJL355" s="1055"/>
      <c r="UJM355" s="1054"/>
      <c r="UJN355" s="1055"/>
      <c r="UJO355" s="1054"/>
      <c r="UJP355" s="1055"/>
      <c r="UJQ355" s="1054"/>
      <c r="UJR355" s="1055"/>
      <c r="UJS355" s="1054"/>
      <c r="UJT355" s="1055"/>
      <c r="UJU355" s="1054"/>
      <c r="UJV355" s="1055"/>
      <c r="UJW355" s="1054"/>
      <c r="UJX355" s="1055"/>
      <c r="UJY355" s="1054"/>
      <c r="UJZ355" s="1055"/>
      <c r="UKA355" s="1054"/>
      <c r="UKB355" s="1055"/>
      <c r="UKC355" s="1054"/>
      <c r="UKD355" s="1055"/>
      <c r="UKE355" s="1054"/>
      <c r="UKF355" s="1055"/>
      <c r="UKG355" s="1054"/>
      <c r="UKH355" s="1055"/>
      <c r="UKI355" s="1054"/>
      <c r="UKJ355" s="1055"/>
      <c r="UKK355" s="1054"/>
      <c r="UKL355" s="1055"/>
      <c r="UKM355" s="1054"/>
      <c r="UKN355" s="1055"/>
      <c r="UKO355" s="1054"/>
      <c r="UKP355" s="1055"/>
      <c r="UKQ355" s="1054"/>
      <c r="UKR355" s="1055"/>
      <c r="UKS355" s="1054"/>
      <c r="UKT355" s="1055"/>
      <c r="UKU355" s="1054"/>
      <c r="UKV355" s="1055"/>
      <c r="UKW355" s="1054"/>
      <c r="UKX355" s="1055"/>
      <c r="UKY355" s="1054"/>
      <c r="UKZ355" s="1055"/>
      <c r="ULA355" s="1054"/>
      <c r="ULB355" s="1055"/>
      <c r="ULC355" s="1054"/>
      <c r="ULD355" s="1055"/>
      <c r="ULE355" s="1054"/>
      <c r="ULF355" s="1055"/>
      <c r="ULG355" s="1054"/>
      <c r="ULH355" s="1055"/>
      <c r="ULI355" s="1054"/>
      <c r="ULJ355" s="1055"/>
      <c r="ULK355" s="1054"/>
      <c r="ULL355" s="1055"/>
      <c r="ULM355" s="1054"/>
      <c r="ULN355" s="1055"/>
      <c r="ULO355" s="1054"/>
      <c r="ULP355" s="1055"/>
      <c r="ULQ355" s="1054"/>
      <c r="ULR355" s="1055"/>
      <c r="ULS355" s="1054"/>
      <c r="ULT355" s="1055"/>
      <c r="ULU355" s="1054"/>
      <c r="ULV355" s="1055"/>
      <c r="ULW355" s="1054"/>
      <c r="ULX355" s="1055"/>
      <c r="ULY355" s="1054"/>
      <c r="ULZ355" s="1055"/>
      <c r="UMA355" s="1054"/>
      <c r="UMB355" s="1055"/>
      <c r="UMC355" s="1054"/>
      <c r="UMD355" s="1055"/>
      <c r="UME355" s="1054"/>
      <c r="UMF355" s="1055"/>
      <c r="UMG355" s="1054"/>
      <c r="UMH355" s="1055"/>
      <c r="UMI355" s="1054"/>
      <c r="UMJ355" s="1055"/>
      <c r="UMK355" s="1054"/>
      <c r="UML355" s="1055"/>
      <c r="UMM355" s="1054"/>
      <c r="UMN355" s="1055"/>
      <c r="UMO355" s="1054"/>
      <c r="UMP355" s="1055"/>
      <c r="UMQ355" s="1054"/>
      <c r="UMR355" s="1055"/>
      <c r="UMS355" s="1054"/>
      <c r="UMT355" s="1055"/>
      <c r="UMU355" s="1054"/>
      <c r="UMV355" s="1055"/>
      <c r="UMW355" s="1054"/>
      <c r="UMX355" s="1055"/>
      <c r="UMY355" s="1054"/>
      <c r="UMZ355" s="1055"/>
      <c r="UNA355" s="1054"/>
      <c r="UNB355" s="1055"/>
      <c r="UNC355" s="1054"/>
      <c r="UND355" s="1055"/>
      <c r="UNE355" s="1054"/>
      <c r="UNF355" s="1055"/>
      <c r="UNG355" s="1054"/>
      <c r="UNH355" s="1055"/>
      <c r="UNI355" s="1054"/>
      <c r="UNJ355" s="1055"/>
      <c r="UNK355" s="1054"/>
      <c r="UNL355" s="1055"/>
      <c r="UNM355" s="1054"/>
      <c r="UNN355" s="1055"/>
      <c r="UNO355" s="1054"/>
      <c r="UNP355" s="1055"/>
      <c r="UNQ355" s="1054"/>
      <c r="UNR355" s="1055"/>
      <c r="UNS355" s="1054"/>
      <c r="UNT355" s="1055"/>
      <c r="UNU355" s="1054"/>
      <c r="UNV355" s="1055"/>
      <c r="UNW355" s="1054"/>
      <c r="UNX355" s="1055"/>
      <c r="UNY355" s="1054"/>
      <c r="UNZ355" s="1055"/>
      <c r="UOA355" s="1054"/>
      <c r="UOB355" s="1055"/>
      <c r="UOC355" s="1054"/>
      <c r="UOD355" s="1055"/>
      <c r="UOE355" s="1054"/>
      <c r="UOF355" s="1055"/>
      <c r="UOG355" s="1054"/>
      <c r="UOH355" s="1055"/>
      <c r="UOI355" s="1054"/>
      <c r="UOJ355" s="1055"/>
      <c r="UOK355" s="1054"/>
      <c r="UOL355" s="1055"/>
      <c r="UOM355" s="1054"/>
      <c r="UON355" s="1055"/>
      <c r="UOO355" s="1054"/>
      <c r="UOP355" s="1055"/>
      <c r="UOQ355" s="1054"/>
      <c r="UOR355" s="1055"/>
      <c r="UOS355" s="1054"/>
      <c r="UOT355" s="1055"/>
      <c r="UOU355" s="1054"/>
      <c r="UOV355" s="1055"/>
      <c r="UOW355" s="1054"/>
      <c r="UOX355" s="1055"/>
      <c r="UOY355" s="1054"/>
      <c r="UOZ355" s="1055"/>
      <c r="UPA355" s="1054"/>
      <c r="UPB355" s="1055"/>
      <c r="UPC355" s="1054"/>
      <c r="UPD355" s="1055"/>
      <c r="UPE355" s="1054"/>
      <c r="UPF355" s="1055"/>
      <c r="UPG355" s="1054"/>
      <c r="UPH355" s="1055"/>
      <c r="UPI355" s="1054"/>
      <c r="UPJ355" s="1055"/>
      <c r="UPK355" s="1054"/>
      <c r="UPL355" s="1055"/>
      <c r="UPM355" s="1054"/>
      <c r="UPN355" s="1055"/>
      <c r="UPO355" s="1054"/>
      <c r="UPP355" s="1055"/>
      <c r="UPQ355" s="1054"/>
      <c r="UPR355" s="1055"/>
      <c r="UPS355" s="1054"/>
      <c r="UPT355" s="1055"/>
      <c r="UPU355" s="1054"/>
      <c r="UPV355" s="1055"/>
      <c r="UPW355" s="1054"/>
      <c r="UPX355" s="1055"/>
      <c r="UPY355" s="1054"/>
      <c r="UPZ355" s="1055"/>
      <c r="UQA355" s="1054"/>
      <c r="UQB355" s="1055"/>
      <c r="UQC355" s="1054"/>
      <c r="UQD355" s="1055"/>
      <c r="UQE355" s="1054"/>
      <c r="UQF355" s="1055"/>
      <c r="UQG355" s="1054"/>
      <c r="UQH355" s="1055"/>
      <c r="UQI355" s="1054"/>
      <c r="UQJ355" s="1055"/>
      <c r="UQK355" s="1054"/>
      <c r="UQL355" s="1055"/>
      <c r="UQM355" s="1054"/>
      <c r="UQN355" s="1055"/>
      <c r="UQO355" s="1054"/>
      <c r="UQP355" s="1055"/>
      <c r="UQQ355" s="1054"/>
      <c r="UQR355" s="1055"/>
      <c r="UQS355" s="1054"/>
      <c r="UQT355" s="1055"/>
      <c r="UQU355" s="1054"/>
      <c r="UQV355" s="1055"/>
      <c r="UQW355" s="1054"/>
      <c r="UQX355" s="1055"/>
      <c r="UQY355" s="1054"/>
      <c r="UQZ355" s="1055"/>
      <c r="URA355" s="1054"/>
      <c r="URB355" s="1055"/>
      <c r="URC355" s="1054"/>
      <c r="URD355" s="1055"/>
      <c r="URE355" s="1054"/>
      <c r="URF355" s="1055"/>
      <c r="URG355" s="1054"/>
      <c r="URH355" s="1055"/>
      <c r="URI355" s="1054"/>
      <c r="URJ355" s="1055"/>
      <c r="URK355" s="1054"/>
      <c r="URL355" s="1055"/>
      <c r="URM355" s="1054"/>
      <c r="URN355" s="1055"/>
      <c r="URO355" s="1054"/>
      <c r="URP355" s="1055"/>
      <c r="URQ355" s="1054"/>
      <c r="URR355" s="1055"/>
      <c r="URS355" s="1054"/>
      <c r="URT355" s="1055"/>
      <c r="URU355" s="1054"/>
      <c r="URV355" s="1055"/>
      <c r="URW355" s="1054"/>
      <c r="URX355" s="1055"/>
      <c r="URY355" s="1054"/>
      <c r="URZ355" s="1055"/>
      <c r="USA355" s="1054"/>
      <c r="USB355" s="1055"/>
      <c r="USC355" s="1054"/>
      <c r="USD355" s="1055"/>
      <c r="USE355" s="1054"/>
      <c r="USF355" s="1055"/>
      <c r="USG355" s="1054"/>
      <c r="USH355" s="1055"/>
      <c r="USI355" s="1054"/>
      <c r="USJ355" s="1055"/>
      <c r="USK355" s="1054"/>
      <c r="USL355" s="1055"/>
      <c r="USM355" s="1054"/>
      <c r="USN355" s="1055"/>
      <c r="USO355" s="1054"/>
      <c r="USP355" s="1055"/>
      <c r="USQ355" s="1054"/>
      <c r="USR355" s="1055"/>
      <c r="USS355" s="1054"/>
      <c r="UST355" s="1055"/>
      <c r="USU355" s="1054"/>
      <c r="USV355" s="1055"/>
      <c r="USW355" s="1054"/>
      <c r="USX355" s="1055"/>
      <c r="USY355" s="1054"/>
      <c r="USZ355" s="1055"/>
      <c r="UTA355" s="1054"/>
      <c r="UTB355" s="1055"/>
      <c r="UTC355" s="1054"/>
      <c r="UTD355" s="1055"/>
      <c r="UTE355" s="1054"/>
      <c r="UTF355" s="1055"/>
      <c r="UTG355" s="1054"/>
      <c r="UTH355" s="1055"/>
      <c r="UTI355" s="1054"/>
      <c r="UTJ355" s="1055"/>
      <c r="UTK355" s="1054"/>
      <c r="UTL355" s="1055"/>
      <c r="UTM355" s="1054"/>
      <c r="UTN355" s="1055"/>
      <c r="UTO355" s="1054"/>
      <c r="UTP355" s="1055"/>
      <c r="UTQ355" s="1054"/>
      <c r="UTR355" s="1055"/>
      <c r="UTS355" s="1054"/>
      <c r="UTT355" s="1055"/>
      <c r="UTU355" s="1054"/>
      <c r="UTV355" s="1055"/>
      <c r="UTW355" s="1054"/>
      <c r="UTX355" s="1055"/>
      <c r="UTY355" s="1054"/>
      <c r="UTZ355" s="1055"/>
      <c r="UUA355" s="1054"/>
      <c r="UUB355" s="1055"/>
      <c r="UUC355" s="1054"/>
      <c r="UUD355" s="1055"/>
      <c r="UUE355" s="1054"/>
      <c r="UUF355" s="1055"/>
      <c r="UUG355" s="1054"/>
      <c r="UUH355" s="1055"/>
      <c r="UUI355" s="1054"/>
      <c r="UUJ355" s="1055"/>
      <c r="UUK355" s="1054"/>
      <c r="UUL355" s="1055"/>
      <c r="UUM355" s="1054"/>
      <c r="UUN355" s="1055"/>
      <c r="UUO355" s="1054"/>
      <c r="UUP355" s="1055"/>
      <c r="UUQ355" s="1054"/>
      <c r="UUR355" s="1055"/>
      <c r="UUS355" s="1054"/>
      <c r="UUT355" s="1055"/>
      <c r="UUU355" s="1054"/>
      <c r="UUV355" s="1055"/>
      <c r="UUW355" s="1054"/>
      <c r="UUX355" s="1055"/>
      <c r="UUY355" s="1054"/>
      <c r="UUZ355" s="1055"/>
      <c r="UVA355" s="1054"/>
      <c r="UVB355" s="1055"/>
      <c r="UVC355" s="1054"/>
      <c r="UVD355" s="1055"/>
      <c r="UVE355" s="1054"/>
      <c r="UVF355" s="1055"/>
      <c r="UVG355" s="1054"/>
      <c r="UVH355" s="1055"/>
      <c r="UVI355" s="1054"/>
      <c r="UVJ355" s="1055"/>
      <c r="UVK355" s="1054"/>
      <c r="UVL355" s="1055"/>
      <c r="UVM355" s="1054"/>
      <c r="UVN355" s="1055"/>
      <c r="UVO355" s="1054"/>
      <c r="UVP355" s="1055"/>
      <c r="UVQ355" s="1054"/>
      <c r="UVR355" s="1055"/>
      <c r="UVS355" s="1054"/>
      <c r="UVT355" s="1055"/>
      <c r="UVU355" s="1054"/>
      <c r="UVV355" s="1055"/>
      <c r="UVW355" s="1054"/>
      <c r="UVX355" s="1055"/>
      <c r="UVY355" s="1054"/>
      <c r="UVZ355" s="1055"/>
      <c r="UWA355" s="1054"/>
      <c r="UWB355" s="1055"/>
      <c r="UWC355" s="1054"/>
      <c r="UWD355" s="1055"/>
      <c r="UWE355" s="1054"/>
      <c r="UWF355" s="1055"/>
      <c r="UWG355" s="1054"/>
      <c r="UWH355" s="1055"/>
      <c r="UWI355" s="1054"/>
      <c r="UWJ355" s="1055"/>
      <c r="UWK355" s="1054"/>
      <c r="UWL355" s="1055"/>
      <c r="UWM355" s="1054"/>
      <c r="UWN355" s="1055"/>
      <c r="UWO355" s="1054"/>
      <c r="UWP355" s="1055"/>
      <c r="UWQ355" s="1054"/>
      <c r="UWR355" s="1055"/>
      <c r="UWS355" s="1054"/>
      <c r="UWT355" s="1055"/>
      <c r="UWU355" s="1054"/>
      <c r="UWV355" s="1055"/>
      <c r="UWW355" s="1054"/>
      <c r="UWX355" s="1055"/>
      <c r="UWY355" s="1054"/>
      <c r="UWZ355" s="1055"/>
      <c r="UXA355" s="1054"/>
      <c r="UXB355" s="1055"/>
      <c r="UXC355" s="1054"/>
      <c r="UXD355" s="1055"/>
      <c r="UXE355" s="1054"/>
      <c r="UXF355" s="1055"/>
      <c r="UXG355" s="1054"/>
      <c r="UXH355" s="1055"/>
      <c r="UXI355" s="1054"/>
      <c r="UXJ355" s="1055"/>
      <c r="UXK355" s="1054"/>
      <c r="UXL355" s="1055"/>
      <c r="UXM355" s="1054"/>
      <c r="UXN355" s="1055"/>
      <c r="UXO355" s="1054"/>
      <c r="UXP355" s="1055"/>
      <c r="UXQ355" s="1054"/>
      <c r="UXR355" s="1055"/>
      <c r="UXS355" s="1054"/>
      <c r="UXT355" s="1055"/>
      <c r="UXU355" s="1054"/>
      <c r="UXV355" s="1055"/>
      <c r="UXW355" s="1054"/>
      <c r="UXX355" s="1055"/>
      <c r="UXY355" s="1054"/>
      <c r="UXZ355" s="1055"/>
      <c r="UYA355" s="1054"/>
      <c r="UYB355" s="1055"/>
      <c r="UYC355" s="1054"/>
      <c r="UYD355" s="1055"/>
      <c r="UYE355" s="1054"/>
      <c r="UYF355" s="1055"/>
      <c r="UYG355" s="1054"/>
      <c r="UYH355" s="1055"/>
      <c r="UYI355" s="1054"/>
      <c r="UYJ355" s="1055"/>
      <c r="UYK355" s="1054"/>
      <c r="UYL355" s="1055"/>
      <c r="UYM355" s="1054"/>
      <c r="UYN355" s="1055"/>
      <c r="UYO355" s="1054"/>
      <c r="UYP355" s="1055"/>
      <c r="UYQ355" s="1054"/>
      <c r="UYR355" s="1055"/>
      <c r="UYS355" s="1054"/>
      <c r="UYT355" s="1055"/>
      <c r="UYU355" s="1054"/>
      <c r="UYV355" s="1055"/>
      <c r="UYW355" s="1054"/>
      <c r="UYX355" s="1055"/>
      <c r="UYY355" s="1054"/>
      <c r="UYZ355" s="1055"/>
      <c r="UZA355" s="1054"/>
      <c r="UZB355" s="1055"/>
      <c r="UZC355" s="1054"/>
      <c r="UZD355" s="1055"/>
      <c r="UZE355" s="1054"/>
      <c r="UZF355" s="1055"/>
      <c r="UZG355" s="1054"/>
      <c r="UZH355" s="1055"/>
      <c r="UZI355" s="1054"/>
      <c r="UZJ355" s="1055"/>
      <c r="UZK355" s="1054"/>
      <c r="UZL355" s="1055"/>
      <c r="UZM355" s="1054"/>
      <c r="UZN355" s="1055"/>
      <c r="UZO355" s="1054"/>
      <c r="UZP355" s="1055"/>
      <c r="UZQ355" s="1054"/>
      <c r="UZR355" s="1055"/>
      <c r="UZS355" s="1054"/>
      <c r="UZT355" s="1055"/>
      <c r="UZU355" s="1054"/>
      <c r="UZV355" s="1055"/>
      <c r="UZW355" s="1054"/>
      <c r="UZX355" s="1055"/>
      <c r="UZY355" s="1054"/>
      <c r="UZZ355" s="1055"/>
      <c r="VAA355" s="1054"/>
      <c r="VAB355" s="1055"/>
      <c r="VAC355" s="1054"/>
      <c r="VAD355" s="1055"/>
      <c r="VAE355" s="1054"/>
      <c r="VAF355" s="1055"/>
      <c r="VAG355" s="1054"/>
      <c r="VAH355" s="1055"/>
      <c r="VAI355" s="1054"/>
      <c r="VAJ355" s="1055"/>
      <c r="VAK355" s="1054"/>
      <c r="VAL355" s="1055"/>
      <c r="VAM355" s="1054"/>
      <c r="VAN355" s="1055"/>
      <c r="VAO355" s="1054"/>
      <c r="VAP355" s="1055"/>
      <c r="VAQ355" s="1054"/>
      <c r="VAR355" s="1055"/>
      <c r="VAS355" s="1054"/>
      <c r="VAT355" s="1055"/>
      <c r="VAU355" s="1054"/>
      <c r="VAV355" s="1055"/>
      <c r="VAW355" s="1054"/>
      <c r="VAX355" s="1055"/>
      <c r="VAY355" s="1054"/>
      <c r="VAZ355" s="1055"/>
      <c r="VBA355" s="1054"/>
      <c r="VBB355" s="1055"/>
      <c r="VBC355" s="1054"/>
      <c r="VBD355" s="1055"/>
      <c r="VBE355" s="1054"/>
      <c r="VBF355" s="1055"/>
      <c r="VBG355" s="1054"/>
      <c r="VBH355" s="1055"/>
      <c r="VBI355" s="1054"/>
      <c r="VBJ355" s="1055"/>
      <c r="VBK355" s="1054"/>
      <c r="VBL355" s="1055"/>
      <c r="VBM355" s="1054"/>
      <c r="VBN355" s="1055"/>
      <c r="VBO355" s="1054"/>
      <c r="VBP355" s="1055"/>
      <c r="VBQ355" s="1054"/>
      <c r="VBR355" s="1055"/>
      <c r="VBS355" s="1054"/>
      <c r="VBT355" s="1055"/>
      <c r="VBU355" s="1054"/>
      <c r="VBV355" s="1055"/>
      <c r="VBW355" s="1054"/>
      <c r="VBX355" s="1055"/>
      <c r="VBY355" s="1054"/>
      <c r="VBZ355" s="1055"/>
      <c r="VCA355" s="1054"/>
      <c r="VCB355" s="1055"/>
      <c r="VCC355" s="1054"/>
      <c r="VCD355" s="1055"/>
      <c r="VCE355" s="1054"/>
      <c r="VCF355" s="1055"/>
      <c r="VCG355" s="1054"/>
      <c r="VCH355" s="1055"/>
      <c r="VCI355" s="1054"/>
      <c r="VCJ355" s="1055"/>
      <c r="VCK355" s="1054"/>
      <c r="VCL355" s="1055"/>
      <c r="VCM355" s="1054"/>
      <c r="VCN355" s="1055"/>
      <c r="VCO355" s="1054"/>
      <c r="VCP355" s="1055"/>
      <c r="VCQ355" s="1054"/>
      <c r="VCR355" s="1055"/>
      <c r="VCS355" s="1054"/>
      <c r="VCT355" s="1055"/>
      <c r="VCU355" s="1054"/>
      <c r="VCV355" s="1055"/>
      <c r="VCW355" s="1054"/>
      <c r="VCX355" s="1055"/>
      <c r="VCY355" s="1054"/>
      <c r="VCZ355" s="1055"/>
      <c r="VDA355" s="1054"/>
      <c r="VDB355" s="1055"/>
      <c r="VDC355" s="1054"/>
      <c r="VDD355" s="1055"/>
      <c r="VDE355" s="1054"/>
      <c r="VDF355" s="1055"/>
      <c r="VDG355" s="1054"/>
      <c r="VDH355" s="1055"/>
      <c r="VDI355" s="1054"/>
      <c r="VDJ355" s="1055"/>
      <c r="VDK355" s="1054"/>
      <c r="VDL355" s="1055"/>
      <c r="VDM355" s="1054"/>
      <c r="VDN355" s="1055"/>
      <c r="VDO355" s="1054"/>
      <c r="VDP355" s="1055"/>
      <c r="VDQ355" s="1054"/>
      <c r="VDR355" s="1055"/>
      <c r="VDS355" s="1054"/>
      <c r="VDT355" s="1055"/>
      <c r="VDU355" s="1054"/>
      <c r="VDV355" s="1055"/>
      <c r="VDW355" s="1054"/>
      <c r="VDX355" s="1055"/>
      <c r="VDY355" s="1054"/>
      <c r="VDZ355" s="1055"/>
      <c r="VEA355" s="1054"/>
      <c r="VEB355" s="1055"/>
      <c r="VEC355" s="1054"/>
      <c r="VED355" s="1055"/>
      <c r="VEE355" s="1054"/>
      <c r="VEF355" s="1055"/>
      <c r="VEG355" s="1054"/>
      <c r="VEH355" s="1055"/>
      <c r="VEI355" s="1054"/>
      <c r="VEJ355" s="1055"/>
      <c r="VEK355" s="1054"/>
      <c r="VEL355" s="1055"/>
      <c r="VEM355" s="1054"/>
      <c r="VEN355" s="1055"/>
      <c r="VEO355" s="1054"/>
      <c r="VEP355" s="1055"/>
      <c r="VEQ355" s="1054"/>
      <c r="VER355" s="1055"/>
      <c r="VES355" s="1054"/>
      <c r="VET355" s="1055"/>
      <c r="VEU355" s="1054"/>
      <c r="VEV355" s="1055"/>
      <c r="VEW355" s="1054"/>
      <c r="VEX355" s="1055"/>
      <c r="VEY355" s="1054"/>
      <c r="VEZ355" s="1055"/>
      <c r="VFA355" s="1054"/>
      <c r="VFB355" s="1055"/>
      <c r="VFC355" s="1054"/>
      <c r="VFD355" s="1055"/>
      <c r="VFE355" s="1054"/>
      <c r="VFF355" s="1055"/>
      <c r="VFG355" s="1054"/>
      <c r="VFH355" s="1055"/>
      <c r="VFI355" s="1054"/>
      <c r="VFJ355" s="1055"/>
      <c r="VFK355" s="1054"/>
      <c r="VFL355" s="1055"/>
      <c r="VFM355" s="1054"/>
      <c r="VFN355" s="1055"/>
      <c r="VFO355" s="1054"/>
      <c r="VFP355" s="1055"/>
      <c r="VFQ355" s="1054"/>
      <c r="VFR355" s="1055"/>
      <c r="VFS355" s="1054"/>
      <c r="VFT355" s="1055"/>
      <c r="VFU355" s="1054"/>
      <c r="VFV355" s="1055"/>
      <c r="VFW355" s="1054"/>
      <c r="VFX355" s="1055"/>
      <c r="VFY355" s="1054"/>
      <c r="VFZ355" s="1055"/>
      <c r="VGA355" s="1054"/>
      <c r="VGB355" s="1055"/>
      <c r="VGC355" s="1054"/>
      <c r="VGD355" s="1055"/>
      <c r="VGE355" s="1054"/>
      <c r="VGF355" s="1055"/>
      <c r="VGG355" s="1054"/>
      <c r="VGH355" s="1055"/>
      <c r="VGI355" s="1054"/>
      <c r="VGJ355" s="1055"/>
      <c r="VGK355" s="1054"/>
      <c r="VGL355" s="1055"/>
      <c r="VGM355" s="1054"/>
      <c r="VGN355" s="1055"/>
      <c r="VGO355" s="1054"/>
      <c r="VGP355" s="1055"/>
      <c r="VGQ355" s="1054"/>
      <c r="VGR355" s="1055"/>
      <c r="VGS355" s="1054"/>
      <c r="VGT355" s="1055"/>
      <c r="VGU355" s="1054"/>
      <c r="VGV355" s="1055"/>
      <c r="VGW355" s="1054"/>
      <c r="VGX355" s="1055"/>
      <c r="VGY355" s="1054"/>
      <c r="VGZ355" s="1055"/>
      <c r="VHA355" s="1054"/>
      <c r="VHB355" s="1055"/>
      <c r="VHC355" s="1054"/>
      <c r="VHD355" s="1055"/>
      <c r="VHE355" s="1054"/>
      <c r="VHF355" s="1055"/>
      <c r="VHG355" s="1054"/>
      <c r="VHH355" s="1055"/>
      <c r="VHI355" s="1054"/>
      <c r="VHJ355" s="1055"/>
      <c r="VHK355" s="1054"/>
      <c r="VHL355" s="1055"/>
      <c r="VHM355" s="1054"/>
      <c r="VHN355" s="1055"/>
      <c r="VHO355" s="1054"/>
      <c r="VHP355" s="1055"/>
      <c r="VHQ355" s="1054"/>
      <c r="VHR355" s="1055"/>
      <c r="VHS355" s="1054"/>
      <c r="VHT355" s="1055"/>
      <c r="VHU355" s="1054"/>
      <c r="VHV355" s="1055"/>
      <c r="VHW355" s="1054"/>
      <c r="VHX355" s="1055"/>
      <c r="VHY355" s="1054"/>
      <c r="VHZ355" s="1055"/>
      <c r="VIA355" s="1054"/>
      <c r="VIB355" s="1055"/>
      <c r="VIC355" s="1054"/>
      <c r="VID355" s="1055"/>
      <c r="VIE355" s="1054"/>
      <c r="VIF355" s="1055"/>
      <c r="VIG355" s="1054"/>
      <c r="VIH355" s="1055"/>
      <c r="VII355" s="1054"/>
      <c r="VIJ355" s="1055"/>
      <c r="VIK355" s="1054"/>
      <c r="VIL355" s="1055"/>
      <c r="VIM355" s="1054"/>
      <c r="VIN355" s="1055"/>
      <c r="VIO355" s="1054"/>
      <c r="VIP355" s="1055"/>
      <c r="VIQ355" s="1054"/>
      <c r="VIR355" s="1055"/>
      <c r="VIS355" s="1054"/>
      <c r="VIT355" s="1055"/>
      <c r="VIU355" s="1054"/>
      <c r="VIV355" s="1055"/>
      <c r="VIW355" s="1054"/>
      <c r="VIX355" s="1055"/>
      <c r="VIY355" s="1054"/>
      <c r="VIZ355" s="1055"/>
      <c r="VJA355" s="1054"/>
      <c r="VJB355" s="1055"/>
      <c r="VJC355" s="1054"/>
      <c r="VJD355" s="1055"/>
      <c r="VJE355" s="1054"/>
      <c r="VJF355" s="1055"/>
      <c r="VJG355" s="1054"/>
      <c r="VJH355" s="1055"/>
      <c r="VJI355" s="1054"/>
      <c r="VJJ355" s="1055"/>
      <c r="VJK355" s="1054"/>
      <c r="VJL355" s="1055"/>
      <c r="VJM355" s="1054"/>
      <c r="VJN355" s="1055"/>
      <c r="VJO355" s="1054"/>
      <c r="VJP355" s="1055"/>
      <c r="VJQ355" s="1054"/>
      <c r="VJR355" s="1055"/>
      <c r="VJS355" s="1054"/>
      <c r="VJT355" s="1055"/>
      <c r="VJU355" s="1054"/>
      <c r="VJV355" s="1055"/>
      <c r="VJW355" s="1054"/>
      <c r="VJX355" s="1055"/>
      <c r="VJY355" s="1054"/>
      <c r="VJZ355" s="1055"/>
      <c r="VKA355" s="1054"/>
      <c r="VKB355" s="1055"/>
      <c r="VKC355" s="1054"/>
      <c r="VKD355" s="1055"/>
      <c r="VKE355" s="1054"/>
      <c r="VKF355" s="1055"/>
      <c r="VKG355" s="1054"/>
      <c r="VKH355" s="1055"/>
      <c r="VKI355" s="1054"/>
      <c r="VKJ355" s="1055"/>
      <c r="VKK355" s="1054"/>
      <c r="VKL355" s="1055"/>
      <c r="VKM355" s="1054"/>
      <c r="VKN355" s="1055"/>
      <c r="VKO355" s="1054"/>
      <c r="VKP355" s="1055"/>
      <c r="VKQ355" s="1054"/>
      <c r="VKR355" s="1055"/>
      <c r="VKS355" s="1054"/>
      <c r="VKT355" s="1055"/>
      <c r="VKU355" s="1054"/>
      <c r="VKV355" s="1055"/>
      <c r="VKW355" s="1054"/>
      <c r="VKX355" s="1055"/>
      <c r="VKY355" s="1054"/>
      <c r="VKZ355" s="1055"/>
      <c r="VLA355" s="1054"/>
      <c r="VLB355" s="1055"/>
      <c r="VLC355" s="1054"/>
      <c r="VLD355" s="1055"/>
      <c r="VLE355" s="1054"/>
      <c r="VLF355" s="1055"/>
      <c r="VLG355" s="1054"/>
      <c r="VLH355" s="1055"/>
      <c r="VLI355" s="1054"/>
      <c r="VLJ355" s="1055"/>
      <c r="VLK355" s="1054"/>
      <c r="VLL355" s="1055"/>
      <c r="VLM355" s="1054"/>
      <c r="VLN355" s="1055"/>
      <c r="VLO355" s="1054"/>
      <c r="VLP355" s="1055"/>
      <c r="VLQ355" s="1054"/>
      <c r="VLR355" s="1055"/>
      <c r="VLS355" s="1054"/>
      <c r="VLT355" s="1055"/>
      <c r="VLU355" s="1054"/>
      <c r="VLV355" s="1055"/>
      <c r="VLW355" s="1054"/>
      <c r="VLX355" s="1055"/>
      <c r="VLY355" s="1054"/>
      <c r="VLZ355" s="1055"/>
      <c r="VMA355" s="1054"/>
      <c r="VMB355" s="1055"/>
      <c r="VMC355" s="1054"/>
      <c r="VMD355" s="1055"/>
      <c r="VME355" s="1054"/>
      <c r="VMF355" s="1055"/>
      <c r="VMG355" s="1054"/>
      <c r="VMH355" s="1055"/>
      <c r="VMI355" s="1054"/>
      <c r="VMJ355" s="1055"/>
      <c r="VMK355" s="1054"/>
      <c r="VML355" s="1055"/>
      <c r="VMM355" s="1054"/>
      <c r="VMN355" s="1055"/>
      <c r="VMO355" s="1054"/>
      <c r="VMP355" s="1055"/>
      <c r="VMQ355" s="1054"/>
      <c r="VMR355" s="1055"/>
      <c r="VMS355" s="1054"/>
      <c r="VMT355" s="1055"/>
      <c r="VMU355" s="1054"/>
      <c r="VMV355" s="1055"/>
      <c r="VMW355" s="1054"/>
      <c r="VMX355" s="1055"/>
      <c r="VMY355" s="1054"/>
      <c r="VMZ355" s="1055"/>
      <c r="VNA355" s="1054"/>
      <c r="VNB355" s="1055"/>
      <c r="VNC355" s="1054"/>
      <c r="VND355" s="1055"/>
      <c r="VNE355" s="1054"/>
      <c r="VNF355" s="1055"/>
      <c r="VNG355" s="1054"/>
      <c r="VNH355" s="1055"/>
      <c r="VNI355" s="1054"/>
      <c r="VNJ355" s="1055"/>
      <c r="VNK355" s="1054"/>
      <c r="VNL355" s="1055"/>
      <c r="VNM355" s="1054"/>
      <c r="VNN355" s="1055"/>
      <c r="VNO355" s="1054"/>
      <c r="VNP355" s="1055"/>
      <c r="VNQ355" s="1054"/>
      <c r="VNR355" s="1055"/>
      <c r="VNS355" s="1054"/>
      <c r="VNT355" s="1055"/>
      <c r="VNU355" s="1054"/>
      <c r="VNV355" s="1055"/>
      <c r="VNW355" s="1054"/>
      <c r="VNX355" s="1055"/>
      <c r="VNY355" s="1054"/>
      <c r="VNZ355" s="1055"/>
      <c r="VOA355" s="1054"/>
      <c r="VOB355" s="1055"/>
      <c r="VOC355" s="1054"/>
      <c r="VOD355" s="1055"/>
      <c r="VOE355" s="1054"/>
      <c r="VOF355" s="1055"/>
      <c r="VOG355" s="1054"/>
      <c r="VOH355" s="1055"/>
      <c r="VOI355" s="1054"/>
      <c r="VOJ355" s="1055"/>
      <c r="VOK355" s="1054"/>
      <c r="VOL355" s="1055"/>
      <c r="VOM355" s="1054"/>
      <c r="VON355" s="1055"/>
      <c r="VOO355" s="1054"/>
      <c r="VOP355" s="1055"/>
      <c r="VOQ355" s="1054"/>
      <c r="VOR355" s="1055"/>
      <c r="VOS355" s="1054"/>
      <c r="VOT355" s="1055"/>
      <c r="VOU355" s="1054"/>
      <c r="VOV355" s="1055"/>
      <c r="VOW355" s="1054"/>
      <c r="VOX355" s="1055"/>
      <c r="VOY355" s="1054"/>
      <c r="VOZ355" s="1055"/>
      <c r="VPA355" s="1054"/>
      <c r="VPB355" s="1055"/>
      <c r="VPC355" s="1054"/>
      <c r="VPD355" s="1055"/>
      <c r="VPE355" s="1054"/>
      <c r="VPF355" s="1055"/>
      <c r="VPG355" s="1054"/>
      <c r="VPH355" s="1055"/>
      <c r="VPI355" s="1054"/>
      <c r="VPJ355" s="1055"/>
      <c r="VPK355" s="1054"/>
      <c r="VPL355" s="1055"/>
      <c r="VPM355" s="1054"/>
      <c r="VPN355" s="1055"/>
      <c r="VPO355" s="1054"/>
      <c r="VPP355" s="1055"/>
      <c r="VPQ355" s="1054"/>
      <c r="VPR355" s="1055"/>
      <c r="VPS355" s="1054"/>
      <c r="VPT355" s="1055"/>
      <c r="VPU355" s="1054"/>
      <c r="VPV355" s="1055"/>
      <c r="VPW355" s="1054"/>
      <c r="VPX355" s="1055"/>
      <c r="VPY355" s="1054"/>
      <c r="VPZ355" s="1055"/>
      <c r="VQA355" s="1054"/>
      <c r="VQB355" s="1055"/>
      <c r="VQC355" s="1054"/>
      <c r="VQD355" s="1055"/>
      <c r="VQE355" s="1054"/>
      <c r="VQF355" s="1055"/>
      <c r="VQG355" s="1054"/>
      <c r="VQH355" s="1055"/>
      <c r="VQI355" s="1054"/>
      <c r="VQJ355" s="1055"/>
      <c r="VQK355" s="1054"/>
      <c r="VQL355" s="1055"/>
      <c r="VQM355" s="1054"/>
      <c r="VQN355" s="1055"/>
      <c r="VQO355" s="1054"/>
      <c r="VQP355" s="1055"/>
      <c r="VQQ355" s="1054"/>
      <c r="VQR355" s="1055"/>
      <c r="VQS355" s="1054"/>
      <c r="VQT355" s="1055"/>
      <c r="VQU355" s="1054"/>
      <c r="VQV355" s="1055"/>
      <c r="VQW355" s="1054"/>
      <c r="VQX355" s="1055"/>
      <c r="VQY355" s="1054"/>
      <c r="VQZ355" s="1055"/>
      <c r="VRA355" s="1054"/>
      <c r="VRB355" s="1055"/>
      <c r="VRC355" s="1054"/>
      <c r="VRD355" s="1055"/>
      <c r="VRE355" s="1054"/>
      <c r="VRF355" s="1055"/>
      <c r="VRG355" s="1054"/>
      <c r="VRH355" s="1055"/>
      <c r="VRI355" s="1054"/>
      <c r="VRJ355" s="1055"/>
      <c r="VRK355" s="1054"/>
      <c r="VRL355" s="1055"/>
      <c r="VRM355" s="1054"/>
      <c r="VRN355" s="1055"/>
      <c r="VRO355" s="1054"/>
      <c r="VRP355" s="1055"/>
      <c r="VRQ355" s="1054"/>
      <c r="VRR355" s="1055"/>
      <c r="VRS355" s="1054"/>
      <c r="VRT355" s="1055"/>
      <c r="VRU355" s="1054"/>
      <c r="VRV355" s="1055"/>
      <c r="VRW355" s="1054"/>
      <c r="VRX355" s="1055"/>
      <c r="VRY355" s="1054"/>
      <c r="VRZ355" s="1055"/>
      <c r="VSA355" s="1054"/>
      <c r="VSB355" s="1055"/>
      <c r="VSC355" s="1054"/>
      <c r="VSD355" s="1055"/>
      <c r="VSE355" s="1054"/>
      <c r="VSF355" s="1055"/>
      <c r="VSG355" s="1054"/>
      <c r="VSH355" s="1055"/>
      <c r="VSI355" s="1054"/>
      <c r="VSJ355" s="1055"/>
      <c r="VSK355" s="1054"/>
      <c r="VSL355" s="1055"/>
      <c r="VSM355" s="1054"/>
      <c r="VSN355" s="1055"/>
      <c r="VSO355" s="1054"/>
      <c r="VSP355" s="1055"/>
      <c r="VSQ355" s="1054"/>
      <c r="VSR355" s="1055"/>
      <c r="VSS355" s="1054"/>
      <c r="VST355" s="1055"/>
      <c r="VSU355" s="1054"/>
      <c r="VSV355" s="1055"/>
      <c r="VSW355" s="1054"/>
      <c r="VSX355" s="1055"/>
      <c r="VSY355" s="1054"/>
      <c r="VSZ355" s="1055"/>
      <c r="VTA355" s="1054"/>
      <c r="VTB355" s="1055"/>
      <c r="VTC355" s="1054"/>
      <c r="VTD355" s="1055"/>
      <c r="VTE355" s="1054"/>
      <c r="VTF355" s="1055"/>
      <c r="VTG355" s="1054"/>
      <c r="VTH355" s="1055"/>
      <c r="VTI355" s="1054"/>
      <c r="VTJ355" s="1055"/>
      <c r="VTK355" s="1054"/>
      <c r="VTL355" s="1055"/>
      <c r="VTM355" s="1054"/>
      <c r="VTN355" s="1055"/>
      <c r="VTO355" s="1054"/>
      <c r="VTP355" s="1055"/>
      <c r="VTQ355" s="1054"/>
      <c r="VTR355" s="1055"/>
      <c r="VTS355" s="1054"/>
      <c r="VTT355" s="1055"/>
      <c r="VTU355" s="1054"/>
      <c r="VTV355" s="1055"/>
      <c r="VTW355" s="1054"/>
      <c r="VTX355" s="1055"/>
      <c r="VTY355" s="1054"/>
      <c r="VTZ355" s="1055"/>
      <c r="VUA355" s="1054"/>
      <c r="VUB355" s="1055"/>
      <c r="VUC355" s="1054"/>
      <c r="VUD355" s="1055"/>
      <c r="VUE355" s="1054"/>
      <c r="VUF355" s="1055"/>
      <c r="VUG355" s="1054"/>
      <c r="VUH355" s="1055"/>
      <c r="VUI355" s="1054"/>
      <c r="VUJ355" s="1055"/>
      <c r="VUK355" s="1054"/>
      <c r="VUL355" s="1055"/>
      <c r="VUM355" s="1054"/>
      <c r="VUN355" s="1055"/>
      <c r="VUO355" s="1054"/>
      <c r="VUP355" s="1055"/>
      <c r="VUQ355" s="1054"/>
      <c r="VUR355" s="1055"/>
      <c r="VUS355" s="1054"/>
      <c r="VUT355" s="1055"/>
      <c r="VUU355" s="1054"/>
      <c r="VUV355" s="1055"/>
      <c r="VUW355" s="1054"/>
      <c r="VUX355" s="1055"/>
      <c r="VUY355" s="1054"/>
      <c r="VUZ355" s="1055"/>
      <c r="VVA355" s="1054"/>
      <c r="VVB355" s="1055"/>
      <c r="VVC355" s="1054"/>
      <c r="VVD355" s="1055"/>
      <c r="VVE355" s="1054"/>
      <c r="VVF355" s="1055"/>
      <c r="VVG355" s="1054"/>
      <c r="VVH355" s="1055"/>
      <c r="VVI355" s="1054"/>
      <c r="VVJ355" s="1055"/>
      <c r="VVK355" s="1054"/>
      <c r="VVL355" s="1055"/>
      <c r="VVM355" s="1054"/>
      <c r="VVN355" s="1055"/>
      <c r="VVO355" s="1054"/>
      <c r="VVP355" s="1055"/>
      <c r="VVQ355" s="1054"/>
      <c r="VVR355" s="1055"/>
      <c r="VVS355" s="1054"/>
      <c r="VVT355" s="1055"/>
      <c r="VVU355" s="1054"/>
      <c r="VVV355" s="1055"/>
      <c r="VVW355" s="1054"/>
      <c r="VVX355" s="1055"/>
      <c r="VVY355" s="1054"/>
      <c r="VVZ355" s="1055"/>
      <c r="VWA355" s="1054"/>
      <c r="VWB355" s="1055"/>
      <c r="VWC355" s="1054"/>
      <c r="VWD355" s="1055"/>
      <c r="VWE355" s="1054"/>
      <c r="VWF355" s="1055"/>
      <c r="VWG355" s="1054"/>
      <c r="VWH355" s="1055"/>
      <c r="VWI355" s="1054"/>
      <c r="VWJ355" s="1055"/>
      <c r="VWK355" s="1054"/>
      <c r="VWL355" s="1055"/>
      <c r="VWM355" s="1054"/>
      <c r="VWN355" s="1055"/>
      <c r="VWO355" s="1054"/>
      <c r="VWP355" s="1055"/>
      <c r="VWQ355" s="1054"/>
      <c r="VWR355" s="1055"/>
      <c r="VWS355" s="1054"/>
      <c r="VWT355" s="1055"/>
      <c r="VWU355" s="1054"/>
      <c r="VWV355" s="1055"/>
      <c r="VWW355" s="1054"/>
      <c r="VWX355" s="1055"/>
      <c r="VWY355" s="1054"/>
      <c r="VWZ355" s="1055"/>
      <c r="VXA355" s="1054"/>
      <c r="VXB355" s="1055"/>
      <c r="VXC355" s="1054"/>
      <c r="VXD355" s="1055"/>
      <c r="VXE355" s="1054"/>
      <c r="VXF355" s="1055"/>
      <c r="VXG355" s="1054"/>
      <c r="VXH355" s="1055"/>
      <c r="VXI355" s="1054"/>
      <c r="VXJ355" s="1055"/>
      <c r="VXK355" s="1054"/>
      <c r="VXL355" s="1055"/>
      <c r="VXM355" s="1054"/>
      <c r="VXN355" s="1055"/>
      <c r="VXO355" s="1054"/>
      <c r="VXP355" s="1055"/>
      <c r="VXQ355" s="1054"/>
      <c r="VXR355" s="1055"/>
      <c r="VXS355" s="1054"/>
      <c r="VXT355" s="1055"/>
      <c r="VXU355" s="1054"/>
      <c r="VXV355" s="1055"/>
      <c r="VXW355" s="1054"/>
      <c r="VXX355" s="1055"/>
      <c r="VXY355" s="1054"/>
      <c r="VXZ355" s="1055"/>
      <c r="VYA355" s="1054"/>
      <c r="VYB355" s="1055"/>
      <c r="VYC355" s="1054"/>
      <c r="VYD355" s="1055"/>
      <c r="VYE355" s="1054"/>
      <c r="VYF355" s="1055"/>
      <c r="VYG355" s="1054"/>
      <c r="VYH355" s="1055"/>
      <c r="VYI355" s="1054"/>
      <c r="VYJ355" s="1055"/>
      <c r="VYK355" s="1054"/>
      <c r="VYL355" s="1055"/>
      <c r="VYM355" s="1054"/>
      <c r="VYN355" s="1055"/>
      <c r="VYO355" s="1054"/>
      <c r="VYP355" s="1055"/>
      <c r="VYQ355" s="1054"/>
      <c r="VYR355" s="1055"/>
      <c r="VYS355" s="1054"/>
      <c r="VYT355" s="1055"/>
      <c r="VYU355" s="1054"/>
      <c r="VYV355" s="1055"/>
      <c r="VYW355" s="1054"/>
      <c r="VYX355" s="1055"/>
      <c r="VYY355" s="1054"/>
      <c r="VYZ355" s="1055"/>
      <c r="VZA355" s="1054"/>
      <c r="VZB355" s="1055"/>
      <c r="VZC355" s="1054"/>
      <c r="VZD355" s="1055"/>
      <c r="VZE355" s="1054"/>
      <c r="VZF355" s="1055"/>
      <c r="VZG355" s="1054"/>
      <c r="VZH355" s="1055"/>
      <c r="VZI355" s="1054"/>
      <c r="VZJ355" s="1055"/>
      <c r="VZK355" s="1054"/>
      <c r="VZL355" s="1055"/>
      <c r="VZM355" s="1054"/>
      <c r="VZN355" s="1055"/>
      <c r="VZO355" s="1054"/>
      <c r="VZP355" s="1055"/>
      <c r="VZQ355" s="1054"/>
      <c r="VZR355" s="1055"/>
      <c r="VZS355" s="1054"/>
      <c r="VZT355" s="1055"/>
      <c r="VZU355" s="1054"/>
      <c r="VZV355" s="1055"/>
      <c r="VZW355" s="1054"/>
      <c r="VZX355" s="1055"/>
      <c r="VZY355" s="1054"/>
      <c r="VZZ355" s="1055"/>
      <c r="WAA355" s="1054"/>
      <c r="WAB355" s="1055"/>
      <c r="WAC355" s="1054"/>
      <c r="WAD355" s="1055"/>
      <c r="WAE355" s="1054"/>
      <c r="WAF355" s="1055"/>
      <c r="WAG355" s="1054"/>
      <c r="WAH355" s="1055"/>
      <c r="WAI355" s="1054"/>
      <c r="WAJ355" s="1055"/>
      <c r="WAK355" s="1054"/>
      <c r="WAL355" s="1055"/>
      <c r="WAM355" s="1054"/>
      <c r="WAN355" s="1055"/>
      <c r="WAO355" s="1054"/>
      <c r="WAP355" s="1055"/>
      <c r="WAQ355" s="1054"/>
      <c r="WAR355" s="1055"/>
      <c r="WAS355" s="1054"/>
      <c r="WAT355" s="1055"/>
      <c r="WAU355" s="1054"/>
      <c r="WAV355" s="1055"/>
      <c r="WAW355" s="1054"/>
      <c r="WAX355" s="1055"/>
      <c r="WAY355" s="1054"/>
      <c r="WAZ355" s="1055"/>
      <c r="WBA355" s="1054"/>
      <c r="WBB355" s="1055"/>
      <c r="WBC355" s="1054"/>
      <c r="WBD355" s="1055"/>
      <c r="WBE355" s="1054"/>
      <c r="WBF355" s="1055"/>
      <c r="WBG355" s="1054"/>
      <c r="WBH355" s="1055"/>
      <c r="WBI355" s="1054"/>
      <c r="WBJ355" s="1055"/>
      <c r="WBK355" s="1054"/>
      <c r="WBL355" s="1055"/>
      <c r="WBM355" s="1054"/>
      <c r="WBN355" s="1055"/>
      <c r="WBO355" s="1054"/>
      <c r="WBP355" s="1055"/>
      <c r="WBQ355" s="1054"/>
      <c r="WBR355" s="1055"/>
      <c r="WBS355" s="1054"/>
      <c r="WBT355" s="1055"/>
      <c r="WBU355" s="1054"/>
      <c r="WBV355" s="1055"/>
      <c r="WBW355" s="1054"/>
      <c r="WBX355" s="1055"/>
      <c r="WBY355" s="1054"/>
      <c r="WBZ355" s="1055"/>
      <c r="WCA355" s="1054"/>
      <c r="WCB355" s="1055"/>
      <c r="WCC355" s="1054"/>
      <c r="WCD355" s="1055"/>
      <c r="WCE355" s="1054"/>
      <c r="WCF355" s="1055"/>
      <c r="WCG355" s="1054"/>
      <c r="WCH355" s="1055"/>
      <c r="WCI355" s="1054"/>
      <c r="WCJ355" s="1055"/>
      <c r="WCK355" s="1054"/>
      <c r="WCL355" s="1055"/>
      <c r="WCM355" s="1054"/>
      <c r="WCN355" s="1055"/>
      <c r="WCO355" s="1054"/>
      <c r="WCP355" s="1055"/>
      <c r="WCQ355" s="1054"/>
      <c r="WCR355" s="1055"/>
      <c r="WCS355" s="1054"/>
      <c r="WCT355" s="1055"/>
      <c r="WCU355" s="1054"/>
      <c r="WCV355" s="1055"/>
      <c r="WCW355" s="1054"/>
      <c r="WCX355" s="1055"/>
      <c r="WCY355" s="1054"/>
      <c r="WCZ355" s="1055"/>
      <c r="WDA355" s="1054"/>
      <c r="WDB355" s="1055"/>
      <c r="WDC355" s="1054"/>
      <c r="WDD355" s="1055"/>
      <c r="WDE355" s="1054"/>
      <c r="WDF355" s="1055"/>
      <c r="WDG355" s="1054"/>
      <c r="WDH355" s="1055"/>
      <c r="WDI355" s="1054"/>
      <c r="WDJ355" s="1055"/>
      <c r="WDK355" s="1054"/>
      <c r="WDL355" s="1055"/>
      <c r="WDM355" s="1054"/>
      <c r="WDN355" s="1055"/>
      <c r="WDO355" s="1054"/>
      <c r="WDP355" s="1055"/>
      <c r="WDQ355" s="1054"/>
      <c r="WDR355" s="1055"/>
      <c r="WDS355" s="1054"/>
      <c r="WDT355" s="1055"/>
      <c r="WDU355" s="1054"/>
      <c r="WDV355" s="1055"/>
      <c r="WDW355" s="1054"/>
      <c r="WDX355" s="1055"/>
      <c r="WDY355" s="1054"/>
      <c r="WDZ355" s="1055"/>
      <c r="WEA355" s="1054"/>
      <c r="WEB355" s="1055"/>
      <c r="WEC355" s="1054"/>
      <c r="WED355" s="1055"/>
      <c r="WEE355" s="1054"/>
      <c r="WEF355" s="1055"/>
      <c r="WEG355" s="1054"/>
      <c r="WEH355" s="1055"/>
      <c r="WEI355" s="1054"/>
      <c r="WEJ355" s="1055"/>
      <c r="WEK355" s="1054"/>
      <c r="WEL355" s="1055"/>
      <c r="WEM355" s="1054"/>
      <c r="WEN355" s="1055"/>
      <c r="WEO355" s="1054"/>
      <c r="WEP355" s="1055"/>
      <c r="WEQ355" s="1054"/>
      <c r="WER355" s="1055"/>
      <c r="WES355" s="1054"/>
      <c r="WET355" s="1055"/>
      <c r="WEU355" s="1054"/>
      <c r="WEV355" s="1055"/>
      <c r="WEW355" s="1054"/>
      <c r="WEX355" s="1055"/>
      <c r="WEY355" s="1054"/>
      <c r="WEZ355" s="1055"/>
      <c r="WFA355" s="1054"/>
      <c r="WFB355" s="1055"/>
      <c r="WFC355" s="1054"/>
      <c r="WFD355" s="1055"/>
      <c r="WFE355" s="1054"/>
      <c r="WFF355" s="1055"/>
      <c r="WFG355" s="1054"/>
      <c r="WFH355" s="1055"/>
      <c r="WFI355" s="1054"/>
      <c r="WFJ355" s="1055"/>
      <c r="WFK355" s="1054"/>
      <c r="WFL355" s="1055"/>
      <c r="WFM355" s="1054"/>
      <c r="WFN355" s="1055"/>
      <c r="WFO355" s="1054"/>
      <c r="WFP355" s="1055"/>
      <c r="WFQ355" s="1054"/>
      <c r="WFR355" s="1055"/>
      <c r="WFS355" s="1054"/>
      <c r="WFT355" s="1055"/>
      <c r="WFU355" s="1054"/>
      <c r="WFV355" s="1055"/>
      <c r="WFW355" s="1054"/>
      <c r="WFX355" s="1055"/>
      <c r="WFY355" s="1054"/>
      <c r="WFZ355" s="1055"/>
      <c r="WGA355" s="1054"/>
      <c r="WGB355" s="1055"/>
      <c r="WGC355" s="1054"/>
      <c r="WGD355" s="1055"/>
      <c r="WGE355" s="1054"/>
      <c r="WGF355" s="1055"/>
      <c r="WGG355" s="1054"/>
      <c r="WGH355" s="1055"/>
      <c r="WGI355" s="1054"/>
      <c r="WGJ355" s="1055"/>
      <c r="WGK355" s="1054"/>
      <c r="WGL355" s="1055"/>
      <c r="WGM355" s="1054"/>
      <c r="WGN355" s="1055"/>
      <c r="WGO355" s="1054"/>
      <c r="WGP355" s="1055"/>
      <c r="WGQ355" s="1054"/>
      <c r="WGR355" s="1055"/>
      <c r="WGS355" s="1054"/>
      <c r="WGT355" s="1055"/>
      <c r="WGU355" s="1054"/>
      <c r="WGV355" s="1055"/>
      <c r="WGW355" s="1054"/>
      <c r="WGX355" s="1055"/>
      <c r="WGY355" s="1054"/>
      <c r="WGZ355" s="1055"/>
      <c r="WHA355" s="1054"/>
      <c r="WHB355" s="1055"/>
      <c r="WHC355" s="1054"/>
      <c r="WHD355" s="1055"/>
      <c r="WHE355" s="1054"/>
      <c r="WHF355" s="1055"/>
      <c r="WHG355" s="1054"/>
      <c r="WHH355" s="1055"/>
      <c r="WHI355" s="1054"/>
      <c r="WHJ355" s="1055"/>
      <c r="WHK355" s="1054"/>
      <c r="WHL355" s="1055"/>
      <c r="WHM355" s="1054"/>
      <c r="WHN355" s="1055"/>
      <c r="WHO355" s="1054"/>
      <c r="WHP355" s="1055"/>
      <c r="WHQ355" s="1054"/>
      <c r="WHR355" s="1055"/>
      <c r="WHS355" s="1054"/>
      <c r="WHT355" s="1055"/>
      <c r="WHU355" s="1054"/>
      <c r="WHV355" s="1055"/>
      <c r="WHW355" s="1054"/>
      <c r="WHX355" s="1055"/>
      <c r="WHY355" s="1054"/>
      <c r="WHZ355" s="1055"/>
      <c r="WIA355" s="1054"/>
      <c r="WIB355" s="1055"/>
      <c r="WIC355" s="1054"/>
      <c r="WID355" s="1055"/>
      <c r="WIE355" s="1054"/>
      <c r="WIF355" s="1055"/>
      <c r="WIG355" s="1054"/>
      <c r="WIH355" s="1055"/>
      <c r="WII355" s="1054"/>
      <c r="WIJ355" s="1055"/>
      <c r="WIK355" s="1054"/>
      <c r="WIL355" s="1055"/>
      <c r="WIM355" s="1054"/>
      <c r="WIN355" s="1055"/>
      <c r="WIO355" s="1054"/>
      <c r="WIP355" s="1055"/>
      <c r="WIQ355" s="1054"/>
      <c r="WIR355" s="1055"/>
      <c r="WIS355" s="1054"/>
      <c r="WIT355" s="1055"/>
      <c r="WIU355" s="1054"/>
      <c r="WIV355" s="1055"/>
      <c r="WIW355" s="1054"/>
      <c r="WIX355" s="1055"/>
      <c r="WIY355" s="1054"/>
      <c r="WIZ355" s="1055"/>
      <c r="WJA355" s="1054"/>
      <c r="WJB355" s="1055"/>
      <c r="WJC355" s="1054"/>
      <c r="WJD355" s="1055"/>
      <c r="WJE355" s="1054"/>
      <c r="WJF355" s="1055"/>
      <c r="WJG355" s="1054"/>
      <c r="WJH355" s="1055"/>
      <c r="WJI355" s="1054"/>
      <c r="WJJ355" s="1055"/>
      <c r="WJK355" s="1054"/>
      <c r="WJL355" s="1055"/>
      <c r="WJM355" s="1054"/>
      <c r="WJN355" s="1055"/>
      <c r="WJO355" s="1054"/>
      <c r="WJP355" s="1055"/>
      <c r="WJQ355" s="1054"/>
      <c r="WJR355" s="1055"/>
      <c r="WJS355" s="1054"/>
      <c r="WJT355" s="1055"/>
      <c r="WJU355" s="1054"/>
      <c r="WJV355" s="1055"/>
      <c r="WJW355" s="1054"/>
      <c r="WJX355" s="1055"/>
      <c r="WJY355" s="1054"/>
      <c r="WJZ355" s="1055"/>
      <c r="WKA355" s="1054"/>
      <c r="WKB355" s="1055"/>
      <c r="WKC355" s="1054"/>
      <c r="WKD355" s="1055"/>
      <c r="WKE355" s="1054"/>
      <c r="WKF355" s="1055"/>
      <c r="WKG355" s="1054"/>
      <c r="WKH355" s="1055"/>
      <c r="WKI355" s="1054"/>
      <c r="WKJ355" s="1055"/>
      <c r="WKK355" s="1054"/>
      <c r="WKL355" s="1055"/>
      <c r="WKM355" s="1054"/>
      <c r="WKN355" s="1055"/>
      <c r="WKO355" s="1054"/>
      <c r="WKP355" s="1055"/>
      <c r="WKQ355" s="1054"/>
      <c r="WKR355" s="1055"/>
      <c r="WKS355" s="1054"/>
      <c r="WKT355" s="1055"/>
      <c r="WKU355" s="1054"/>
      <c r="WKV355" s="1055"/>
      <c r="WKW355" s="1054"/>
      <c r="WKX355" s="1055"/>
      <c r="WKY355" s="1054"/>
      <c r="WKZ355" s="1055"/>
      <c r="WLA355" s="1054"/>
      <c r="WLB355" s="1055"/>
      <c r="WLC355" s="1054"/>
      <c r="WLD355" s="1055"/>
      <c r="WLE355" s="1054"/>
      <c r="WLF355" s="1055"/>
      <c r="WLG355" s="1054"/>
      <c r="WLH355" s="1055"/>
      <c r="WLI355" s="1054"/>
      <c r="WLJ355" s="1055"/>
      <c r="WLK355" s="1054"/>
      <c r="WLL355" s="1055"/>
      <c r="WLM355" s="1054"/>
      <c r="WLN355" s="1055"/>
      <c r="WLO355" s="1054"/>
      <c r="WLP355" s="1055"/>
      <c r="WLQ355" s="1054"/>
      <c r="WLR355" s="1055"/>
      <c r="WLS355" s="1054"/>
      <c r="WLT355" s="1055"/>
      <c r="WLU355" s="1054"/>
      <c r="WLV355" s="1055"/>
      <c r="WLW355" s="1054"/>
      <c r="WLX355" s="1055"/>
      <c r="WLY355" s="1054"/>
      <c r="WLZ355" s="1055"/>
      <c r="WMA355" s="1054"/>
      <c r="WMB355" s="1055"/>
      <c r="WMC355" s="1054"/>
      <c r="WMD355" s="1055"/>
      <c r="WME355" s="1054"/>
      <c r="WMF355" s="1055"/>
      <c r="WMG355" s="1054"/>
      <c r="WMH355" s="1055"/>
      <c r="WMI355" s="1054"/>
      <c r="WMJ355" s="1055"/>
      <c r="WMK355" s="1054"/>
      <c r="WML355" s="1055"/>
      <c r="WMM355" s="1054"/>
      <c r="WMN355" s="1055"/>
      <c r="WMO355" s="1054"/>
      <c r="WMP355" s="1055"/>
      <c r="WMQ355" s="1054"/>
      <c r="WMR355" s="1055"/>
      <c r="WMS355" s="1054"/>
      <c r="WMT355" s="1055"/>
      <c r="WMU355" s="1054"/>
      <c r="WMV355" s="1055"/>
      <c r="WMW355" s="1054"/>
      <c r="WMX355" s="1055"/>
      <c r="WMY355" s="1054"/>
      <c r="WMZ355" s="1055"/>
      <c r="WNA355" s="1054"/>
      <c r="WNB355" s="1055"/>
      <c r="WNC355" s="1054"/>
      <c r="WND355" s="1055"/>
      <c r="WNE355" s="1054"/>
      <c r="WNF355" s="1055"/>
      <c r="WNG355" s="1054"/>
      <c r="WNH355" s="1055"/>
      <c r="WNI355" s="1054"/>
      <c r="WNJ355" s="1055"/>
      <c r="WNK355" s="1054"/>
      <c r="WNL355" s="1055"/>
      <c r="WNM355" s="1054"/>
      <c r="WNN355" s="1055"/>
      <c r="WNO355" s="1054"/>
      <c r="WNP355" s="1055"/>
      <c r="WNQ355" s="1054"/>
      <c r="WNR355" s="1055"/>
      <c r="WNS355" s="1054"/>
      <c r="WNT355" s="1055"/>
      <c r="WNU355" s="1054"/>
      <c r="WNV355" s="1055"/>
      <c r="WNW355" s="1054"/>
      <c r="WNX355" s="1055"/>
      <c r="WNY355" s="1054"/>
      <c r="WNZ355" s="1055"/>
      <c r="WOA355" s="1054"/>
      <c r="WOB355" s="1055"/>
      <c r="WOC355" s="1054"/>
      <c r="WOD355" s="1055"/>
      <c r="WOE355" s="1054"/>
      <c r="WOF355" s="1055"/>
      <c r="WOG355" s="1054"/>
      <c r="WOH355" s="1055"/>
      <c r="WOI355" s="1054"/>
      <c r="WOJ355" s="1055"/>
      <c r="WOK355" s="1054"/>
      <c r="WOL355" s="1055"/>
      <c r="WOM355" s="1054"/>
      <c r="WON355" s="1055"/>
      <c r="WOO355" s="1054"/>
      <c r="WOP355" s="1055"/>
      <c r="WOQ355" s="1054"/>
      <c r="WOR355" s="1055"/>
      <c r="WOS355" s="1054"/>
      <c r="WOT355" s="1055"/>
      <c r="WOU355" s="1054"/>
      <c r="WOV355" s="1055"/>
      <c r="WOW355" s="1054"/>
      <c r="WOX355" s="1055"/>
      <c r="WOY355" s="1054"/>
      <c r="WOZ355" s="1055"/>
      <c r="WPA355" s="1054"/>
      <c r="WPB355" s="1055"/>
      <c r="WPC355" s="1054"/>
      <c r="WPD355" s="1055"/>
      <c r="WPE355" s="1054"/>
      <c r="WPF355" s="1055"/>
      <c r="WPG355" s="1054"/>
      <c r="WPH355" s="1055"/>
      <c r="WPI355" s="1054"/>
      <c r="WPJ355" s="1055"/>
      <c r="WPK355" s="1054"/>
      <c r="WPL355" s="1055"/>
      <c r="WPM355" s="1054"/>
      <c r="WPN355" s="1055"/>
      <c r="WPO355" s="1054"/>
      <c r="WPP355" s="1055"/>
      <c r="WPQ355" s="1054"/>
      <c r="WPR355" s="1055"/>
      <c r="WPS355" s="1054"/>
      <c r="WPT355" s="1055"/>
      <c r="WPU355" s="1054"/>
      <c r="WPV355" s="1055"/>
      <c r="WPW355" s="1054"/>
      <c r="WPX355" s="1055"/>
      <c r="WPY355" s="1054"/>
      <c r="WPZ355" s="1055"/>
      <c r="WQA355" s="1054"/>
      <c r="WQB355" s="1055"/>
      <c r="WQC355" s="1054"/>
      <c r="WQD355" s="1055"/>
      <c r="WQE355" s="1054"/>
      <c r="WQF355" s="1055"/>
      <c r="WQG355" s="1054"/>
      <c r="WQH355" s="1055"/>
      <c r="WQI355" s="1054"/>
      <c r="WQJ355" s="1055"/>
      <c r="WQK355" s="1054"/>
      <c r="WQL355" s="1055"/>
      <c r="WQM355" s="1054"/>
      <c r="WQN355" s="1055"/>
      <c r="WQO355" s="1054"/>
      <c r="WQP355" s="1055"/>
      <c r="WQQ355" s="1054"/>
      <c r="WQR355" s="1055"/>
      <c r="WQS355" s="1054"/>
      <c r="WQT355" s="1055"/>
      <c r="WQU355" s="1054"/>
      <c r="WQV355" s="1055"/>
      <c r="WQW355" s="1054"/>
      <c r="WQX355" s="1055"/>
      <c r="WQY355" s="1054"/>
      <c r="WQZ355" s="1055"/>
      <c r="WRA355" s="1054"/>
      <c r="WRB355" s="1055"/>
      <c r="WRC355" s="1054"/>
      <c r="WRD355" s="1055"/>
      <c r="WRE355" s="1054"/>
      <c r="WRF355" s="1055"/>
      <c r="WRG355" s="1054"/>
      <c r="WRH355" s="1055"/>
      <c r="WRI355" s="1054"/>
      <c r="WRJ355" s="1055"/>
      <c r="WRK355" s="1054"/>
      <c r="WRL355" s="1055"/>
      <c r="WRM355" s="1054"/>
      <c r="WRN355" s="1055"/>
      <c r="WRO355" s="1054"/>
      <c r="WRP355" s="1055"/>
      <c r="WRQ355" s="1054"/>
      <c r="WRR355" s="1055"/>
      <c r="WRS355" s="1054"/>
      <c r="WRT355" s="1055"/>
      <c r="WRU355" s="1054"/>
      <c r="WRV355" s="1055"/>
      <c r="WRW355" s="1054"/>
      <c r="WRX355" s="1055"/>
      <c r="WRY355" s="1054"/>
      <c r="WRZ355" s="1055"/>
      <c r="WSA355" s="1054"/>
      <c r="WSB355" s="1055"/>
      <c r="WSC355" s="1054"/>
      <c r="WSD355" s="1055"/>
      <c r="WSE355" s="1054"/>
      <c r="WSF355" s="1055"/>
      <c r="WSG355" s="1054"/>
      <c r="WSH355" s="1055"/>
      <c r="WSI355" s="1054"/>
      <c r="WSJ355" s="1055"/>
      <c r="WSK355" s="1054"/>
      <c r="WSL355" s="1055"/>
      <c r="WSM355" s="1054"/>
      <c r="WSN355" s="1055"/>
      <c r="WSO355" s="1054"/>
      <c r="WSP355" s="1055"/>
      <c r="WSQ355" s="1054"/>
      <c r="WSR355" s="1055"/>
      <c r="WSS355" s="1054"/>
      <c r="WST355" s="1055"/>
      <c r="WSU355" s="1054"/>
      <c r="WSV355" s="1055"/>
      <c r="WSW355" s="1054"/>
      <c r="WSX355" s="1055"/>
      <c r="WSY355" s="1054"/>
      <c r="WSZ355" s="1055"/>
      <c r="WTA355" s="1054"/>
      <c r="WTB355" s="1055"/>
      <c r="WTC355" s="1054"/>
      <c r="WTD355" s="1055"/>
      <c r="WTE355" s="1054"/>
      <c r="WTF355" s="1055"/>
      <c r="WTG355" s="1054"/>
      <c r="WTH355" s="1055"/>
      <c r="WTI355" s="1054"/>
      <c r="WTJ355" s="1055"/>
      <c r="WTK355" s="1054"/>
      <c r="WTL355" s="1055"/>
      <c r="WTM355" s="1054"/>
      <c r="WTN355" s="1055"/>
      <c r="WTO355" s="1054"/>
      <c r="WTP355" s="1055"/>
      <c r="WTQ355" s="1054"/>
      <c r="WTR355" s="1055"/>
      <c r="WTS355" s="1054"/>
      <c r="WTT355" s="1055"/>
      <c r="WTU355" s="1054"/>
      <c r="WTV355" s="1055"/>
      <c r="WTW355" s="1054"/>
      <c r="WTX355" s="1055"/>
      <c r="WTY355" s="1054"/>
      <c r="WTZ355" s="1055"/>
      <c r="WUA355" s="1054"/>
      <c r="WUB355" s="1055"/>
      <c r="WUC355" s="1054"/>
      <c r="WUD355" s="1055"/>
      <c r="WUE355" s="1054"/>
      <c r="WUF355" s="1055"/>
      <c r="WUG355" s="1054"/>
      <c r="WUH355" s="1055"/>
      <c r="WUI355" s="1054"/>
      <c r="WUJ355" s="1055"/>
      <c r="WUK355" s="1054"/>
      <c r="WUL355" s="1055"/>
      <c r="WUM355" s="1054"/>
      <c r="WUN355" s="1055"/>
      <c r="WUO355" s="1054"/>
      <c r="WUP355" s="1055"/>
      <c r="WUQ355" s="1054"/>
      <c r="WUR355" s="1055"/>
      <c r="WUS355" s="1054"/>
      <c r="WUT355" s="1055"/>
      <c r="WUU355" s="1054"/>
      <c r="WUV355" s="1055"/>
      <c r="WUW355" s="1054"/>
      <c r="WUX355" s="1055"/>
      <c r="WUY355" s="1054"/>
      <c r="WUZ355" s="1055"/>
      <c r="WVA355" s="1054"/>
      <c r="WVB355" s="1055"/>
      <c r="WVC355" s="1054"/>
      <c r="WVD355" s="1055"/>
      <c r="WVE355" s="1054"/>
      <c r="WVF355" s="1055"/>
      <c r="WVG355" s="1054"/>
      <c r="WVH355" s="1055"/>
      <c r="WVI355" s="1054"/>
      <c r="WVJ355" s="1055"/>
      <c r="WVK355" s="1054"/>
      <c r="WVL355" s="1055"/>
      <c r="WVM355" s="1054"/>
      <c r="WVN355" s="1055"/>
      <c r="WVO355" s="1054"/>
      <c r="WVP355" s="1055"/>
      <c r="WVQ355" s="1054"/>
      <c r="WVR355" s="1055"/>
      <c r="WVS355" s="1054"/>
      <c r="WVT355" s="1055"/>
      <c r="WVU355" s="1054"/>
      <c r="WVV355" s="1055"/>
      <c r="WVW355" s="1054"/>
      <c r="WVX355" s="1055"/>
      <c r="WVY355" s="1054"/>
      <c r="WVZ355" s="1055"/>
      <c r="WWA355" s="1054"/>
      <c r="WWB355" s="1055"/>
      <c r="WWC355" s="1054"/>
      <c r="WWD355" s="1055"/>
      <c r="WWE355" s="1054"/>
      <c r="WWF355" s="1055"/>
      <c r="WWG355" s="1054"/>
      <c r="WWH355" s="1055"/>
      <c r="WWI355" s="1054"/>
      <c r="WWJ355" s="1055"/>
      <c r="WWK355" s="1054"/>
      <c r="WWL355" s="1055"/>
      <c r="WWM355" s="1054"/>
      <c r="WWN355" s="1055"/>
      <c r="WWO355" s="1054"/>
      <c r="WWP355" s="1055"/>
      <c r="WWQ355" s="1054"/>
      <c r="WWR355" s="1055"/>
      <c r="WWS355" s="1054"/>
      <c r="WWT355" s="1055"/>
      <c r="WWU355" s="1054"/>
      <c r="WWV355" s="1055"/>
      <c r="WWW355" s="1054"/>
      <c r="WWX355" s="1055"/>
      <c r="WWY355" s="1054"/>
      <c r="WWZ355" s="1055"/>
      <c r="WXA355" s="1054"/>
      <c r="WXB355" s="1055"/>
      <c r="WXC355" s="1054"/>
      <c r="WXD355" s="1055"/>
      <c r="WXE355" s="1054"/>
      <c r="WXF355" s="1055"/>
      <c r="WXG355" s="1054"/>
      <c r="WXH355" s="1055"/>
      <c r="WXI355" s="1054"/>
      <c r="WXJ355" s="1055"/>
      <c r="WXK355" s="1054"/>
      <c r="WXL355" s="1055"/>
      <c r="WXM355" s="1054"/>
      <c r="WXN355" s="1055"/>
      <c r="WXO355" s="1054"/>
      <c r="WXP355" s="1055"/>
      <c r="WXQ355" s="1054"/>
      <c r="WXR355" s="1055"/>
      <c r="WXS355" s="1054"/>
      <c r="WXT355" s="1055"/>
      <c r="WXU355" s="1054"/>
      <c r="WXV355" s="1055"/>
      <c r="WXW355" s="1054"/>
      <c r="WXX355" s="1055"/>
      <c r="WXY355" s="1054"/>
      <c r="WXZ355" s="1055"/>
      <c r="WYA355" s="1054"/>
      <c r="WYB355" s="1055"/>
      <c r="WYC355" s="1054"/>
      <c r="WYD355" s="1055"/>
      <c r="WYE355" s="1054"/>
      <c r="WYF355" s="1055"/>
      <c r="WYG355" s="1054"/>
      <c r="WYH355" s="1055"/>
      <c r="WYI355" s="1054"/>
      <c r="WYJ355" s="1055"/>
      <c r="WYK355" s="1054"/>
      <c r="WYL355" s="1055"/>
      <c r="WYM355" s="1054"/>
      <c r="WYN355" s="1055"/>
      <c r="WYO355" s="1054"/>
      <c r="WYP355" s="1055"/>
      <c r="WYQ355" s="1054"/>
      <c r="WYR355" s="1055"/>
      <c r="WYS355" s="1054"/>
      <c r="WYT355" s="1055"/>
      <c r="WYU355" s="1054"/>
      <c r="WYV355" s="1055"/>
      <c r="WYW355" s="1054"/>
      <c r="WYX355" s="1055"/>
      <c r="WYY355" s="1054"/>
      <c r="WYZ355" s="1055"/>
      <c r="WZA355" s="1054"/>
      <c r="WZB355" s="1055"/>
      <c r="WZC355" s="1054"/>
      <c r="WZD355" s="1055"/>
      <c r="WZE355" s="1054"/>
      <c r="WZF355" s="1055"/>
      <c r="WZG355" s="1054"/>
      <c r="WZH355" s="1055"/>
      <c r="WZI355" s="1054"/>
      <c r="WZJ355" s="1055"/>
      <c r="WZK355" s="1054"/>
      <c r="WZL355" s="1055"/>
      <c r="WZM355" s="1054"/>
      <c r="WZN355" s="1055"/>
      <c r="WZO355" s="1054"/>
      <c r="WZP355" s="1055"/>
      <c r="WZQ355" s="1054"/>
      <c r="WZR355" s="1055"/>
      <c r="WZS355" s="1054"/>
      <c r="WZT355" s="1055"/>
      <c r="WZU355" s="1054"/>
      <c r="WZV355" s="1055"/>
      <c r="WZW355" s="1054"/>
      <c r="WZX355" s="1055"/>
      <c r="WZY355" s="1054"/>
      <c r="WZZ355" s="1055"/>
      <c r="XAA355" s="1054"/>
      <c r="XAB355" s="1055"/>
      <c r="XAC355" s="1054"/>
      <c r="XAD355" s="1055"/>
      <c r="XAE355" s="1054"/>
      <c r="XAF355" s="1055"/>
      <c r="XAG355" s="1054"/>
      <c r="XAH355" s="1055"/>
      <c r="XAI355" s="1054"/>
      <c r="XAJ355" s="1055"/>
      <c r="XAK355" s="1054"/>
      <c r="XAL355" s="1055"/>
      <c r="XAM355" s="1054"/>
      <c r="XAN355" s="1055"/>
      <c r="XAO355" s="1054"/>
      <c r="XAP355" s="1055"/>
      <c r="XAQ355" s="1054"/>
      <c r="XAR355" s="1055"/>
      <c r="XAS355" s="1054"/>
      <c r="XAT355" s="1055"/>
      <c r="XAU355" s="1054"/>
      <c r="XAV355" s="1055"/>
      <c r="XAW355" s="1054"/>
      <c r="XAX355" s="1055"/>
      <c r="XAY355" s="1054"/>
      <c r="XAZ355" s="1055"/>
      <c r="XBA355" s="1054"/>
      <c r="XBB355" s="1055"/>
      <c r="XBC355" s="1054"/>
      <c r="XBD355" s="1055"/>
      <c r="XBE355" s="1054"/>
      <c r="XBF355" s="1055"/>
      <c r="XBG355" s="1054"/>
      <c r="XBH355" s="1055"/>
      <c r="XBI355" s="1054"/>
      <c r="XBJ355" s="1055"/>
      <c r="XBK355" s="1054"/>
      <c r="XBL355" s="1055"/>
      <c r="XBM355" s="1054"/>
      <c r="XBN355" s="1055"/>
      <c r="XBO355" s="1054"/>
      <c r="XBP355" s="1055"/>
      <c r="XBQ355" s="1054"/>
      <c r="XBR355" s="1055"/>
      <c r="XBS355" s="1054"/>
      <c r="XBT355" s="1055"/>
      <c r="XBU355" s="1054"/>
      <c r="XBV355" s="1055"/>
      <c r="XBW355" s="1054"/>
      <c r="XBX355" s="1055"/>
      <c r="XBY355" s="1054"/>
      <c r="XBZ355" s="1055"/>
      <c r="XCA355" s="1054"/>
      <c r="XCB355" s="1055"/>
      <c r="XCC355" s="1054"/>
      <c r="XCD355" s="1055"/>
      <c r="XCE355" s="1054"/>
      <c r="XCF355" s="1055"/>
      <c r="XCG355" s="1054"/>
      <c r="XCH355" s="1055"/>
      <c r="XCI355" s="1054"/>
      <c r="XCJ355" s="1055"/>
      <c r="XCK355" s="1054"/>
      <c r="XCL355" s="1055"/>
      <c r="XCM355" s="1054"/>
      <c r="XCN355" s="1055"/>
      <c r="XCO355" s="1054"/>
      <c r="XCP355" s="1055"/>
      <c r="XCQ355" s="1054"/>
      <c r="XCR355" s="1055"/>
      <c r="XCS355" s="1054"/>
      <c r="XCT355" s="1055"/>
      <c r="XCU355" s="1054"/>
      <c r="XCV355" s="1055"/>
      <c r="XCW355" s="1054"/>
      <c r="XCX355" s="1055"/>
      <c r="XCY355" s="1054"/>
      <c r="XCZ355" s="1055"/>
      <c r="XDA355" s="1054"/>
      <c r="XDB355" s="1055"/>
      <c r="XDC355" s="1054"/>
      <c r="XDD355" s="1055"/>
      <c r="XDE355" s="1054"/>
      <c r="XDF355" s="1055"/>
      <c r="XDG355" s="1054"/>
      <c r="XDH355" s="1055"/>
      <c r="XDI355" s="1054"/>
      <c r="XDJ355" s="1055"/>
      <c r="XDK355" s="1054"/>
      <c r="XDL355" s="1055"/>
      <c r="XDM355" s="1054"/>
      <c r="XDN355" s="1055"/>
      <c r="XDO355" s="1054"/>
      <c r="XDP355" s="1055"/>
      <c r="XDQ355" s="1054"/>
      <c r="XDR355" s="1055"/>
      <c r="XDS355" s="1054"/>
      <c r="XDT355" s="1055"/>
      <c r="XDU355" s="1054"/>
      <c r="XDV355" s="1055"/>
      <c r="XDW355" s="1054"/>
      <c r="XDX355" s="1055"/>
      <c r="XDY355" s="1054"/>
      <c r="XDZ355" s="1055"/>
      <c r="XEA355" s="1054"/>
      <c r="XEB355" s="1055"/>
      <c r="XEC355" s="1054"/>
      <c r="XED355" s="1055"/>
      <c r="XEE355" s="1054"/>
      <c r="XEF355" s="1055"/>
      <c r="XEG355" s="1054"/>
      <c r="XEH355" s="1055"/>
      <c r="XEI355" s="1054"/>
      <c r="XEJ355" s="1055"/>
      <c r="XEK355" s="1054"/>
      <c r="XEL355" s="1055"/>
      <c r="XEM355" s="1054"/>
      <c r="XEN355" s="1055"/>
      <c r="XEO355" s="1054"/>
      <c r="XEP355" s="1055"/>
      <c r="XEQ355" s="1054"/>
      <c r="XER355" s="1055"/>
      <c r="XES355" s="1054"/>
      <c r="XET355" s="1055"/>
      <c r="XEU355" s="1054"/>
      <c r="XEV355" s="1055"/>
      <c r="XEW355" s="1054"/>
      <c r="XEX355" s="1055"/>
      <c r="XEY355" s="1054"/>
      <c r="XEZ355" s="1055"/>
      <c r="XFA355" s="1054"/>
      <c r="XFB355" s="1055"/>
      <c r="XFC355" s="1054"/>
      <c r="XFD355" s="1055"/>
    </row>
    <row r="356" spans="1:16384" ht="15" x14ac:dyDescent="0.25">
      <c r="A356" s="849"/>
      <c r="B356" s="182"/>
      <c r="C356" s="219"/>
      <c r="D356" s="219"/>
    </row>
    <row r="357" spans="1:16384" ht="15" x14ac:dyDescent="0.25">
      <c r="A357" s="862"/>
      <c r="B357" s="182"/>
      <c r="C357" s="219"/>
      <c r="D357" s="219"/>
    </row>
    <row r="358" spans="1:16384" s="864" customFormat="1" ht="15" x14ac:dyDescent="0.25">
      <c r="A358" s="1051" t="s">
        <v>2174</v>
      </c>
      <c r="B358" s="1051"/>
      <c r="C358" s="1051"/>
      <c r="D358" s="1051"/>
      <c r="E358" s="1051"/>
      <c r="F358" s="1051"/>
      <c r="G358" s="863"/>
    </row>
    <row r="359" spans="1:16384" s="864" customFormat="1" ht="15" x14ac:dyDescent="0.25">
      <c r="A359" s="1051" t="s">
        <v>2175</v>
      </c>
      <c r="B359" s="1051"/>
      <c r="C359" s="1051"/>
      <c r="D359" s="1051"/>
      <c r="E359" s="1051"/>
      <c r="F359" s="1051"/>
      <c r="G359" s="863"/>
    </row>
    <row r="360" spans="1:16384" s="864" customFormat="1" ht="15" x14ac:dyDescent="0.25">
      <c r="A360" s="865"/>
      <c r="B360" s="866"/>
      <c r="C360" s="866"/>
      <c r="D360" s="866"/>
      <c r="E360" s="867"/>
      <c r="F360" s="866"/>
      <c r="G360" s="863"/>
    </row>
    <row r="361" spans="1:16384" s="864" customFormat="1" ht="15" x14ac:dyDescent="0.25">
      <c r="A361" s="1051" t="s">
        <v>2176</v>
      </c>
      <c r="B361" s="1051"/>
      <c r="C361" s="1051"/>
      <c r="D361" s="1051"/>
      <c r="E361" s="1051"/>
      <c r="F361" s="1051"/>
      <c r="G361" s="863"/>
    </row>
    <row r="362" spans="1:16384" s="864" customFormat="1" ht="15" x14ac:dyDescent="0.25">
      <c r="A362" s="1051" t="s">
        <v>2177</v>
      </c>
      <c r="B362" s="1051"/>
      <c r="C362" s="1051"/>
      <c r="D362" s="1051"/>
      <c r="E362" s="1051"/>
      <c r="F362" s="1051"/>
      <c r="G362" s="863"/>
    </row>
    <row r="363" spans="1:16384" ht="15" x14ac:dyDescent="0.25">
      <c r="A363" s="910"/>
      <c r="B363" s="182"/>
      <c r="C363" s="219"/>
      <c r="D363" s="219"/>
    </row>
    <row r="364" spans="1:16384" ht="15" x14ac:dyDescent="0.25">
      <c r="A364" s="910"/>
      <c r="B364" s="182"/>
      <c r="C364" s="219"/>
      <c r="D364" s="219"/>
    </row>
    <row r="365" spans="1:16384" ht="15" x14ac:dyDescent="0.25">
      <c r="A365" s="821"/>
      <c r="B365"/>
    </row>
    <row r="367" spans="1:16384" x14ac:dyDescent="0.25">
      <c r="A367" s="822"/>
      <c r="B367" s="822"/>
    </row>
    <row r="368" spans="1:16384" ht="24" x14ac:dyDescent="0.2">
      <c r="A368" s="721" t="s">
        <v>1834</v>
      </c>
      <c r="B368" s="722" t="s">
        <v>1830</v>
      </c>
    </row>
    <row r="369" spans="1:2" x14ac:dyDescent="0.2">
      <c r="A369" s="721" t="s">
        <v>1831</v>
      </c>
      <c r="B369" s="722" t="s">
        <v>1832</v>
      </c>
    </row>
    <row r="370" spans="1:2" x14ac:dyDescent="0.25">
      <c r="A370" s="822"/>
      <c r="B370" s="822"/>
    </row>
    <row r="371" spans="1:2" x14ac:dyDescent="0.2">
      <c r="A371" s="719" t="s">
        <v>1833</v>
      </c>
      <c r="B371" s="822"/>
    </row>
    <row r="372" spans="1:2" x14ac:dyDescent="0.2">
      <c r="A372" s="720" t="s">
        <v>1970</v>
      </c>
      <c r="B372" s="822"/>
    </row>
  </sheetData>
  <mergeCells count="8422">
    <mergeCell ref="A112:B112"/>
    <mergeCell ref="A111:B111"/>
    <mergeCell ref="A110:B110"/>
    <mergeCell ref="A109:B109"/>
    <mergeCell ref="L103:M103"/>
    <mergeCell ref="L104:M104"/>
    <mergeCell ref="L105:M105"/>
    <mergeCell ref="A105:E105"/>
    <mergeCell ref="F105:H105"/>
    <mergeCell ref="I105:J105"/>
    <mergeCell ref="A103:E103"/>
    <mergeCell ref="F103:H103"/>
    <mergeCell ref="I103:J103"/>
    <mergeCell ref="A104:E104"/>
    <mergeCell ref="F104:H104"/>
    <mergeCell ref="I104:J104"/>
    <mergeCell ref="L99:M99"/>
    <mergeCell ref="A100:E100"/>
    <mergeCell ref="F100:H100"/>
    <mergeCell ref="I100:J100"/>
    <mergeCell ref="L100:M100"/>
    <mergeCell ref="L101:M101"/>
    <mergeCell ref="A102:E102"/>
    <mergeCell ref="I102:J102"/>
    <mergeCell ref="L102:M102"/>
    <mergeCell ref="C50:G50"/>
    <mergeCell ref="D43:F43"/>
    <mergeCell ref="D44:F44"/>
    <mergeCell ref="D45:F45"/>
    <mergeCell ref="D46:F46"/>
    <mergeCell ref="C48:O48"/>
    <mergeCell ref="C52:P52"/>
    <mergeCell ref="C53:P53"/>
    <mergeCell ref="C54:P54"/>
    <mergeCell ref="A61:P61"/>
    <mergeCell ref="F63:L63"/>
    <mergeCell ref="A101:E101"/>
    <mergeCell ref="F101:H101"/>
    <mergeCell ref="I101:J101"/>
    <mergeCell ref="L78:M78"/>
    <mergeCell ref="A80:C80"/>
    <mergeCell ref="A82:P86"/>
    <mergeCell ref="A88:C88"/>
    <mergeCell ref="A90:P94"/>
    <mergeCell ref="A96:E96"/>
    <mergeCell ref="F96:H96"/>
    <mergeCell ref="I96:J96"/>
    <mergeCell ref="L96:M96"/>
    <mergeCell ref="A98:E98"/>
    <mergeCell ref="F98:H98"/>
    <mergeCell ref="I98:J98"/>
    <mergeCell ref="L98:M98"/>
    <mergeCell ref="A99:E99"/>
    <mergeCell ref="F99:H99"/>
    <mergeCell ref="I99:J99"/>
    <mergeCell ref="D35:F37"/>
    <mergeCell ref="G35:G37"/>
    <mergeCell ref="H35:J35"/>
    <mergeCell ref="A10:C10"/>
    <mergeCell ref="D10:J10"/>
    <mergeCell ref="A12:C12"/>
    <mergeCell ref="A6:C6"/>
    <mergeCell ref="A8:C8"/>
    <mergeCell ref="D8:J8"/>
    <mergeCell ref="A4:Q4"/>
    <mergeCell ref="O6:Q6"/>
    <mergeCell ref="L8:N8"/>
    <mergeCell ref="O8:Q8"/>
    <mergeCell ref="L10:M10"/>
    <mergeCell ref="N10:Q10"/>
    <mergeCell ref="D12:Q12"/>
    <mergeCell ref="A20:C20"/>
    <mergeCell ref="A22:C22"/>
    <mergeCell ref="A24:C24"/>
    <mergeCell ref="A14:C14"/>
    <mergeCell ref="A16:C18"/>
    <mergeCell ref="H16:I17"/>
    <mergeCell ref="D18:G18"/>
    <mergeCell ref="H18:I18"/>
    <mergeCell ref="D14:Q14"/>
    <mergeCell ref="D16:G17"/>
    <mergeCell ref="J16:N16"/>
    <mergeCell ref="O16:Q16"/>
    <mergeCell ref="J18:L18"/>
    <mergeCell ref="P18:Q18"/>
    <mergeCell ref="P22:Q22"/>
    <mergeCell ref="D24:Q24"/>
    <mergeCell ref="A172:B172"/>
    <mergeCell ref="A173:B173"/>
    <mergeCell ref="A174:B174"/>
    <mergeCell ref="A176:B176"/>
    <mergeCell ref="A178:B178"/>
    <mergeCell ref="A180:B180"/>
    <mergeCell ref="D26:Q26"/>
    <mergeCell ref="O28:P28"/>
    <mergeCell ref="I30:M30"/>
    <mergeCell ref="N30:P30"/>
    <mergeCell ref="L35:N35"/>
    <mergeCell ref="P35:P37"/>
    <mergeCell ref="N36:N37"/>
    <mergeCell ref="C42:O42"/>
    <mergeCell ref="A30:C30"/>
    <mergeCell ref="D30:G30"/>
    <mergeCell ref="A33:C33"/>
    <mergeCell ref="D33:G33"/>
    <mergeCell ref="A26:C26"/>
    <mergeCell ref="A28:C28"/>
    <mergeCell ref="D28:G28"/>
    <mergeCell ref="A38:C38"/>
    <mergeCell ref="D38:F38"/>
    <mergeCell ref="A39:C39"/>
    <mergeCell ref="A40:C40"/>
    <mergeCell ref="O35:O37"/>
    <mergeCell ref="H36:H37"/>
    <mergeCell ref="I36:I37"/>
    <mergeCell ref="J36:J37"/>
    <mergeCell ref="L36:L37"/>
    <mergeCell ref="M36:M37"/>
    <mergeCell ref="A35:C37"/>
    <mergeCell ref="A120:B120"/>
    <mergeCell ref="A140:B140"/>
    <mergeCell ref="A141:B141"/>
    <mergeCell ref="A142:B142"/>
    <mergeCell ref="A143:B143"/>
    <mergeCell ref="A144:B144"/>
    <mergeCell ref="A145:B145"/>
    <mergeCell ref="A149:B149"/>
    <mergeCell ref="A153:B153"/>
    <mergeCell ref="A157:B157"/>
    <mergeCell ref="A159:B159"/>
    <mergeCell ref="A161:B161"/>
    <mergeCell ref="A162:B162"/>
    <mergeCell ref="A164:B164"/>
    <mergeCell ref="A166:B166"/>
    <mergeCell ref="A168:B168"/>
    <mergeCell ref="A170:B170"/>
    <mergeCell ref="A201:B201"/>
    <mergeCell ref="A205:B205"/>
    <mergeCell ref="A203:B203"/>
    <mergeCell ref="A207:B207"/>
    <mergeCell ref="A209:B209"/>
    <mergeCell ref="A211:B211"/>
    <mergeCell ref="A213:B213"/>
    <mergeCell ref="A215:B215"/>
    <mergeCell ref="A217:B217"/>
    <mergeCell ref="A182:B182"/>
    <mergeCell ref="A185:B185"/>
    <mergeCell ref="A187:B187"/>
    <mergeCell ref="A189:B189"/>
    <mergeCell ref="A191:B191"/>
    <mergeCell ref="A193:B193"/>
    <mergeCell ref="A195:B195"/>
    <mergeCell ref="A197:B197"/>
    <mergeCell ref="A199:B199"/>
    <mergeCell ref="A237:B237"/>
    <mergeCell ref="A239:B239"/>
    <mergeCell ref="A241:B241"/>
    <mergeCell ref="A251:B251"/>
    <mergeCell ref="A253:B253"/>
    <mergeCell ref="A255:B255"/>
    <mergeCell ref="A258:B258"/>
    <mergeCell ref="A260:B260"/>
    <mergeCell ref="A262:B262"/>
    <mergeCell ref="A219:B219"/>
    <mergeCell ref="A221:B221"/>
    <mergeCell ref="A223:B223"/>
    <mergeCell ref="A225:B225"/>
    <mergeCell ref="A227:B227"/>
    <mergeCell ref="A229:B229"/>
    <mergeCell ref="A231:B231"/>
    <mergeCell ref="A233:B233"/>
    <mergeCell ref="A235:B235"/>
    <mergeCell ref="A282:B282"/>
    <mergeCell ref="A284:B284"/>
    <mergeCell ref="A286:B286"/>
    <mergeCell ref="A288:B288"/>
    <mergeCell ref="A290:B290"/>
    <mergeCell ref="A292:B292"/>
    <mergeCell ref="A294:B294"/>
    <mergeCell ref="A296:B296"/>
    <mergeCell ref="A298:B298"/>
    <mergeCell ref="A264:B264"/>
    <mergeCell ref="A266:B266"/>
    <mergeCell ref="A268:B268"/>
    <mergeCell ref="A270:B270"/>
    <mergeCell ref="A272:B272"/>
    <mergeCell ref="A274:B274"/>
    <mergeCell ref="A276:B276"/>
    <mergeCell ref="A278:B278"/>
    <mergeCell ref="A280:B280"/>
    <mergeCell ref="A318:B318"/>
    <mergeCell ref="A320:B320"/>
    <mergeCell ref="A322:B322"/>
    <mergeCell ref="A324:B324"/>
    <mergeCell ref="A326:B326"/>
    <mergeCell ref="A328:B328"/>
    <mergeCell ref="A330:B330"/>
    <mergeCell ref="A332:B332"/>
    <mergeCell ref="A334:B334"/>
    <mergeCell ref="A300:B300"/>
    <mergeCell ref="A302:B302"/>
    <mergeCell ref="A304:B304"/>
    <mergeCell ref="A306:B306"/>
    <mergeCell ref="A308:B308"/>
    <mergeCell ref="A310:B310"/>
    <mergeCell ref="A312:B312"/>
    <mergeCell ref="A314:B314"/>
    <mergeCell ref="A316:B316"/>
    <mergeCell ref="M355:N355"/>
    <mergeCell ref="O355:P355"/>
    <mergeCell ref="Q355:R355"/>
    <mergeCell ref="S355:T355"/>
    <mergeCell ref="U355:V355"/>
    <mergeCell ref="W355:X355"/>
    <mergeCell ref="Y355:Z355"/>
    <mergeCell ref="AA355:AB355"/>
    <mergeCell ref="AC355:AD355"/>
    <mergeCell ref="A336:B336"/>
    <mergeCell ref="A338:B338"/>
    <mergeCell ref="A340:B340"/>
    <mergeCell ref="A355:B355"/>
    <mergeCell ref="C355:D355"/>
    <mergeCell ref="E355:F355"/>
    <mergeCell ref="G355:H355"/>
    <mergeCell ref="I355:J355"/>
    <mergeCell ref="K355:L355"/>
    <mergeCell ref="A342:B342"/>
    <mergeCell ref="A344:B344"/>
    <mergeCell ref="A346:B346"/>
    <mergeCell ref="A348:B348"/>
    <mergeCell ref="A350:B350"/>
    <mergeCell ref="A352:B352"/>
    <mergeCell ref="A353:B353"/>
    <mergeCell ref="A354:B354"/>
    <mergeCell ref="AW355:AX355"/>
    <mergeCell ref="AY355:AZ355"/>
    <mergeCell ref="BA355:BB355"/>
    <mergeCell ref="BC355:BD355"/>
    <mergeCell ref="BE355:BF355"/>
    <mergeCell ref="BG355:BH355"/>
    <mergeCell ref="BI355:BJ355"/>
    <mergeCell ref="BK355:BL355"/>
    <mergeCell ref="BM355:BN355"/>
    <mergeCell ref="AE355:AF355"/>
    <mergeCell ref="AG355:AH355"/>
    <mergeCell ref="AI355:AJ355"/>
    <mergeCell ref="AK355:AL355"/>
    <mergeCell ref="AM355:AN355"/>
    <mergeCell ref="AO355:AP355"/>
    <mergeCell ref="AQ355:AR355"/>
    <mergeCell ref="AS355:AT355"/>
    <mergeCell ref="AU355:AV355"/>
    <mergeCell ref="CG355:CH355"/>
    <mergeCell ref="CI355:CJ355"/>
    <mergeCell ref="CK355:CL355"/>
    <mergeCell ref="CM355:CN355"/>
    <mergeCell ref="CO355:CP355"/>
    <mergeCell ref="CQ355:CR355"/>
    <mergeCell ref="CS355:CT355"/>
    <mergeCell ref="CU355:CV355"/>
    <mergeCell ref="CW355:CX355"/>
    <mergeCell ref="BO355:BP355"/>
    <mergeCell ref="BQ355:BR355"/>
    <mergeCell ref="BS355:BT355"/>
    <mergeCell ref="BU355:BV355"/>
    <mergeCell ref="BW355:BX355"/>
    <mergeCell ref="BY355:BZ355"/>
    <mergeCell ref="CA355:CB355"/>
    <mergeCell ref="CC355:CD355"/>
    <mergeCell ref="CE355:CF355"/>
    <mergeCell ref="DQ355:DR355"/>
    <mergeCell ref="DS355:DT355"/>
    <mergeCell ref="DU355:DV355"/>
    <mergeCell ref="DW355:DX355"/>
    <mergeCell ref="DY355:DZ355"/>
    <mergeCell ref="EA355:EB355"/>
    <mergeCell ref="EC355:ED355"/>
    <mergeCell ref="EE355:EF355"/>
    <mergeCell ref="EG355:EH355"/>
    <mergeCell ref="CY355:CZ355"/>
    <mergeCell ref="DA355:DB355"/>
    <mergeCell ref="DC355:DD355"/>
    <mergeCell ref="DE355:DF355"/>
    <mergeCell ref="DG355:DH355"/>
    <mergeCell ref="DI355:DJ355"/>
    <mergeCell ref="DK355:DL355"/>
    <mergeCell ref="DM355:DN355"/>
    <mergeCell ref="DO355:DP355"/>
    <mergeCell ref="FA355:FB355"/>
    <mergeCell ref="FC355:FD355"/>
    <mergeCell ref="FE355:FF355"/>
    <mergeCell ref="FG355:FH355"/>
    <mergeCell ref="FI355:FJ355"/>
    <mergeCell ref="FK355:FL355"/>
    <mergeCell ref="FM355:FN355"/>
    <mergeCell ref="FO355:FP355"/>
    <mergeCell ref="FQ355:FR355"/>
    <mergeCell ref="EI355:EJ355"/>
    <mergeCell ref="EK355:EL355"/>
    <mergeCell ref="EM355:EN355"/>
    <mergeCell ref="EO355:EP355"/>
    <mergeCell ref="EQ355:ER355"/>
    <mergeCell ref="ES355:ET355"/>
    <mergeCell ref="EU355:EV355"/>
    <mergeCell ref="EW355:EX355"/>
    <mergeCell ref="EY355:EZ355"/>
    <mergeCell ref="GK355:GL355"/>
    <mergeCell ref="GM355:GN355"/>
    <mergeCell ref="GO355:GP355"/>
    <mergeCell ref="GQ355:GR355"/>
    <mergeCell ref="GS355:GT355"/>
    <mergeCell ref="GU355:GV355"/>
    <mergeCell ref="GW355:GX355"/>
    <mergeCell ref="GY355:GZ355"/>
    <mergeCell ref="HA355:HB355"/>
    <mergeCell ref="FS355:FT355"/>
    <mergeCell ref="FU355:FV355"/>
    <mergeCell ref="FW355:FX355"/>
    <mergeCell ref="FY355:FZ355"/>
    <mergeCell ref="GA355:GB355"/>
    <mergeCell ref="GC355:GD355"/>
    <mergeCell ref="GE355:GF355"/>
    <mergeCell ref="GG355:GH355"/>
    <mergeCell ref="GI355:GJ355"/>
    <mergeCell ref="HU355:HV355"/>
    <mergeCell ref="HW355:HX355"/>
    <mergeCell ref="HY355:HZ355"/>
    <mergeCell ref="IA355:IB355"/>
    <mergeCell ref="IC355:ID355"/>
    <mergeCell ref="IE355:IF355"/>
    <mergeCell ref="IG355:IH355"/>
    <mergeCell ref="II355:IJ355"/>
    <mergeCell ref="IK355:IL355"/>
    <mergeCell ref="HC355:HD355"/>
    <mergeCell ref="HE355:HF355"/>
    <mergeCell ref="HG355:HH355"/>
    <mergeCell ref="HI355:HJ355"/>
    <mergeCell ref="HK355:HL355"/>
    <mergeCell ref="HM355:HN355"/>
    <mergeCell ref="HO355:HP355"/>
    <mergeCell ref="HQ355:HR355"/>
    <mergeCell ref="HS355:HT355"/>
    <mergeCell ref="JE355:JF355"/>
    <mergeCell ref="JG355:JH355"/>
    <mergeCell ref="JI355:JJ355"/>
    <mergeCell ref="JK355:JL355"/>
    <mergeCell ref="JM355:JN355"/>
    <mergeCell ref="JO355:JP355"/>
    <mergeCell ref="JQ355:JR355"/>
    <mergeCell ref="JS355:JT355"/>
    <mergeCell ref="JU355:JV355"/>
    <mergeCell ref="IM355:IN355"/>
    <mergeCell ref="IO355:IP355"/>
    <mergeCell ref="IQ355:IR355"/>
    <mergeCell ref="IS355:IT355"/>
    <mergeCell ref="IU355:IV355"/>
    <mergeCell ref="IW355:IX355"/>
    <mergeCell ref="IY355:IZ355"/>
    <mergeCell ref="JA355:JB355"/>
    <mergeCell ref="JC355:JD355"/>
    <mergeCell ref="KO355:KP355"/>
    <mergeCell ref="KQ355:KR355"/>
    <mergeCell ref="KS355:KT355"/>
    <mergeCell ref="KU355:KV355"/>
    <mergeCell ref="KW355:KX355"/>
    <mergeCell ref="KY355:KZ355"/>
    <mergeCell ref="LA355:LB355"/>
    <mergeCell ref="LC355:LD355"/>
    <mergeCell ref="LE355:LF355"/>
    <mergeCell ref="JW355:JX355"/>
    <mergeCell ref="JY355:JZ355"/>
    <mergeCell ref="KA355:KB355"/>
    <mergeCell ref="KC355:KD355"/>
    <mergeCell ref="KE355:KF355"/>
    <mergeCell ref="KG355:KH355"/>
    <mergeCell ref="KI355:KJ355"/>
    <mergeCell ref="KK355:KL355"/>
    <mergeCell ref="KM355:KN355"/>
    <mergeCell ref="LY355:LZ355"/>
    <mergeCell ref="MA355:MB355"/>
    <mergeCell ref="MC355:MD355"/>
    <mergeCell ref="ME355:MF355"/>
    <mergeCell ref="MG355:MH355"/>
    <mergeCell ref="MI355:MJ355"/>
    <mergeCell ref="MK355:ML355"/>
    <mergeCell ref="MM355:MN355"/>
    <mergeCell ref="MO355:MP355"/>
    <mergeCell ref="LG355:LH355"/>
    <mergeCell ref="LI355:LJ355"/>
    <mergeCell ref="LK355:LL355"/>
    <mergeCell ref="LM355:LN355"/>
    <mergeCell ref="LO355:LP355"/>
    <mergeCell ref="LQ355:LR355"/>
    <mergeCell ref="LS355:LT355"/>
    <mergeCell ref="LU355:LV355"/>
    <mergeCell ref="LW355:LX355"/>
    <mergeCell ref="NI355:NJ355"/>
    <mergeCell ref="NK355:NL355"/>
    <mergeCell ref="NM355:NN355"/>
    <mergeCell ref="NO355:NP355"/>
    <mergeCell ref="NQ355:NR355"/>
    <mergeCell ref="NS355:NT355"/>
    <mergeCell ref="NU355:NV355"/>
    <mergeCell ref="NW355:NX355"/>
    <mergeCell ref="NY355:NZ355"/>
    <mergeCell ref="MQ355:MR355"/>
    <mergeCell ref="MS355:MT355"/>
    <mergeCell ref="MU355:MV355"/>
    <mergeCell ref="MW355:MX355"/>
    <mergeCell ref="MY355:MZ355"/>
    <mergeCell ref="NA355:NB355"/>
    <mergeCell ref="NC355:ND355"/>
    <mergeCell ref="NE355:NF355"/>
    <mergeCell ref="NG355:NH355"/>
    <mergeCell ref="OS355:OT355"/>
    <mergeCell ref="OU355:OV355"/>
    <mergeCell ref="OW355:OX355"/>
    <mergeCell ref="OY355:OZ355"/>
    <mergeCell ref="PA355:PB355"/>
    <mergeCell ref="PC355:PD355"/>
    <mergeCell ref="PE355:PF355"/>
    <mergeCell ref="PG355:PH355"/>
    <mergeCell ref="PI355:PJ355"/>
    <mergeCell ref="OA355:OB355"/>
    <mergeCell ref="OC355:OD355"/>
    <mergeCell ref="OE355:OF355"/>
    <mergeCell ref="OG355:OH355"/>
    <mergeCell ref="OI355:OJ355"/>
    <mergeCell ref="OK355:OL355"/>
    <mergeCell ref="OM355:ON355"/>
    <mergeCell ref="OO355:OP355"/>
    <mergeCell ref="OQ355:OR355"/>
    <mergeCell ref="QC355:QD355"/>
    <mergeCell ref="QE355:QF355"/>
    <mergeCell ref="QG355:QH355"/>
    <mergeCell ref="QI355:QJ355"/>
    <mergeCell ref="QK355:QL355"/>
    <mergeCell ref="QM355:QN355"/>
    <mergeCell ref="QO355:QP355"/>
    <mergeCell ref="QQ355:QR355"/>
    <mergeCell ref="QS355:QT355"/>
    <mergeCell ref="PK355:PL355"/>
    <mergeCell ref="PM355:PN355"/>
    <mergeCell ref="PO355:PP355"/>
    <mergeCell ref="PQ355:PR355"/>
    <mergeCell ref="PS355:PT355"/>
    <mergeCell ref="PU355:PV355"/>
    <mergeCell ref="PW355:PX355"/>
    <mergeCell ref="PY355:PZ355"/>
    <mergeCell ref="QA355:QB355"/>
    <mergeCell ref="RM355:RN355"/>
    <mergeCell ref="RO355:RP355"/>
    <mergeCell ref="RQ355:RR355"/>
    <mergeCell ref="RS355:RT355"/>
    <mergeCell ref="RU355:RV355"/>
    <mergeCell ref="RW355:RX355"/>
    <mergeCell ref="RY355:RZ355"/>
    <mergeCell ref="SA355:SB355"/>
    <mergeCell ref="SC355:SD355"/>
    <mergeCell ref="QU355:QV355"/>
    <mergeCell ref="QW355:QX355"/>
    <mergeCell ref="QY355:QZ355"/>
    <mergeCell ref="RA355:RB355"/>
    <mergeCell ref="RC355:RD355"/>
    <mergeCell ref="RE355:RF355"/>
    <mergeCell ref="RG355:RH355"/>
    <mergeCell ref="RI355:RJ355"/>
    <mergeCell ref="RK355:RL355"/>
    <mergeCell ref="SW355:SX355"/>
    <mergeCell ref="SY355:SZ355"/>
    <mergeCell ref="TA355:TB355"/>
    <mergeCell ref="TC355:TD355"/>
    <mergeCell ref="TE355:TF355"/>
    <mergeCell ref="TG355:TH355"/>
    <mergeCell ref="TI355:TJ355"/>
    <mergeCell ref="TK355:TL355"/>
    <mergeCell ref="TM355:TN355"/>
    <mergeCell ref="SE355:SF355"/>
    <mergeCell ref="SG355:SH355"/>
    <mergeCell ref="SI355:SJ355"/>
    <mergeCell ref="SK355:SL355"/>
    <mergeCell ref="SM355:SN355"/>
    <mergeCell ref="SO355:SP355"/>
    <mergeCell ref="SQ355:SR355"/>
    <mergeCell ref="SS355:ST355"/>
    <mergeCell ref="SU355:SV355"/>
    <mergeCell ref="UG355:UH355"/>
    <mergeCell ref="UI355:UJ355"/>
    <mergeCell ref="UK355:UL355"/>
    <mergeCell ref="UM355:UN355"/>
    <mergeCell ref="UO355:UP355"/>
    <mergeCell ref="UQ355:UR355"/>
    <mergeCell ref="US355:UT355"/>
    <mergeCell ref="UU355:UV355"/>
    <mergeCell ref="UW355:UX355"/>
    <mergeCell ref="TO355:TP355"/>
    <mergeCell ref="TQ355:TR355"/>
    <mergeCell ref="TS355:TT355"/>
    <mergeCell ref="TU355:TV355"/>
    <mergeCell ref="TW355:TX355"/>
    <mergeCell ref="TY355:TZ355"/>
    <mergeCell ref="UA355:UB355"/>
    <mergeCell ref="UC355:UD355"/>
    <mergeCell ref="UE355:UF355"/>
    <mergeCell ref="VQ355:VR355"/>
    <mergeCell ref="VS355:VT355"/>
    <mergeCell ref="VU355:VV355"/>
    <mergeCell ref="VW355:VX355"/>
    <mergeCell ref="VY355:VZ355"/>
    <mergeCell ref="WA355:WB355"/>
    <mergeCell ref="WC355:WD355"/>
    <mergeCell ref="WE355:WF355"/>
    <mergeCell ref="WG355:WH355"/>
    <mergeCell ref="UY355:UZ355"/>
    <mergeCell ref="VA355:VB355"/>
    <mergeCell ref="VC355:VD355"/>
    <mergeCell ref="VE355:VF355"/>
    <mergeCell ref="VG355:VH355"/>
    <mergeCell ref="VI355:VJ355"/>
    <mergeCell ref="VK355:VL355"/>
    <mergeCell ref="VM355:VN355"/>
    <mergeCell ref="VO355:VP355"/>
    <mergeCell ref="XA355:XB355"/>
    <mergeCell ref="XC355:XD355"/>
    <mergeCell ref="XE355:XF355"/>
    <mergeCell ref="XG355:XH355"/>
    <mergeCell ref="XI355:XJ355"/>
    <mergeCell ref="XK355:XL355"/>
    <mergeCell ref="XM355:XN355"/>
    <mergeCell ref="XO355:XP355"/>
    <mergeCell ref="XQ355:XR355"/>
    <mergeCell ref="WI355:WJ355"/>
    <mergeCell ref="WK355:WL355"/>
    <mergeCell ref="WM355:WN355"/>
    <mergeCell ref="WO355:WP355"/>
    <mergeCell ref="WQ355:WR355"/>
    <mergeCell ref="WS355:WT355"/>
    <mergeCell ref="WU355:WV355"/>
    <mergeCell ref="WW355:WX355"/>
    <mergeCell ref="WY355:WZ355"/>
    <mergeCell ref="YK355:YL355"/>
    <mergeCell ref="YM355:YN355"/>
    <mergeCell ref="YO355:YP355"/>
    <mergeCell ref="YQ355:YR355"/>
    <mergeCell ref="YS355:YT355"/>
    <mergeCell ref="YU355:YV355"/>
    <mergeCell ref="YW355:YX355"/>
    <mergeCell ref="YY355:YZ355"/>
    <mergeCell ref="ZA355:ZB355"/>
    <mergeCell ref="XS355:XT355"/>
    <mergeCell ref="XU355:XV355"/>
    <mergeCell ref="XW355:XX355"/>
    <mergeCell ref="XY355:XZ355"/>
    <mergeCell ref="YA355:YB355"/>
    <mergeCell ref="YC355:YD355"/>
    <mergeCell ref="YE355:YF355"/>
    <mergeCell ref="YG355:YH355"/>
    <mergeCell ref="YI355:YJ355"/>
    <mergeCell ref="ZU355:ZV355"/>
    <mergeCell ref="ZW355:ZX355"/>
    <mergeCell ref="ZY355:ZZ355"/>
    <mergeCell ref="AAA355:AAB355"/>
    <mergeCell ref="AAC355:AAD355"/>
    <mergeCell ref="AAE355:AAF355"/>
    <mergeCell ref="AAG355:AAH355"/>
    <mergeCell ref="AAI355:AAJ355"/>
    <mergeCell ref="AAK355:AAL355"/>
    <mergeCell ref="ZC355:ZD355"/>
    <mergeCell ref="ZE355:ZF355"/>
    <mergeCell ref="ZG355:ZH355"/>
    <mergeCell ref="ZI355:ZJ355"/>
    <mergeCell ref="ZK355:ZL355"/>
    <mergeCell ref="ZM355:ZN355"/>
    <mergeCell ref="ZO355:ZP355"/>
    <mergeCell ref="ZQ355:ZR355"/>
    <mergeCell ref="ZS355:ZT355"/>
    <mergeCell ref="ABE355:ABF355"/>
    <mergeCell ref="ABG355:ABH355"/>
    <mergeCell ref="ABI355:ABJ355"/>
    <mergeCell ref="ABK355:ABL355"/>
    <mergeCell ref="ABM355:ABN355"/>
    <mergeCell ref="ABO355:ABP355"/>
    <mergeCell ref="ABQ355:ABR355"/>
    <mergeCell ref="ABS355:ABT355"/>
    <mergeCell ref="ABU355:ABV355"/>
    <mergeCell ref="AAM355:AAN355"/>
    <mergeCell ref="AAO355:AAP355"/>
    <mergeCell ref="AAQ355:AAR355"/>
    <mergeCell ref="AAS355:AAT355"/>
    <mergeCell ref="AAU355:AAV355"/>
    <mergeCell ref="AAW355:AAX355"/>
    <mergeCell ref="AAY355:AAZ355"/>
    <mergeCell ref="ABA355:ABB355"/>
    <mergeCell ref="ABC355:ABD355"/>
    <mergeCell ref="ACO355:ACP355"/>
    <mergeCell ref="ACQ355:ACR355"/>
    <mergeCell ref="ACS355:ACT355"/>
    <mergeCell ref="ACU355:ACV355"/>
    <mergeCell ref="ACW355:ACX355"/>
    <mergeCell ref="ACY355:ACZ355"/>
    <mergeCell ref="ADA355:ADB355"/>
    <mergeCell ref="ADC355:ADD355"/>
    <mergeCell ref="ADE355:ADF355"/>
    <mergeCell ref="ABW355:ABX355"/>
    <mergeCell ref="ABY355:ABZ355"/>
    <mergeCell ref="ACA355:ACB355"/>
    <mergeCell ref="ACC355:ACD355"/>
    <mergeCell ref="ACE355:ACF355"/>
    <mergeCell ref="ACG355:ACH355"/>
    <mergeCell ref="ACI355:ACJ355"/>
    <mergeCell ref="ACK355:ACL355"/>
    <mergeCell ref="ACM355:ACN355"/>
    <mergeCell ref="ADY355:ADZ355"/>
    <mergeCell ref="AEA355:AEB355"/>
    <mergeCell ref="AEC355:AED355"/>
    <mergeCell ref="AEE355:AEF355"/>
    <mergeCell ref="AEG355:AEH355"/>
    <mergeCell ref="AEI355:AEJ355"/>
    <mergeCell ref="AEK355:AEL355"/>
    <mergeCell ref="AEM355:AEN355"/>
    <mergeCell ref="AEO355:AEP355"/>
    <mergeCell ref="ADG355:ADH355"/>
    <mergeCell ref="ADI355:ADJ355"/>
    <mergeCell ref="ADK355:ADL355"/>
    <mergeCell ref="ADM355:ADN355"/>
    <mergeCell ref="ADO355:ADP355"/>
    <mergeCell ref="ADQ355:ADR355"/>
    <mergeCell ref="ADS355:ADT355"/>
    <mergeCell ref="ADU355:ADV355"/>
    <mergeCell ref="ADW355:ADX355"/>
    <mergeCell ref="AFI355:AFJ355"/>
    <mergeCell ref="AFK355:AFL355"/>
    <mergeCell ref="AFM355:AFN355"/>
    <mergeCell ref="AFO355:AFP355"/>
    <mergeCell ref="AFQ355:AFR355"/>
    <mergeCell ref="AFS355:AFT355"/>
    <mergeCell ref="AFU355:AFV355"/>
    <mergeCell ref="AFW355:AFX355"/>
    <mergeCell ref="AFY355:AFZ355"/>
    <mergeCell ref="AEQ355:AER355"/>
    <mergeCell ref="AES355:AET355"/>
    <mergeCell ref="AEU355:AEV355"/>
    <mergeCell ref="AEW355:AEX355"/>
    <mergeCell ref="AEY355:AEZ355"/>
    <mergeCell ref="AFA355:AFB355"/>
    <mergeCell ref="AFC355:AFD355"/>
    <mergeCell ref="AFE355:AFF355"/>
    <mergeCell ref="AFG355:AFH355"/>
    <mergeCell ref="AGS355:AGT355"/>
    <mergeCell ref="AGU355:AGV355"/>
    <mergeCell ref="AGW355:AGX355"/>
    <mergeCell ref="AGY355:AGZ355"/>
    <mergeCell ref="AHA355:AHB355"/>
    <mergeCell ref="AHC355:AHD355"/>
    <mergeCell ref="AHE355:AHF355"/>
    <mergeCell ref="AHG355:AHH355"/>
    <mergeCell ref="AHI355:AHJ355"/>
    <mergeCell ref="AGA355:AGB355"/>
    <mergeCell ref="AGC355:AGD355"/>
    <mergeCell ref="AGE355:AGF355"/>
    <mergeCell ref="AGG355:AGH355"/>
    <mergeCell ref="AGI355:AGJ355"/>
    <mergeCell ref="AGK355:AGL355"/>
    <mergeCell ref="AGM355:AGN355"/>
    <mergeCell ref="AGO355:AGP355"/>
    <mergeCell ref="AGQ355:AGR355"/>
    <mergeCell ref="AIC355:AID355"/>
    <mergeCell ref="AIE355:AIF355"/>
    <mergeCell ref="AIG355:AIH355"/>
    <mergeCell ref="AII355:AIJ355"/>
    <mergeCell ref="AIK355:AIL355"/>
    <mergeCell ref="AIM355:AIN355"/>
    <mergeCell ref="AIO355:AIP355"/>
    <mergeCell ref="AIQ355:AIR355"/>
    <mergeCell ref="AIS355:AIT355"/>
    <mergeCell ref="AHK355:AHL355"/>
    <mergeCell ref="AHM355:AHN355"/>
    <mergeCell ref="AHO355:AHP355"/>
    <mergeCell ref="AHQ355:AHR355"/>
    <mergeCell ref="AHS355:AHT355"/>
    <mergeCell ref="AHU355:AHV355"/>
    <mergeCell ref="AHW355:AHX355"/>
    <mergeCell ref="AHY355:AHZ355"/>
    <mergeCell ref="AIA355:AIB355"/>
    <mergeCell ref="AJM355:AJN355"/>
    <mergeCell ref="AJO355:AJP355"/>
    <mergeCell ref="AJQ355:AJR355"/>
    <mergeCell ref="AJS355:AJT355"/>
    <mergeCell ref="AJU355:AJV355"/>
    <mergeCell ref="AJW355:AJX355"/>
    <mergeCell ref="AJY355:AJZ355"/>
    <mergeCell ref="AKA355:AKB355"/>
    <mergeCell ref="AKC355:AKD355"/>
    <mergeCell ref="AIU355:AIV355"/>
    <mergeCell ref="AIW355:AIX355"/>
    <mergeCell ref="AIY355:AIZ355"/>
    <mergeCell ref="AJA355:AJB355"/>
    <mergeCell ref="AJC355:AJD355"/>
    <mergeCell ref="AJE355:AJF355"/>
    <mergeCell ref="AJG355:AJH355"/>
    <mergeCell ref="AJI355:AJJ355"/>
    <mergeCell ref="AJK355:AJL355"/>
    <mergeCell ref="AKW355:AKX355"/>
    <mergeCell ref="AKY355:AKZ355"/>
    <mergeCell ref="ALA355:ALB355"/>
    <mergeCell ref="ALC355:ALD355"/>
    <mergeCell ref="ALE355:ALF355"/>
    <mergeCell ref="ALG355:ALH355"/>
    <mergeCell ref="ALI355:ALJ355"/>
    <mergeCell ref="ALK355:ALL355"/>
    <mergeCell ref="ALM355:ALN355"/>
    <mergeCell ref="AKE355:AKF355"/>
    <mergeCell ref="AKG355:AKH355"/>
    <mergeCell ref="AKI355:AKJ355"/>
    <mergeCell ref="AKK355:AKL355"/>
    <mergeCell ref="AKM355:AKN355"/>
    <mergeCell ref="AKO355:AKP355"/>
    <mergeCell ref="AKQ355:AKR355"/>
    <mergeCell ref="AKS355:AKT355"/>
    <mergeCell ref="AKU355:AKV355"/>
    <mergeCell ref="AMG355:AMH355"/>
    <mergeCell ref="AMI355:AMJ355"/>
    <mergeCell ref="AMK355:AML355"/>
    <mergeCell ref="AMM355:AMN355"/>
    <mergeCell ref="AMO355:AMP355"/>
    <mergeCell ref="AMQ355:AMR355"/>
    <mergeCell ref="AMS355:AMT355"/>
    <mergeCell ref="AMU355:AMV355"/>
    <mergeCell ref="AMW355:AMX355"/>
    <mergeCell ref="ALO355:ALP355"/>
    <mergeCell ref="ALQ355:ALR355"/>
    <mergeCell ref="ALS355:ALT355"/>
    <mergeCell ref="ALU355:ALV355"/>
    <mergeCell ref="ALW355:ALX355"/>
    <mergeCell ref="ALY355:ALZ355"/>
    <mergeCell ref="AMA355:AMB355"/>
    <mergeCell ref="AMC355:AMD355"/>
    <mergeCell ref="AME355:AMF355"/>
    <mergeCell ref="ANQ355:ANR355"/>
    <mergeCell ref="ANS355:ANT355"/>
    <mergeCell ref="ANU355:ANV355"/>
    <mergeCell ref="ANW355:ANX355"/>
    <mergeCell ref="ANY355:ANZ355"/>
    <mergeCell ref="AOA355:AOB355"/>
    <mergeCell ref="AOC355:AOD355"/>
    <mergeCell ref="AOE355:AOF355"/>
    <mergeCell ref="AOG355:AOH355"/>
    <mergeCell ref="AMY355:AMZ355"/>
    <mergeCell ref="ANA355:ANB355"/>
    <mergeCell ref="ANC355:AND355"/>
    <mergeCell ref="ANE355:ANF355"/>
    <mergeCell ref="ANG355:ANH355"/>
    <mergeCell ref="ANI355:ANJ355"/>
    <mergeCell ref="ANK355:ANL355"/>
    <mergeCell ref="ANM355:ANN355"/>
    <mergeCell ref="ANO355:ANP355"/>
    <mergeCell ref="APA355:APB355"/>
    <mergeCell ref="APC355:APD355"/>
    <mergeCell ref="APE355:APF355"/>
    <mergeCell ref="APG355:APH355"/>
    <mergeCell ref="API355:APJ355"/>
    <mergeCell ref="APK355:APL355"/>
    <mergeCell ref="APM355:APN355"/>
    <mergeCell ref="APO355:APP355"/>
    <mergeCell ref="APQ355:APR355"/>
    <mergeCell ref="AOI355:AOJ355"/>
    <mergeCell ref="AOK355:AOL355"/>
    <mergeCell ref="AOM355:AON355"/>
    <mergeCell ref="AOO355:AOP355"/>
    <mergeCell ref="AOQ355:AOR355"/>
    <mergeCell ref="AOS355:AOT355"/>
    <mergeCell ref="AOU355:AOV355"/>
    <mergeCell ref="AOW355:AOX355"/>
    <mergeCell ref="AOY355:AOZ355"/>
    <mergeCell ref="AQK355:AQL355"/>
    <mergeCell ref="AQM355:AQN355"/>
    <mergeCell ref="AQO355:AQP355"/>
    <mergeCell ref="AQQ355:AQR355"/>
    <mergeCell ref="AQS355:AQT355"/>
    <mergeCell ref="AQU355:AQV355"/>
    <mergeCell ref="AQW355:AQX355"/>
    <mergeCell ref="AQY355:AQZ355"/>
    <mergeCell ref="ARA355:ARB355"/>
    <mergeCell ref="APS355:APT355"/>
    <mergeCell ref="APU355:APV355"/>
    <mergeCell ref="APW355:APX355"/>
    <mergeCell ref="APY355:APZ355"/>
    <mergeCell ref="AQA355:AQB355"/>
    <mergeCell ref="AQC355:AQD355"/>
    <mergeCell ref="AQE355:AQF355"/>
    <mergeCell ref="AQG355:AQH355"/>
    <mergeCell ref="AQI355:AQJ355"/>
    <mergeCell ref="ARU355:ARV355"/>
    <mergeCell ref="ARW355:ARX355"/>
    <mergeCell ref="ARY355:ARZ355"/>
    <mergeCell ref="ASA355:ASB355"/>
    <mergeCell ref="ASC355:ASD355"/>
    <mergeCell ref="ASE355:ASF355"/>
    <mergeCell ref="ASG355:ASH355"/>
    <mergeCell ref="ASI355:ASJ355"/>
    <mergeCell ref="ASK355:ASL355"/>
    <mergeCell ref="ARC355:ARD355"/>
    <mergeCell ref="ARE355:ARF355"/>
    <mergeCell ref="ARG355:ARH355"/>
    <mergeCell ref="ARI355:ARJ355"/>
    <mergeCell ref="ARK355:ARL355"/>
    <mergeCell ref="ARM355:ARN355"/>
    <mergeCell ref="ARO355:ARP355"/>
    <mergeCell ref="ARQ355:ARR355"/>
    <mergeCell ref="ARS355:ART355"/>
    <mergeCell ref="ATE355:ATF355"/>
    <mergeCell ref="ATG355:ATH355"/>
    <mergeCell ref="ATI355:ATJ355"/>
    <mergeCell ref="ATK355:ATL355"/>
    <mergeCell ref="ATM355:ATN355"/>
    <mergeCell ref="ATO355:ATP355"/>
    <mergeCell ref="ATQ355:ATR355"/>
    <mergeCell ref="ATS355:ATT355"/>
    <mergeCell ref="ATU355:ATV355"/>
    <mergeCell ref="ASM355:ASN355"/>
    <mergeCell ref="ASO355:ASP355"/>
    <mergeCell ref="ASQ355:ASR355"/>
    <mergeCell ref="ASS355:AST355"/>
    <mergeCell ref="ASU355:ASV355"/>
    <mergeCell ref="ASW355:ASX355"/>
    <mergeCell ref="ASY355:ASZ355"/>
    <mergeCell ref="ATA355:ATB355"/>
    <mergeCell ref="ATC355:ATD355"/>
    <mergeCell ref="AUO355:AUP355"/>
    <mergeCell ref="AUQ355:AUR355"/>
    <mergeCell ref="AUS355:AUT355"/>
    <mergeCell ref="AUU355:AUV355"/>
    <mergeCell ref="AUW355:AUX355"/>
    <mergeCell ref="AUY355:AUZ355"/>
    <mergeCell ref="AVA355:AVB355"/>
    <mergeCell ref="AVC355:AVD355"/>
    <mergeCell ref="AVE355:AVF355"/>
    <mergeCell ref="ATW355:ATX355"/>
    <mergeCell ref="ATY355:ATZ355"/>
    <mergeCell ref="AUA355:AUB355"/>
    <mergeCell ref="AUC355:AUD355"/>
    <mergeCell ref="AUE355:AUF355"/>
    <mergeCell ref="AUG355:AUH355"/>
    <mergeCell ref="AUI355:AUJ355"/>
    <mergeCell ref="AUK355:AUL355"/>
    <mergeCell ref="AUM355:AUN355"/>
    <mergeCell ref="AVY355:AVZ355"/>
    <mergeCell ref="AWA355:AWB355"/>
    <mergeCell ref="AWC355:AWD355"/>
    <mergeCell ref="AWE355:AWF355"/>
    <mergeCell ref="AWG355:AWH355"/>
    <mergeCell ref="AWI355:AWJ355"/>
    <mergeCell ref="AWK355:AWL355"/>
    <mergeCell ref="AWM355:AWN355"/>
    <mergeCell ref="AWO355:AWP355"/>
    <mergeCell ref="AVG355:AVH355"/>
    <mergeCell ref="AVI355:AVJ355"/>
    <mergeCell ref="AVK355:AVL355"/>
    <mergeCell ref="AVM355:AVN355"/>
    <mergeCell ref="AVO355:AVP355"/>
    <mergeCell ref="AVQ355:AVR355"/>
    <mergeCell ref="AVS355:AVT355"/>
    <mergeCell ref="AVU355:AVV355"/>
    <mergeCell ref="AVW355:AVX355"/>
    <mergeCell ref="AXI355:AXJ355"/>
    <mergeCell ref="AXK355:AXL355"/>
    <mergeCell ref="AXM355:AXN355"/>
    <mergeCell ref="AXO355:AXP355"/>
    <mergeCell ref="AXQ355:AXR355"/>
    <mergeCell ref="AXS355:AXT355"/>
    <mergeCell ref="AXU355:AXV355"/>
    <mergeCell ref="AXW355:AXX355"/>
    <mergeCell ref="AXY355:AXZ355"/>
    <mergeCell ref="AWQ355:AWR355"/>
    <mergeCell ref="AWS355:AWT355"/>
    <mergeCell ref="AWU355:AWV355"/>
    <mergeCell ref="AWW355:AWX355"/>
    <mergeCell ref="AWY355:AWZ355"/>
    <mergeCell ref="AXA355:AXB355"/>
    <mergeCell ref="AXC355:AXD355"/>
    <mergeCell ref="AXE355:AXF355"/>
    <mergeCell ref="AXG355:AXH355"/>
    <mergeCell ref="AYS355:AYT355"/>
    <mergeCell ref="AYU355:AYV355"/>
    <mergeCell ref="AYW355:AYX355"/>
    <mergeCell ref="AYY355:AYZ355"/>
    <mergeCell ref="AZA355:AZB355"/>
    <mergeCell ref="AZC355:AZD355"/>
    <mergeCell ref="AZE355:AZF355"/>
    <mergeCell ref="AZG355:AZH355"/>
    <mergeCell ref="AZI355:AZJ355"/>
    <mergeCell ref="AYA355:AYB355"/>
    <mergeCell ref="AYC355:AYD355"/>
    <mergeCell ref="AYE355:AYF355"/>
    <mergeCell ref="AYG355:AYH355"/>
    <mergeCell ref="AYI355:AYJ355"/>
    <mergeCell ref="AYK355:AYL355"/>
    <mergeCell ref="AYM355:AYN355"/>
    <mergeCell ref="AYO355:AYP355"/>
    <mergeCell ref="AYQ355:AYR355"/>
    <mergeCell ref="BAC355:BAD355"/>
    <mergeCell ref="BAE355:BAF355"/>
    <mergeCell ref="BAG355:BAH355"/>
    <mergeCell ref="BAI355:BAJ355"/>
    <mergeCell ref="BAK355:BAL355"/>
    <mergeCell ref="BAM355:BAN355"/>
    <mergeCell ref="BAO355:BAP355"/>
    <mergeCell ref="BAQ355:BAR355"/>
    <mergeCell ref="BAS355:BAT355"/>
    <mergeCell ref="AZK355:AZL355"/>
    <mergeCell ref="AZM355:AZN355"/>
    <mergeCell ref="AZO355:AZP355"/>
    <mergeCell ref="AZQ355:AZR355"/>
    <mergeCell ref="AZS355:AZT355"/>
    <mergeCell ref="AZU355:AZV355"/>
    <mergeCell ref="AZW355:AZX355"/>
    <mergeCell ref="AZY355:AZZ355"/>
    <mergeCell ref="BAA355:BAB355"/>
    <mergeCell ref="BBM355:BBN355"/>
    <mergeCell ref="BBO355:BBP355"/>
    <mergeCell ref="BBQ355:BBR355"/>
    <mergeCell ref="BBS355:BBT355"/>
    <mergeCell ref="BBU355:BBV355"/>
    <mergeCell ref="BBW355:BBX355"/>
    <mergeCell ref="BBY355:BBZ355"/>
    <mergeCell ref="BCA355:BCB355"/>
    <mergeCell ref="BCC355:BCD355"/>
    <mergeCell ref="BAU355:BAV355"/>
    <mergeCell ref="BAW355:BAX355"/>
    <mergeCell ref="BAY355:BAZ355"/>
    <mergeCell ref="BBA355:BBB355"/>
    <mergeCell ref="BBC355:BBD355"/>
    <mergeCell ref="BBE355:BBF355"/>
    <mergeCell ref="BBG355:BBH355"/>
    <mergeCell ref="BBI355:BBJ355"/>
    <mergeCell ref="BBK355:BBL355"/>
    <mergeCell ref="BCW355:BCX355"/>
    <mergeCell ref="BCY355:BCZ355"/>
    <mergeCell ref="BDA355:BDB355"/>
    <mergeCell ref="BDC355:BDD355"/>
    <mergeCell ref="BDE355:BDF355"/>
    <mergeCell ref="BDG355:BDH355"/>
    <mergeCell ref="BDI355:BDJ355"/>
    <mergeCell ref="BDK355:BDL355"/>
    <mergeCell ref="BDM355:BDN355"/>
    <mergeCell ref="BCE355:BCF355"/>
    <mergeCell ref="BCG355:BCH355"/>
    <mergeCell ref="BCI355:BCJ355"/>
    <mergeCell ref="BCK355:BCL355"/>
    <mergeCell ref="BCM355:BCN355"/>
    <mergeCell ref="BCO355:BCP355"/>
    <mergeCell ref="BCQ355:BCR355"/>
    <mergeCell ref="BCS355:BCT355"/>
    <mergeCell ref="BCU355:BCV355"/>
    <mergeCell ref="BEG355:BEH355"/>
    <mergeCell ref="BEI355:BEJ355"/>
    <mergeCell ref="BEK355:BEL355"/>
    <mergeCell ref="BEM355:BEN355"/>
    <mergeCell ref="BEO355:BEP355"/>
    <mergeCell ref="BEQ355:BER355"/>
    <mergeCell ref="BES355:BET355"/>
    <mergeCell ref="BEU355:BEV355"/>
    <mergeCell ref="BEW355:BEX355"/>
    <mergeCell ref="BDO355:BDP355"/>
    <mergeCell ref="BDQ355:BDR355"/>
    <mergeCell ref="BDS355:BDT355"/>
    <mergeCell ref="BDU355:BDV355"/>
    <mergeCell ref="BDW355:BDX355"/>
    <mergeCell ref="BDY355:BDZ355"/>
    <mergeCell ref="BEA355:BEB355"/>
    <mergeCell ref="BEC355:BED355"/>
    <mergeCell ref="BEE355:BEF355"/>
    <mergeCell ref="BFQ355:BFR355"/>
    <mergeCell ref="BFS355:BFT355"/>
    <mergeCell ref="BFU355:BFV355"/>
    <mergeCell ref="BFW355:BFX355"/>
    <mergeCell ref="BFY355:BFZ355"/>
    <mergeCell ref="BGA355:BGB355"/>
    <mergeCell ref="BGC355:BGD355"/>
    <mergeCell ref="BGE355:BGF355"/>
    <mergeCell ref="BGG355:BGH355"/>
    <mergeCell ref="BEY355:BEZ355"/>
    <mergeCell ref="BFA355:BFB355"/>
    <mergeCell ref="BFC355:BFD355"/>
    <mergeCell ref="BFE355:BFF355"/>
    <mergeCell ref="BFG355:BFH355"/>
    <mergeCell ref="BFI355:BFJ355"/>
    <mergeCell ref="BFK355:BFL355"/>
    <mergeCell ref="BFM355:BFN355"/>
    <mergeCell ref="BFO355:BFP355"/>
    <mergeCell ref="BHA355:BHB355"/>
    <mergeCell ref="BHC355:BHD355"/>
    <mergeCell ref="BHE355:BHF355"/>
    <mergeCell ref="BHG355:BHH355"/>
    <mergeCell ref="BHI355:BHJ355"/>
    <mergeCell ref="BHK355:BHL355"/>
    <mergeCell ref="BHM355:BHN355"/>
    <mergeCell ref="BHO355:BHP355"/>
    <mergeCell ref="BHQ355:BHR355"/>
    <mergeCell ref="BGI355:BGJ355"/>
    <mergeCell ref="BGK355:BGL355"/>
    <mergeCell ref="BGM355:BGN355"/>
    <mergeCell ref="BGO355:BGP355"/>
    <mergeCell ref="BGQ355:BGR355"/>
    <mergeCell ref="BGS355:BGT355"/>
    <mergeCell ref="BGU355:BGV355"/>
    <mergeCell ref="BGW355:BGX355"/>
    <mergeCell ref="BGY355:BGZ355"/>
    <mergeCell ref="BIK355:BIL355"/>
    <mergeCell ref="BIM355:BIN355"/>
    <mergeCell ref="BIO355:BIP355"/>
    <mergeCell ref="BIQ355:BIR355"/>
    <mergeCell ref="BIS355:BIT355"/>
    <mergeCell ref="BIU355:BIV355"/>
    <mergeCell ref="BIW355:BIX355"/>
    <mergeCell ref="BIY355:BIZ355"/>
    <mergeCell ref="BJA355:BJB355"/>
    <mergeCell ref="BHS355:BHT355"/>
    <mergeCell ref="BHU355:BHV355"/>
    <mergeCell ref="BHW355:BHX355"/>
    <mergeCell ref="BHY355:BHZ355"/>
    <mergeCell ref="BIA355:BIB355"/>
    <mergeCell ref="BIC355:BID355"/>
    <mergeCell ref="BIE355:BIF355"/>
    <mergeCell ref="BIG355:BIH355"/>
    <mergeCell ref="BII355:BIJ355"/>
    <mergeCell ref="BJU355:BJV355"/>
    <mergeCell ref="BJW355:BJX355"/>
    <mergeCell ref="BJY355:BJZ355"/>
    <mergeCell ref="BKA355:BKB355"/>
    <mergeCell ref="BKC355:BKD355"/>
    <mergeCell ref="BKE355:BKF355"/>
    <mergeCell ref="BKG355:BKH355"/>
    <mergeCell ref="BKI355:BKJ355"/>
    <mergeCell ref="BKK355:BKL355"/>
    <mergeCell ref="BJC355:BJD355"/>
    <mergeCell ref="BJE355:BJF355"/>
    <mergeCell ref="BJG355:BJH355"/>
    <mergeCell ref="BJI355:BJJ355"/>
    <mergeCell ref="BJK355:BJL355"/>
    <mergeCell ref="BJM355:BJN355"/>
    <mergeCell ref="BJO355:BJP355"/>
    <mergeCell ref="BJQ355:BJR355"/>
    <mergeCell ref="BJS355:BJT355"/>
    <mergeCell ref="BLE355:BLF355"/>
    <mergeCell ref="BLG355:BLH355"/>
    <mergeCell ref="BLI355:BLJ355"/>
    <mergeCell ref="BLK355:BLL355"/>
    <mergeCell ref="BLM355:BLN355"/>
    <mergeCell ref="BLO355:BLP355"/>
    <mergeCell ref="BLQ355:BLR355"/>
    <mergeCell ref="BLS355:BLT355"/>
    <mergeCell ref="BLU355:BLV355"/>
    <mergeCell ref="BKM355:BKN355"/>
    <mergeCell ref="BKO355:BKP355"/>
    <mergeCell ref="BKQ355:BKR355"/>
    <mergeCell ref="BKS355:BKT355"/>
    <mergeCell ref="BKU355:BKV355"/>
    <mergeCell ref="BKW355:BKX355"/>
    <mergeCell ref="BKY355:BKZ355"/>
    <mergeCell ref="BLA355:BLB355"/>
    <mergeCell ref="BLC355:BLD355"/>
    <mergeCell ref="BMO355:BMP355"/>
    <mergeCell ref="BMQ355:BMR355"/>
    <mergeCell ref="BMS355:BMT355"/>
    <mergeCell ref="BMU355:BMV355"/>
    <mergeCell ref="BMW355:BMX355"/>
    <mergeCell ref="BMY355:BMZ355"/>
    <mergeCell ref="BNA355:BNB355"/>
    <mergeCell ref="BNC355:BND355"/>
    <mergeCell ref="BNE355:BNF355"/>
    <mergeCell ref="BLW355:BLX355"/>
    <mergeCell ref="BLY355:BLZ355"/>
    <mergeCell ref="BMA355:BMB355"/>
    <mergeCell ref="BMC355:BMD355"/>
    <mergeCell ref="BME355:BMF355"/>
    <mergeCell ref="BMG355:BMH355"/>
    <mergeCell ref="BMI355:BMJ355"/>
    <mergeCell ref="BMK355:BML355"/>
    <mergeCell ref="BMM355:BMN355"/>
    <mergeCell ref="BNY355:BNZ355"/>
    <mergeCell ref="BOA355:BOB355"/>
    <mergeCell ref="BOC355:BOD355"/>
    <mergeCell ref="BOE355:BOF355"/>
    <mergeCell ref="BOG355:BOH355"/>
    <mergeCell ref="BOI355:BOJ355"/>
    <mergeCell ref="BOK355:BOL355"/>
    <mergeCell ref="BOM355:BON355"/>
    <mergeCell ref="BOO355:BOP355"/>
    <mergeCell ref="BNG355:BNH355"/>
    <mergeCell ref="BNI355:BNJ355"/>
    <mergeCell ref="BNK355:BNL355"/>
    <mergeCell ref="BNM355:BNN355"/>
    <mergeCell ref="BNO355:BNP355"/>
    <mergeCell ref="BNQ355:BNR355"/>
    <mergeCell ref="BNS355:BNT355"/>
    <mergeCell ref="BNU355:BNV355"/>
    <mergeCell ref="BNW355:BNX355"/>
    <mergeCell ref="BPI355:BPJ355"/>
    <mergeCell ref="BPK355:BPL355"/>
    <mergeCell ref="BPM355:BPN355"/>
    <mergeCell ref="BPO355:BPP355"/>
    <mergeCell ref="BPQ355:BPR355"/>
    <mergeCell ref="BPS355:BPT355"/>
    <mergeCell ref="BPU355:BPV355"/>
    <mergeCell ref="BPW355:BPX355"/>
    <mergeCell ref="BPY355:BPZ355"/>
    <mergeCell ref="BOQ355:BOR355"/>
    <mergeCell ref="BOS355:BOT355"/>
    <mergeCell ref="BOU355:BOV355"/>
    <mergeCell ref="BOW355:BOX355"/>
    <mergeCell ref="BOY355:BOZ355"/>
    <mergeCell ref="BPA355:BPB355"/>
    <mergeCell ref="BPC355:BPD355"/>
    <mergeCell ref="BPE355:BPF355"/>
    <mergeCell ref="BPG355:BPH355"/>
    <mergeCell ref="BQS355:BQT355"/>
    <mergeCell ref="BQU355:BQV355"/>
    <mergeCell ref="BQW355:BQX355"/>
    <mergeCell ref="BQY355:BQZ355"/>
    <mergeCell ref="BRA355:BRB355"/>
    <mergeCell ref="BRC355:BRD355"/>
    <mergeCell ref="BRE355:BRF355"/>
    <mergeCell ref="BRG355:BRH355"/>
    <mergeCell ref="BRI355:BRJ355"/>
    <mergeCell ref="BQA355:BQB355"/>
    <mergeCell ref="BQC355:BQD355"/>
    <mergeCell ref="BQE355:BQF355"/>
    <mergeCell ref="BQG355:BQH355"/>
    <mergeCell ref="BQI355:BQJ355"/>
    <mergeCell ref="BQK355:BQL355"/>
    <mergeCell ref="BQM355:BQN355"/>
    <mergeCell ref="BQO355:BQP355"/>
    <mergeCell ref="BQQ355:BQR355"/>
    <mergeCell ref="BSC355:BSD355"/>
    <mergeCell ref="BSE355:BSF355"/>
    <mergeCell ref="BSG355:BSH355"/>
    <mergeCell ref="BSI355:BSJ355"/>
    <mergeCell ref="BSK355:BSL355"/>
    <mergeCell ref="BSM355:BSN355"/>
    <mergeCell ref="BSO355:BSP355"/>
    <mergeCell ref="BSQ355:BSR355"/>
    <mergeCell ref="BSS355:BST355"/>
    <mergeCell ref="BRK355:BRL355"/>
    <mergeCell ref="BRM355:BRN355"/>
    <mergeCell ref="BRO355:BRP355"/>
    <mergeCell ref="BRQ355:BRR355"/>
    <mergeCell ref="BRS355:BRT355"/>
    <mergeCell ref="BRU355:BRV355"/>
    <mergeCell ref="BRW355:BRX355"/>
    <mergeCell ref="BRY355:BRZ355"/>
    <mergeCell ref="BSA355:BSB355"/>
    <mergeCell ref="BTM355:BTN355"/>
    <mergeCell ref="BTO355:BTP355"/>
    <mergeCell ref="BTQ355:BTR355"/>
    <mergeCell ref="BTS355:BTT355"/>
    <mergeCell ref="BTU355:BTV355"/>
    <mergeCell ref="BTW355:BTX355"/>
    <mergeCell ref="BTY355:BTZ355"/>
    <mergeCell ref="BUA355:BUB355"/>
    <mergeCell ref="BUC355:BUD355"/>
    <mergeCell ref="BSU355:BSV355"/>
    <mergeCell ref="BSW355:BSX355"/>
    <mergeCell ref="BSY355:BSZ355"/>
    <mergeCell ref="BTA355:BTB355"/>
    <mergeCell ref="BTC355:BTD355"/>
    <mergeCell ref="BTE355:BTF355"/>
    <mergeCell ref="BTG355:BTH355"/>
    <mergeCell ref="BTI355:BTJ355"/>
    <mergeCell ref="BTK355:BTL355"/>
    <mergeCell ref="BUW355:BUX355"/>
    <mergeCell ref="BUY355:BUZ355"/>
    <mergeCell ref="BVA355:BVB355"/>
    <mergeCell ref="BVC355:BVD355"/>
    <mergeCell ref="BVE355:BVF355"/>
    <mergeCell ref="BVG355:BVH355"/>
    <mergeCell ref="BVI355:BVJ355"/>
    <mergeCell ref="BVK355:BVL355"/>
    <mergeCell ref="BVM355:BVN355"/>
    <mergeCell ref="BUE355:BUF355"/>
    <mergeCell ref="BUG355:BUH355"/>
    <mergeCell ref="BUI355:BUJ355"/>
    <mergeCell ref="BUK355:BUL355"/>
    <mergeCell ref="BUM355:BUN355"/>
    <mergeCell ref="BUO355:BUP355"/>
    <mergeCell ref="BUQ355:BUR355"/>
    <mergeCell ref="BUS355:BUT355"/>
    <mergeCell ref="BUU355:BUV355"/>
    <mergeCell ref="BWG355:BWH355"/>
    <mergeCell ref="BWI355:BWJ355"/>
    <mergeCell ref="BWK355:BWL355"/>
    <mergeCell ref="BWM355:BWN355"/>
    <mergeCell ref="BWO355:BWP355"/>
    <mergeCell ref="BWQ355:BWR355"/>
    <mergeCell ref="BWS355:BWT355"/>
    <mergeCell ref="BWU355:BWV355"/>
    <mergeCell ref="BWW355:BWX355"/>
    <mergeCell ref="BVO355:BVP355"/>
    <mergeCell ref="BVQ355:BVR355"/>
    <mergeCell ref="BVS355:BVT355"/>
    <mergeCell ref="BVU355:BVV355"/>
    <mergeCell ref="BVW355:BVX355"/>
    <mergeCell ref="BVY355:BVZ355"/>
    <mergeCell ref="BWA355:BWB355"/>
    <mergeCell ref="BWC355:BWD355"/>
    <mergeCell ref="BWE355:BWF355"/>
    <mergeCell ref="BXQ355:BXR355"/>
    <mergeCell ref="BXS355:BXT355"/>
    <mergeCell ref="BXU355:BXV355"/>
    <mergeCell ref="BXW355:BXX355"/>
    <mergeCell ref="BXY355:BXZ355"/>
    <mergeCell ref="BYA355:BYB355"/>
    <mergeCell ref="BYC355:BYD355"/>
    <mergeCell ref="BYE355:BYF355"/>
    <mergeCell ref="BYG355:BYH355"/>
    <mergeCell ref="BWY355:BWZ355"/>
    <mergeCell ref="BXA355:BXB355"/>
    <mergeCell ref="BXC355:BXD355"/>
    <mergeCell ref="BXE355:BXF355"/>
    <mergeCell ref="BXG355:BXH355"/>
    <mergeCell ref="BXI355:BXJ355"/>
    <mergeCell ref="BXK355:BXL355"/>
    <mergeCell ref="BXM355:BXN355"/>
    <mergeCell ref="BXO355:BXP355"/>
    <mergeCell ref="BZA355:BZB355"/>
    <mergeCell ref="BZC355:BZD355"/>
    <mergeCell ref="BZE355:BZF355"/>
    <mergeCell ref="BZG355:BZH355"/>
    <mergeCell ref="BZI355:BZJ355"/>
    <mergeCell ref="BZK355:BZL355"/>
    <mergeCell ref="BZM355:BZN355"/>
    <mergeCell ref="BZO355:BZP355"/>
    <mergeCell ref="BZQ355:BZR355"/>
    <mergeCell ref="BYI355:BYJ355"/>
    <mergeCell ref="BYK355:BYL355"/>
    <mergeCell ref="BYM355:BYN355"/>
    <mergeCell ref="BYO355:BYP355"/>
    <mergeCell ref="BYQ355:BYR355"/>
    <mergeCell ref="BYS355:BYT355"/>
    <mergeCell ref="BYU355:BYV355"/>
    <mergeCell ref="BYW355:BYX355"/>
    <mergeCell ref="BYY355:BYZ355"/>
    <mergeCell ref="CAK355:CAL355"/>
    <mergeCell ref="CAM355:CAN355"/>
    <mergeCell ref="CAO355:CAP355"/>
    <mergeCell ref="CAQ355:CAR355"/>
    <mergeCell ref="CAS355:CAT355"/>
    <mergeCell ref="CAU355:CAV355"/>
    <mergeCell ref="CAW355:CAX355"/>
    <mergeCell ref="CAY355:CAZ355"/>
    <mergeCell ref="CBA355:CBB355"/>
    <mergeCell ref="BZS355:BZT355"/>
    <mergeCell ref="BZU355:BZV355"/>
    <mergeCell ref="BZW355:BZX355"/>
    <mergeCell ref="BZY355:BZZ355"/>
    <mergeCell ref="CAA355:CAB355"/>
    <mergeCell ref="CAC355:CAD355"/>
    <mergeCell ref="CAE355:CAF355"/>
    <mergeCell ref="CAG355:CAH355"/>
    <mergeCell ref="CAI355:CAJ355"/>
    <mergeCell ref="CBU355:CBV355"/>
    <mergeCell ref="CBW355:CBX355"/>
    <mergeCell ref="CBY355:CBZ355"/>
    <mergeCell ref="CCA355:CCB355"/>
    <mergeCell ref="CCC355:CCD355"/>
    <mergeCell ref="CCE355:CCF355"/>
    <mergeCell ref="CCG355:CCH355"/>
    <mergeCell ref="CCI355:CCJ355"/>
    <mergeCell ref="CCK355:CCL355"/>
    <mergeCell ref="CBC355:CBD355"/>
    <mergeCell ref="CBE355:CBF355"/>
    <mergeCell ref="CBG355:CBH355"/>
    <mergeCell ref="CBI355:CBJ355"/>
    <mergeCell ref="CBK355:CBL355"/>
    <mergeCell ref="CBM355:CBN355"/>
    <mergeCell ref="CBO355:CBP355"/>
    <mergeCell ref="CBQ355:CBR355"/>
    <mergeCell ref="CBS355:CBT355"/>
    <mergeCell ref="CDE355:CDF355"/>
    <mergeCell ref="CDG355:CDH355"/>
    <mergeCell ref="CDI355:CDJ355"/>
    <mergeCell ref="CDK355:CDL355"/>
    <mergeCell ref="CDM355:CDN355"/>
    <mergeCell ref="CDO355:CDP355"/>
    <mergeCell ref="CDQ355:CDR355"/>
    <mergeCell ref="CDS355:CDT355"/>
    <mergeCell ref="CDU355:CDV355"/>
    <mergeCell ref="CCM355:CCN355"/>
    <mergeCell ref="CCO355:CCP355"/>
    <mergeCell ref="CCQ355:CCR355"/>
    <mergeCell ref="CCS355:CCT355"/>
    <mergeCell ref="CCU355:CCV355"/>
    <mergeCell ref="CCW355:CCX355"/>
    <mergeCell ref="CCY355:CCZ355"/>
    <mergeCell ref="CDA355:CDB355"/>
    <mergeCell ref="CDC355:CDD355"/>
    <mergeCell ref="CEO355:CEP355"/>
    <mergeCell ref="CEQ355:CER355"/>
    <mergeCell ref="CES355:CET355"/>
    <mergeCell ref="CEU355:CEV355"/>
    <mergeCell ref="CEW355:CEX355"/>
    <mergeCell ref="CEY355:CEZ355"/>
    <mergeCell ref="CFA355:CFB355"/>
    <mergeCell ref="CFC355:CFD355"/>
    <mergeCell ref="CFE355:CFF355"/>
    <mergeCell ref="CDW355:CDX355"/>
    <mergeCell ref="CDY355:CDZ355"/>
    <mergeCell ref="CEA355:CEB355"/>
    <mergeCell ref="CEC355:CED355"/>
    <mergeCell ref="CEE355:CEF355"/>
    <mergeCell ref="CEG355:CEH355"/>
    <mergeCell ref="CEI355:CEJ355"/>
    <mergeCell ref="CEK355:CEL355"/>
    <mergeCell ref="CEM355:CEN355"/>
    <mergeCell ref="CFY355:CFZ355"/>
    <mergeCell ref="CGA355:CGB355"/>
    <mergeCell ref="CGC355:CGD355"/>
    <mergeCell ref="CGE355:CGF355"/>
    <mergeCell ref="CGG355:CGH355"/>
    <mergeCell ref="CGI355:CGJ355"/>
    <mergeCell ref="CGK355:CGL355"/>
    <mergeCell ref="CGM355:CGN355"/>
    <mergeCell ref="CGO355:CGP355"/>
    <mergeCell ref="CFG355:CFH355"/>
    <mergeCell ref="CFI355:CFJ355"/>
    <mergeCell ref="CFK355:CFL355"/>
    <mergeCell ref="CFM355:CFN355"/>
    <mergeCell ref="CFO355:CFP355"/>
    <mergeCell ref="CFQ355:CFR355"/>
    <mergeCell ref="CFS355:CFT355"/>
    <mergeCell ref="CFU355:CFV355"/>
    <mergeCell ref="CFW355:CFX355"/>
    <mergeCell ref="CHI355:CHJ355"/>
    <mergeCell ref="CHK355:CHL355"/>
    <mergeCell ref="CHM355:CHN355"/>
    <mergeCell ref="CHO355:CHP355"/>
    <mergeCell ref="CHQ355:CHR355"/>
    <mergeCell ref="CHS355:CHT355"/>
    <mergeCell ref="CHU355:CHV355"/>
    <mergeCell ref="CHW355:CHX355"/>
    <mergeCell ref="CHY355:CHZ355"/>
    <mergeCell ref="CGQ355:CGR355"/>
    <mergeCell ref="CGS355:CGT355"/>
    <mergeCell ref="CGU355:CGV355"/>
    <mergeCell ref="CGW355:CGX355"/>
    <mergeCell ref="CGY355:CGZ355"/>
    <mergeCell ref="CHA355:CHB355"/>
    <mergeCell ref="CHC355:CHD355"/>
    <mergeCell ref="CHE355:CHF355"/>
    <mergeCell ref="CHG355:CHH355"/>
    <mergeCell ref="CIS355:CIT355"/>
    <mergeCell ref="CIU355:CIV355"/>
    <mergeCell ref="CIW355:CIX355"/>
    <mergeCell ref="CIY355:CIZ355"/>
    <mergeCell ref="CJA355:CJB355"/>
    <mergeCell ref="CJC355:CJD355"/>
    <mergeCell ref="CJE355:CJF355"/>
    <mergeCell ref="CJG355:CJH355"/>
    <mergeCell ref="CJI355:CJJ355"/>
    <mergeCell ref="CIA355:CIB355"/>
    <mergeCell ref="CIC355:CID355"/>
    <mergeCell ref="CIE355:CIF355"/>
    <mergeCell ref="CIG355:CIH355"/>
    <mergeCell ref="CII355:CIJ355"/>
    <mergeCell ref="CIK355:CIL355"/>
    <mergeCell ref="CIM355:CIN355"/>
    <mergeCell ref="CIO355:CIP355"/>
    <mergeCell ref="CIQ355:CIR355"/>
    <mergeCell ref="CKC355:CKD355"/>
    <mergeCell ref="CKE355:CKF355"/>
    <mergeCell ref="CKG355:CKH355"/>
    <mergeCell ref="CKI355:CKJ355"/>
    <mergeCell ref="CKK355:CKL355"/>
    <mergeCell ref="CKM355:CKN355"/>
    <mergeCell ref="CKO355:CKP355"/>
    <mergeCell ref="CKQ355:CKR355"/>
    <mergeCell ref="CKS355:CKT355"/>
    <mergeCell ref="CJK355:CJL355"/>
    <mergeCell ref="CJM355:CJN355"/>
    <mergeCell ref="CJO355:CJP355"/>
    <mergeCell ref="CJQ355:CJR355"/>
    <mergeCell ref="CJS355:CJT355"/>
    <mergeCell ref="CJU355:CJV355"/>
    <mergeCell ref="CJW355:CJX355"/>
    <mergeCell ref="CJY355:CJZ355"/>
    <mergeCell ref="CKA355:CKB355"/>
    <mergeCell ref="CLM355:CLN355"/>
    <mergeCell ref="CLO355:CLP355"/>
    <mergeCell ref="CLQ355:CLR355"/>
    <mergeCell ref="CLS355:CLT355"/>
    <mergeCell ref="CLU355:CLV355"/>
    <mergeCell ref="CLW355:CLX355"/>
    <mergeCell ref="CLY355:CLZ355"/>
    <mergeCell ref="CMA355:CMB355"/>
    <mergeCell ref="CMC355:CMD355"/>
    <mergeCell ref="CKU355:CKV355"/>
    <mergeCell ref="CKW355:CKX355"/>
    <mergeCell ref="CKY355:CKZ355"/>
    <mergeCell ref="CLA355:CLB355"/>
    <mergeCell ref="CLC355:CLD355"/>
    <mergeCell ref="CLE355:CLF355"/>
    <mergeCell ref="CLG355:CLH355"/>
    <mergeCell ref="CLI355:CLJ355"/>
    <mergeCell ref="CLK355:CLL355"/>
    <mergeCell ref="CMW355:CMX355"/>
    <mergeCell ref="CMY355:CMZ355"/>
    <mergeCell ref="CNA355:CNB355"/>
    <mergeCell ref="CNC355:CND355"/>
    <mergeCell ref="CNE355:CNF355"/>
    <mergeCell ref="CNG355:CNH355"/>
    <mergeCell ref="CNI355:CNJ355"/>
    <mergeCell ref="CNK355:CNL355"/>
    <mergeCell ref="CNM355:CNN355"/>
    <mergeCell ref="CME355:CMF355"/>
    <mergeCell ref="CMG355:CMH355"/>
    <mergeCell ref="CMI355:CMJ355"/>
    <mergeCell ref="CMK355:CML355"/>
    <mergeCell ref="CMM355:CMN355"/>
    <mergeCell ref="CMO355:CMP355"/>
    <mergeCell ref="CMQ355:CMR355"/>
    <mergeCell ref="CMS355:CMT355"/>
    <mergeCell ref="CMU355:CMV355"/>
    <mergeCell ref="COG355:COH355"/>
    <mergeCell ref="COI355:COJ355"/>
    <mergeCell ref="COK355:COL355"/>
    <mergeCell ref="COM355:CON355"/>
    <mergeCell ref="COO355:COP355"/>
    <mergeCell ref="COQ355:COR355"/>
    <mergeCell ref="COS355:COT355"/>
    <mergeCell ref="COU355:COV355"/>
    <mergeCell ref="COW355:COX355"/>
    <mergeCell ref="CNO355:CNP355"/>
    <mergeCell ref="CNQ355:CNR355"/>
    <mergeCell ref="CNS355:CNT355"/>
    <mergeCell ref="CNU355:CNV355"/>
    <mergeCell ref="CNW355:CNX355"/>
    <mergeCell ref="CNY355:CNZ355"/>
    <mergeCell ref="COA355:COB355"/>
    <mergeCell ref="COC355:COD355"/>
    <mergeCell ref="COE355:COF355"/>
    <mergeCell ref="CPQ355:CPR355"/>
    <mergeCell ref="CPS355:CPT355"/>
    <mergeCell ref="CPU355:CPV355"/>
    <mergeCell ref="CPW355:CPX355"/>
    <mergeCell ref="CPY355:CPZ355"/>
    <mergeCell ref="CQA355:CQB355"/>
    <mergeCell ref="CQC355:CQD355"/>
    <mergeCell ref="CQE355:CQF355"/>
    <mergeCell ref="CQG355:CQH355"/>
    <mergeCell ref="COY355:COZ355"/>
    <mergeCell ref="CPA355:CPB355"/>
    <mergeCell ref="CPC355:CPD355"/>
    <mergeCell ref="CPE355:CPF355"/>
    <mergeCell ref="CPG355:CPH355"/>
    <mergeCell ref="CPI355:CPJ355"/>
    <mergeCell ref="CPK355:CPL355"/>
    <mergeCell ref="CPM355:CPN355"/>
    <mergeCell ref="CPO355:CPP355"/>
    <mergeCell ref="CRA355:CRB355"/>
    <mergeCell ref="CRC355:CRD355"/>
    <mergeCell ref="CRE355:CRF355"/>
    <mergeCell ref="CRG355:CRH355"/>
    <mergeCell ref="CRI355:CRJ355"/>
    <mergeCell ref="CRK355:CRL355"/>
    <mergeCell ref="CRM355:CRN355"/>
    <mergeCell ref="CRO355:CRP355"/>
    <mergeCell ref="CRQ355:CRR355"/>
    <mergeCell ref="CQI355:CQJ355"/>
    <mergeCell ref="CQK355:CQL355"/>
    <mergeCell ref="CQM355:CQN355"/>
    <mergeCell ref="CQO355:CQP355"/>
    <mergeCell ref="CQQ355:CQR355"/>
    <mergeCell ref="CQS355:CQT355"/>
    <mergeCell ref="CQU355:CQV355"/>
    <mergeCell ref="CQW355:CQX355"/>
    <mergeCell ref="CQY355:CQZ355"/>
    <mergeCell ref="CSK355:CSL355"/>
    <mergeCell ref="CSM355:CSN355"/>
    <mergeCell ref="CSO355:CSP355"/>
    <mergeCell ref="CSQ355:CSR355"/>
    <mergeCell ref="CSS355:CST355"/>
    <mergeCell ref="CSU355:CSV355"/>
    <mergeCell ref="CSW355:CSX355"/>
    <mergeCell ref="CSY355:CSZ355"/>
    <mergeCell ref="CTA355:CTB355"/>
    <mergeCell ref="CRS355:CRT355"/>
    <mergeCell ref="CRU355:CRV355"/>
    <mergeCell ref="CRW355:CRX355"/>
    <mergeCell ref="CRY355:CRZ355"/>
    <mergeCell ref="CSA355:CSB355"/>
    <mergeCell ref="CSC355:CSD355"/>
    <mergeCell ref="CSE355:CSF355"/>
    <mergeCell ref="CSG355:CSH355"/>
    <mergeCell ref="CSI355:CSJ355"/>
    <mergeCell ref="CTU355:CTV355"/>
    <mergeCell ref="CTW355:CTX355"/>
    <mergeCell ref="CTY355:CTZ355"/>
    <mergeCell ref="CUA355:CUB355"/>
    <mergeCell ref="CUC355:CUD355"/>
    <mergeCell ref="CUE355:CUF355"/>
    <mergeCell ref="CUG355:CUH355"/>
    <mergeCell ref="CUI355:CUJ355"/>
    <mergeCell ref="CUK355:CUL355"/>
    <mergeCell ref="CTC355:CTD355"/>
    <mergeCell ref="CTE355:CTF355"/>
    <mergeCell ref="CTG355:CTH355"/>
    <mergeCell ref="CTI355:CTJ355"/>
    <mergeCell ref="CTK355:CTL355"/>
    <mergeCell ref="CTM355:CTN355"/>
    <mergeCell ref="CTO355:CTP355"/>
    <mergeCell ref="CTQ355:CTR355"/>
    <mergeCell ref="CTS355:CTT355"/>
    <mergeCell ref="CVE355:CVF355"/>
    <mergeCell ref="CVG355:CVH355"/>
    <mergeCell ref="CVI355:CVJ355"/>
    <mergeCell ref="CVK355:CVL355"/>
    <mergeCell ref="CVM355:CVN355"/>
    <mergeCell ref="CVO355:CVP355"/>
    <mergeCell ref="CVQ355:CVR355"/>
    <mergeCell ref="CVS355:CVT355"/>
    <mergeCell ref="CVU355:CVV355"/>
    <mergeCell ref="CUM355:CUN355"/>
    <mergeCell ref="CUO355:CUP355"/>
    <mergeCell ref="CUQ355:CUR355"/>
    <mergeCell ref="CUS355:CUT355"/>
    <mergeCell ref="CUU355:CUV355"/>
    <mergeCell ref="CUW355:CUX355"/>
    <mergeCell ref="CUY355:CUZ355"/>
    <mergeCell ref="CVA355:CVB355"/>
    <mergeCell ref="CVC355:CVD355"/>
    <mergeCell ref="CWO355:CWP355"/>
    <mergeCell ref="CWQ355:CWR355"/>
    <mergeCell ref="CWS355:CWT355"/>
    <mergeCell ref="CWU355:CWV355"/>
    <mergeCell ref="CWW355:CWX355"/>
    <mergeCell ref="CWY355:CWZ355"/>
    <mergeCell ref="CXA355:CXB355"/>
    <mergeCell ref="CXC355:CXD355"/>
    <mergeCell ref="CXE355:CXF355"/>
    <mergeCell ref="CVW355:CVX355"/>
    <mergeCell ref="CVY355:CVZ355"/>
    <mergeCell ref="CWA355:CWB355"/>
    <mergeCell ref="CWC355:CWD355"/>
    <mergeCell ref="CWE355:CWF355"/>
    <mergeCell ref="CWG355:CWH355"/>
    <mergeCell ref="CWI355:CWJ355"/>
    <mergeCell ref="CWK355:CWL355"/>
    <mergeCell ref="CWM355:CWN355"/>
    <mergeCell ref="CXY355:CXZ355"/>
    <mergeCell ref="CYA355:CYB355"/>
    <mergeCell ref="CYC355:CYD355"/>
    <mergeCell ref="CYE355:CYF355"/>
    <mergeCell ref="CYG355:CYH355"/>
    <mergeCell ref="CYI355:CYJ355"/>
    <mergeCell ref="CYK355:CYL355"/>
    <mergeCell ref="CYM355:CYN355"/>
    <mergeCell ref="CYO355:CYP355"/>
    <mergeCell ref="CXG355:CXH355"/>
    <mergeCell ref="CXI355:CXJ355"/>
    <mergeCell ref="CXK355:CXL355"/>
    <mergeCell ref="CXM355:CXN355"/>
    <mergeCell ref="CXO355:CXP355"/>
    <mergeCell ref="CXQ355:CXR355"/>
    <mergeCell ref="CXS355:CXT355"/>
    <mergeCell ref="CXU355:CXV355"/>
    <mergeCell ref="CXW355:CXX355"/>
    <mergeCell ref="CZI355:CZJ355"/>
    <mergeCell ref="CZK355:CZL355"/>
    <mergeCell ref="CZM355:CZN355"/>
    <mergeCell ref="CZO355:CZP355"/>
    <mergeCell ref="CZQ355:CZR355"/>
    <mergeCell ref="CZS355:CZT355"/>
    <mergeCell ref="CZU355:CZV355"/>
    <mergeCell ref="CZW355:CZX355"/>
    <mergeCell ref="CZY355:CZZ355"/>
    <mergeCell ref="CYQ355:CYR355"/>
    <mergeCell ref="CYS355:CYT355"/>
    <mergeCell ref="CYU355:CYV355"/>
    <mergeCell ref="CYW355:CYX355"/>
    <mergeCell ref="CYY355:CYZ355"/>
    <mergeCell ref="CZA355:CZB355"/>
    <mergeCell ref="CZC355:CZD355"/>
    <mergeCell ref="CZE355:CZF355"/>
    <mergeCell ref="CZG355:CZH355"/>
    <mergeCell ref="DAS355:DAT355"/>
    <mergeCell ref="DAU355:DAV355"/>
    <mergeCell ref="DAW355:DAX355"/>
    <mergeCell ref="DAY355:DAZ355"/>
    <mergeCell ref="DBA355:DBB355"/>
    <mergeCell ref="DBC355:DBD355"/>
    <mergeCell ref="DBE355:DBF355"/>
    <mergeCell ref="DBG355:DBH355"/>
    <mergeCell ref="DBI355:DBJ355"/>
    <mergeCell ref="DAA355:DAB355"/>
    <mergeCell ref="DAC355:DAD355"/>
    <mergeCell ref="DAE355:DAF355"/>
    <mergeCell ref="DAG355:DAH355"/>
    <mergeCell ref="DAI355:DAJ355"/>
    <mergeCell ref="DAK355:DAL355"/>
    <mergeCell ref="DAM355:DAN355"/>
    <mergeCell ref="DAO355:DAP355"/>
    <mergeCell ref="DAQ355:DAR355"/>
    <mergeCell ref="DCC355:DCD355"/>
    <mergeCell ref="DCE355:DCF355"/>
    <mergeCell ref="DCG355:DCH355"/>
    <mergeCell ref="DCI355:DCJ355"/>
    <mergeCell ref="DCK355:DCL355"/>
    <mergeCell ref="DCM355:DCN355"/>
    <mergeCell ref="DCO355:DCP355"/>
    <mergeCell ref="DCQ355:DCR355"/>
    <mergeCell ref="DCS355:DCT355"/>
    <mergeCell ref="DBK355:DBL355"/>
    <mergeCell ref="DBM355:DBN355"/>
    <mergeCell ref="DBO355:DBP355"/>
    <mergeCell ref="DBQ355:DBR355"/>
    <mergeCell ref="DBS355:DBT355"/>
    <mergeCell ref="DBU355:DBV355"/>
    <mergeCell ref="DBW355:DBX355"/>
    <mergeCell ref="DBY355:DBZ355"/>
    <mergeCell ref="DCA355:DCB355"/>
    <mergeCell ref="DDM355:DDN355"/>
    <mergeCell ref="DDO355:DDP355"/>
    <mergeCell ref="DDQ355:DDR355"/>
    <mergeCell ref="DDS355:DDT355"/>
    <mergeCell ref="DDU355:DDV355"/>
    <mergeCell ref="DDW355:DDX355"/>
    <mergeCell ref="DDY355:DDZ355"/>
    <mergeCell ref="DEA355:DEB355"/>
    <mergeCell ref="DEC355:DED355"/>
    <mergeCell ref="DCU355:DCV355"/>
    <mergeCell ref="DCW355:DCX355"/>
    <mergeCell ref="DCY355:DCZ355"/>
    <mergeCell ref="DDA355:DDB355"/>
    <mergeCell ref="DDC355:DDD355"/>
    <mergeCell ref="DDE355:DDF355"/>
    <mergeCell ref="DDG355:DDH355"/>
    <mergeCell ref="DDI355:DDJ355"/>
    <mergeCell ref="DDK355:DDL355"/>
    <mergeCell ref="DEW355:DEX355"/>
    <mergeCell ref="DEY355:DEZ355"/>
    <mergeCell ref="DFA355:DFB355"/>
    <mergeCell ref="DFC355:DFD355"/>
    <mergeCell ref="DFE355:DFF355"/>
    <mergeCell ref="DFG355:DFH355"/>
    <mergeCell ref="DFI355:DFJ355"/>
    <mergeCell ref="DFK355:DFL355"/>
    <mergeCell ref="DFM355:DFN355"/>
    <mergeCell ref="DEE355:DEF355"/>
    <mergeCell ref="DEG355:DEH355"/>
    <mergeCell ref="DEI355:DEJ355"/>
    <mergeCell ref="DEK355:DEL355"/>
    <mergeCell ref="DEM355:DEN355"/>
    <mergeCell ref="DEO355:DEP355"/>
    <mergeCell ref="DEQ355:DER355"/>
    <mergeCell ref="DES355:DET355"/>
    <mergeCell ref="DEU355:DEV355"/>
    <mergeCell ref="DGG355:DGH355"/>
    <mergeCell ref="DGI355:DGJ355"/>
    <mergeCell ref="DGK355:DGL355"/>
    <mergeCell ref="DGM355:DGN355"/>
    <mergeCell ref="DGO355:DGP355"/>
    <mergeCell ref="DGQ355:DGR355"/>
    <mergeCell ref="DGS355:DGT355"/>
    <mergeCell ref="DGU355:DGV355"/>
    <mergeCell ref="DGW355:DGX355"/>
    <mergeCell ref="DFO355:DFP355"/>
    <mergeCell ref="DFQ355:DFR355"/>
    <mergeCell ref="DFS355:DFT355"/>
    <mergeCell ref="DFU355:DFV355"/>
    <mergeCell ref="DFW355:DFX355"/>
    <mergeCell ref="DFY355:DFZ355"/>
    <mergeCell ref="DGA355:DGB355"/>
    <mergeCell ref="DGC355:DGD355"/>
    <mergeCell ref="DGE355:DGF355"/>
    <mergeCell ref="DHQ355:DHR355"/>
    <mergeCell ref="DHS355:DHT355"/>
    <mergeCell ref="DHU355:DHV355"/>
    <mergeCell ref="DHW355:DHX355"/>
    <mergeCell ref="DHY355:DHZ355"/>
    <mergeCell ref="DIA355:DIB355"/>
    <mergeCell ref="DIC355:DID355"/>
    <mergeCell ref="DIE355:DIF355"/>
    <mergeCell ref="DIG355:DIH355"/>
    <mergeCell ref="DGY355:DGZ355"/>
    <mergeCell ref="DHA355:DHB355"/>
    <mergeCell ref="DHC355:DHD355"/>
    <mergeCell ref="DHE355:DHF355"/>
    <mergeCell ref="DHG355:DHH355"/>
    <mergeCell ref="DHI355:DHJ355"/>
    <mergeCell ref="DHK355:DHL355"/>
    <mergeCell ref="DHM355:DHN355"/>
    <mergeCell ref="DHO355:DHP355"/>
    <mergeCell ref="DJA355:DJB355"/>
    <mergeCell ref="DJC355:DJD355"/>
    <mergeCell ref="DJE355:DJF355"/>
    <mergeCell ref="DJG355:DJH355"/>
    <mergeCell ref="DJI355:DJJ355"/>
    <mergeCell ref="DJK355:DJL355"/>
    <mergeCell ref="DJM355:DJN355"/>
    <mergeCell ref="DJO355:DJP355"/>
    <mergeCell ref="DJQ355:DJR355"/>
    <mergeCell ref="DII355:DIJ355"/>
    <mergeCell ref="DIK355:DIL355"/>
    <mergeCell ref="DIM355:DIN355"/>
    <mergeCell ref="DIO355:DIP355"/>
    <mergeCell ref="DIQ355:DIR355"/>
    <mergeCell ref="DIS355:DIT355"/>
    <mergeCell ref="DIU355:DIV355"/>
    <mergeCell ref="DIW355:DIX355"/>
    <mergeCell ref="DIY355:DIZ355"/>
    <mergeCell ref="DKK355:DKL355"/>
    <mergeCell ref="DKM355:DKN355"/>
    <mergeCell ref="DKO355:DKP355"/>
    <mergeCell ref="DKQ355:DKR355"/>
    <mergeCell ref="DKS355:DKT355"/>
    <mergeCell ref="DKU355:DKV355"/>
    <mergeCell ref="DKW355:DKX355"/>
    <mergeCell ref="DKY355:DKZ355"/>
    <mergeCell ref="DLA355:DLB355"/>
    <mergeCell ref="DJS355:DJT355"/>
    <mergeCell ref="DJU355:DJV355"/>
    <mergeCell ref="DJW355:DJX355"/>
    <mergeCell ref="DJY355:DJZ355"/>
    <mergeCell ref="DKA355:DKB355"/>
    <mergeCell ref="DKC355:DKD355"/>
    <mergeCell ref="DKE355:DKF355"/>
    <mergeCell ref="DKG355:DKH355"/>
    <mergeCell ref="DKI355:DKJ355"/>
    <mergeCell ref="DLU355:DLV355"/>
    <mergeCell ref="DLW355:DLX355"/>
    <mergeCell ref="DLY355:DLZ355"/>
    <mergeCell ref="DMA355:DMB355"/>
    <mergeCell ref="DMC355:DMD355"/>
    <mergeCell ref="DME355:DMF355"/>
    <mergeCell ref="DMG355:DMH355"/>
    <mergeCell ref="DMI355:DMJ355"/>
    <mergeCell ref="DMK355:DML355"/>
    <mergeCell ref="DLC355:DLD355"/>
    <mergeCell ref="DLE355:DLF355"/>
    <mergeCell ref="DLG355:DLH355"/>
    <mergeCell ref="DLI355:DLJ355"/>
    <mergeCell ref="DLK355:DLL355"/>
    <mergeCell ref="DLM355:DLN355"/>
    <mergeCell ref="DLO355:DLP355"/>
    <mergeCell ref="DLQ355:DLR355"/>
    <mergeCell ref="DLS355:DLT355"/>
    <mergeCell ref="DNE355:DNF355"/>
    <mergeCell ref="DNG355:DNH355"/>
    <mergeCell ref="DNI355:DNJ355"/>
    <mergeCell ref="DNK355:DNL355"/>
    <mergeCell ref="DNM355:DNN355"/>
    <mergeCell ref="DNO355:DNP355"/>
    <mergeCell ref="DNQ355:DNR355"/>
    <mergeCell ref="DNS355:DNT355"/>
    <mergeCell ref="DNU355:DNV355"/>
    <mergeCell ref="DMM355:DMN355"/>
    <mergeCell ref="DMO355:DMP355"/>
    <mergeCell ref="DMQ355:DMR355"/>
    <mergeCell ref="DMS355:DMT355"/>
    <mergeCell ref="DMU355:DMV355"/>
    <mergeCell ref="DMW355:DMX355"/>
    <mergeCell ref="DMY355:DMZ355"/>
    <mergeCell ref="DNA355:DNB355"/>
    <mergeCell ref="DNC355:DND355"/>
    <mergeCell ref="DOO355:DOP355"/>
    <mergeCell ref="DOQ355:DOR355"/>
    <mergeCell ref="DOS355:DOT355"/>
    <mergeCell ref="DOU355:DOV355"/>
    <mergeCell ref="DOW355:DOX355"/>
    <mergeCell ref="DOY355:DOZ355"/>
    <mergeCell ref="DPA355:DPB355"/>
    <mergeCell ref="DPC355:DPD355"/>
    <mergeCell ref="DPE355:DPF355"/>
    <mergeCell ref="DNW355:DNX355"/>
    <mergeCell ref="DNY355:DNZ355"/>
    <mergeCell ref="DOA355:DOB355"/>
    <mergeCell ref="DOC355:DOD355"/>
    <mergeCell ref="DOE355:DOF355"/>
    <mergeCell ref="DOG355:DOH355"/>
    <mergeCell ref="DOI355:DOJ355"/>
    <mergeCell ref="DOK355:DOL355"/>
    <mergeCell ref="DOM355:DON355"/>
    <mergeCell ref="DPY355:DPZ355"/>
    <mergeCell ref="DQA355:DQB355"/>
    <mergeCell ref="DQC355:DQD355"/>
    <mergeCell ref="DQE355:DQF355"/>
    <mergeCell ref="DQG355:DQH355"/>
    <mergeCell ref="DQI355:DQJ355"/>
    <mergeCell ref="DQK355:DQL355"/>
    <mergeCell ref="DQM355:DQN355"/>
    <mergeCell ref="DQO355:DQP355"/>
    <mergeCell ref="DPG355:DPH355"/>
    <mergeCell ref="DPI355:DPJ355"/>
    <mergeCell ref="DPK355:DPL355"/>
    <mergeCell ref="DPM355:DPN355"/>
    <mergeCell ref="DPO355:DPP355"/>
    <mergeCell ref="DPQ355:DPR355"/>
    <mergeCell ref="DPS355:DPT355"/>
    <mergeCell ref="DPU355:DPV355"/>
    <mergeCell ref="DPW355:DPX355"/>
    <mergeCell ref="DRI355:DRJ355"/>
    <mergeCell ref="DRK355:DRL355"/>
    <mergeCell ref="DRM355:DRN355"/>
    <mergeCell ref="DRO355:DRP355"/>
    <mergeCell ref="DRQ355:DRR355"/>
    <mergeCell ref="DRS355:DRT355"/>
    <mergeCell ref="DRU355:DRV355"/>
    <mergeCell ref="DRW355:DRX355"/>
    <mergeCell ref="DRY355:DRZ355"/>
    <mergeCell ref="DQQ355:DQR355"/>
    <mergeCell ref="DQS355:DQT355"/>
    <mergeCell ref="DQU355:DQV355"/>
    <mergeCell ref="DQW355:DQX355"/>
    <mergeCell ref="DQY355:DQZ355"/>
    <mergeCell ref="DRA355:DRB355"/>
    <mergeCell ref="DRC355:DRD355"/>
    <mergeCell ref="DRE355:DRF355"/>
    <mergeCell ref="DRG355:DRH355"/>
    <mergeCell ref="DSS355:DST355"/>
    <mergeCell ref="DSU355:DSV355"/>
    <mergeCell ref="DSW355:DSX355"/>
    <mergeCell ref="DSY355:DSZ355"/>
    <mergeCell ref="DTA355:DTB355"/>
    <mergeCell ref="DTC355:DTD355"/>
    <mergeCell ref="DTE355:DTF355"/>
    <mergeCell ref="DTG355:DTH355"/>
    <mergeCell ref="DTI355:DTJ355"/>
    <mergeCell ref="DSA355:DSB355"/>
    <mergeCell ref="DSC355:DSD355"/>
    <mergeCell ref="DSE355:DSF355"/>
    <mergeCell ref="DSG355:DSH355"/>
    <mergeCell ref="DSI355:DSJ355"/>
    <mergeCell ref="DSK355:DSL355"/>
    <mergeCell ref="DSM355:DSN355"/>
    <mergeCell ref="DSO355:DSP355"/>
    <mergeCell ref="DSQ355:DSR355"/>
    <mergeCell ref="DUC355:DUD355"/>
    <mergeCell ref="DUE355:DUF355"/>
    <mergeCell ref="DUG355:DUH355"/>
    <mergeCell ref="DUI355:DUJ355"/>
    <mergeCell ref="DUK355:DUL355"/>
    <mergeCell ref="DUM355:DUN355"/>
    <mergeCell ref="DUO355:DUP355"/>
    <mergeCell ref="DUQ355:DUR355"/>
    <mergeCell ref="DUS355:DUT355"/>
    <mergeCell ref="DTK355:DTL355"/>
    <mergeCell ref="DTM355:DTN355"/>
    <mergeCell ref="DTO355:DTP355"/>
    <mergeCell ref="DTQ355:DTR355"/>
    <mergeCell ref="DTS355:DTT355"/>
    <mergeCell ref="DTU355:DTV355"/>
    <mergeCell ref="DTW355:DTX355"/>
    <mergeCell ref="DTY355:DTZ355"/>
    <mergeCell ref="DUA355:DUB355"/>
    <mergeCell ref="DVM355:DVN355"/>
    <mergeCell ref="DVO355:DVP355"/>
    <mergeCell ref="DVQ355:DVR355"/>
    <mergeCell ref="DVS355:DVT355"/>
    <mergeCell ref="DVU355:DVV355"/>
    <mergeCell ref="DVW355:DVX355"/>
    <mergeCell ref="DVY355:DVZ355"/>
    <mergeCell ref="DWA355:DWB355"/>
    <mergeCell ref="DWC355:DWD355"/>
    <mergeCell ref="DUU355:DUV355"/>
    <mergeCell ref="DUW355:DUX355"/>
    <mergeCell ref="DUY355:DUZ355"/>
    <mergeCell ref="DVA355:DVB355"/>
    <mergeCell ref="DVC355:DVD355"/>
    <mergeCell ref="DVE355:DVF355"/>
    <mergeCell ref="DVG355:DVH355"/>
    <mergeCell ref="DVI355:DVJ355"/>
    <mergeCell ref="DVK355:DVL355"/>
    <mergeCell ref="DWW355:DWX355"/>
    <mergeCell ref="DWY355:DWZ355"/>
    <mergeCell ref="DXA355:DXB355"/>
    <mergeCell ref="DXC355:DXD355"/>
    <mergeCell ref="DXE355:DXF355"/>
    <mergeCell ref="DXG355:DXH355"/>
    <mergeCell ref="DXI355:DXJ355"/>
    <mergeCell ref="DXK355:DXL355"/>
    <mergeCell ref="DXM355:DXN355"/>
    <mergeCell ref="DWE355:DWF355"/>
    <mergeCell ref="DWG355:DWH355"/>
    <mergeCell ref="DWI355:DWJ355"/>
    <mergeCell ref="DWK355:DWL355"/>
    <mergeCell ref="DWM355:DWN355"/>
    <mergeCell ref="DWO355:DWP355"/>
    <mergeCell ref="DWQ355:DWR355"/>
    <mergeCell ref="DWS355:DWT355"/>
    <mergeCell ref="DWU355:DWV355"/>
    <mergeCell ref="DYG355:DYH355"/>
    <mergeCell ref="DYI355:DYJ355"/>
    <mergeCell ref="DYK355:DYL355"/>
    <mergeCell ref="DYM355:DYN355"/>
    <mergeCell ref="DYO355:DYP355"/>
    <mergeCell ref="DYQ355:DYR355"/>
    <mergeCell ref="DYS355:DYT355"/>
    <mergeCell ref="DYU355:DYV355"/>
    <mergeCell ref="DYW355:DYX355"/>
    <mergeCell ref="DXO355:DXP355"/>
    <mergeCell ref="DXQ355:DXR355"/>
    <mergeCell ref="DXS355:DXT355"/>
    <mergeCell ref="DXU355:DXV355"/>
    <mergeCell ref="DXW355:DXX355"/>
    <mergeCell ref="DXY355:DXZ355"/>
    <mergeCell ref="DYA355:DYB355"/>
    <mergeCell ref="DYC355:DYD355"/>
    <mergeCell ref="DYE355:DYF355"/>
    <mergeCell ref="DZQ355:DZR355"/>
    <mergeCell ref="DZS355:DZT355"/>
    <mergeCell ref="DZU355:DZV355"/>
    <mergeCell ref="DZW355:DZX355"/>
    <mergeCell ref="DZY355:DZZ355"/>
    <mergeCell ref="EAA355:EAB355"/>
    <mergeCell ref="EAC355:EAD355"/>
    <mergeCell ref="EAE355:EAF355"/>
    <mergeCell ref="EAG355:EAH355"/>
    <mergeCell ref="DYY355:DYZ355"/>
    <mergeCell ref="DZA355:DZB355"/>
    <mergeCell ref="DZC355:DZD355"/>
    <mergeCell ref="DZE355:DZF355"/>
    <mergeCell ref="DZG355:DZH355"/>
    <mergeCell ref="DZI355:DZJ355"/>
    <mergeCell ref="DZK355:DZL355"/>
    <mergeCell ref="DZM355:DZN355"/>
    <mergeCell ref="DZO355:DZP355"/>
    <mergeCell ref="EBA355:EBB355"/>
    <mergeCell ref="EBC355:EBD355"/>
    <mergeCell ref="EBE355:EBF355"/>
    <mergeCell ref="EBG355:EBH355"/>
    <mergeCell ref="EBI355:EBJ355"/>
    <mergeCell ref="EBK355:EBL355"/>
    <mergeCell ref="EBM355:EBN355"/>
    <mergeCell ref="EBO355:EBP355"/>
    <mergeCell ref="EBQ355:EBR355"/>
    <mergeCell ref="EAI355:EAJ355"/>
    <mergeCell ref="EAK355:EAL355"/>
    <mergeCell ref="EAM355:EAN355"/>
    <mergeCell ref="EAO355:EAP355"/>
    <mergeCell ref="EAQ355:EAR355"/>
    <mergeCell ref="EAS355:EAT355"/>
    <mergeCell ref="EAU355:EAV355"/>
    <mergeCell ref="EAW355:EAX355"/>
    <mergeCell ref="EAY355:EAZ355"/>
    <mergeCell ref="ECK355:ECL355"/>
    <mergeCell ref="ECM355:ECN355"/>
    <mergeCell ref="ECO355:ECP355"/>
    <mergeCell ref="ECQ355:ECR355"/>
    <mergeCell ref="ECS355:ECT355"/>
    <mergeCell ref="ECU355:ECV355"/>
    <mergeCell ref="ECW355:ECX355"/>
    <mergeCell ref="ECY355:ECZ355"/>
    <mergeCell ref="EDA355:EDB355"/>
    <mergeCell ref="EBS355:EBT355"/>
    <mergeCell ref="EBU355:EBV355"/>
    <mergeCell ref="EBW355:EBX355"/>
    <mergeCell ref="EBY355:EBZ355"/>
    <mergeCell ref="ECA355:ECB355"/>
    <mergeCell ref="ECC355:ECD355"/>
    <mergeCell ref="ECE355:ECF355"/>
    <mergeCell ref="ECG355:ECH355"/>
    <mergeCell ref="ECI355:ECJ355"/>
    <mergeCell ref="EDU355:EDV355"/>
    <mergeCell ref="EDW355:EDX355"/>
    <mergeCell ref="EDY355:EDZ355"/>
    <mergeCell ref="EEA355:EEB355"/>
    <mergeCell ref="EEC355:EED355"/>
    <mergeCell ref="EEE355:EEF355"/>
    <mergeCell ref="EEG355:EEH355"/>
    <mergeCell ref="EEI355:EEJ355"/>
    <mergeCell ref="EEK355:EEL355"/>
    <mergeCell ref="EDC355:EDD355"/>
    <mergeCell ref="EDE355:EDF355"/>
    <mergeCell ref="EDG355:EDH355"/>
    <mergeCell ref="EDI355:EDJ355"/>
    <mergeCell ref="EDK355:EDL355"/>
    <mergeCell ref="EDM355:EDN355"/>
    <mergeCell ref="EDO355:EDP355"/>
    <mergeCell ref="EDQ355:EDR355"/>
    <mergeCell ref="EDS355:EDT355"/>
    <mergeCell ref="EFE355:EFF355"/>
    <mergeCell ref="EFG355:EFH355"/>
    <mergeCell ref="EFI355:EFJ355"/>
    <mergeCell ref="EFK355:EFL355"/>
    <mergeCell ref="EFM355:EFN355"/>
    <mergeCell ref="EFO355:EFP355"/>
    <mergeCell ref="EFQ355:EFR355"/>
    <mergeCell ref="EFS355:EFT355"/>
    <mergeCell ref="EFU355:EFV355"/>
    <mergeCell ref="EEM355:EEN355"/>
    <mergeCell ref="EEO355:EEP355"/>
    <mergeCell ref="EEQ355:EER355"/>
    <mergeCell ref="EES355:EET355"/>
    <mergeCell ref="EEU355:EEV355"/>
    <mergeCell ref="EEW355:EEX355"/>
    <mergeCell ref="EEY355:EEZ355"/>
    <mergeCell ref="EFA355:EFB355"/>
    <mergeCell ref="EFC355:EFD355"/>
    <mergeCell ref="EGO355:EGP355"/>
    <mergeCell ref="EGQ355:EGR355"/>
    <mergeCell ref="EGS355:EGT355"/>
    <mergeCell ref="EGU355:EGV355"/>
    <mergeCell ref="EGW355:EGX355"/>
    <mergeCell ref="EGY355:EGZ355"/>
    <mergeCell ref="EHA355:EHB355"/>
    <mergeCell ref="EHC355:EHD355"/>
    <mergeCell ref="EHE355:EHF355"/>
    <mergeCell ref="EFW355:EFX355"/>
    <mergeCell ref="EFY355:EFZ355"/>
    <mergeCell ref="EGA355:EGB355"/>
    <mergeCell ref="EGC355:EGD355"/>
    <mergeCell ref="EGE355:EGF355"/>
    <mergeCell ref="EGG355:EGH355"/>
    <mergeCell ref="EGI355:EGJ355"/>
    <mergeCell ref="EGK355:EGL355"/>
    <mergeCell ref="EGM355:EGN355"/>
    <mergeCell ref="EHY355:EHZ355"/>
    <mergeCell ref="EIA355:EIB355"/>
    <mergeCell ref="EIC355:EID355"/>
    <mergeCell ref="EIE355:EIF355"/>
    <mergeCell ref="EIG355:EIH355"/>
    <mergeCell ref="EII355:EIJ355"/>
    <mergeCell ref="EIK355:EIL355"/>
    <mergeCell ref="EIM355:EIN355"/>
    <mergeCell ref="EIO355:EIP355"/>
    <mergeCell ref="EHG355:EHH355"/>
    <mergeCell ref="EHI355:EHJ355"/>
    <mergeCell ref="EHK355:EHL355"/>
    <mergeCell ref="EHM355:EHN355"/>
    <mergeCell ref="EHO355:EHP355"/>
    <mergeCell ref="EHQ355:EHR355"/>
    <mergeCell ref="EHS355:EHT355"/>
    <mergeCell ref="EHU355:EHV355"/>
    <mergeCell ref="EHW355:EHX355"/>
    <mergeCell ref="EJI355:EJJ355"/>
    <mergeCell ref="EJK355:EJL355"/>
    <mergeCell ref="EJM355:EJN355"/>
    <mergeCell ref="EJO355:EJP355"/>
    <mergeCell ref="EJQ355:EJR355"/>
    <mergeCell ref="EJS355:EJT355"/>
    <mergeCell ref="EJU355:EJV355"/>
    <mergeCell ref="EJW355:EJX355"/>
    <mergeCell ref="EJY355:EJZ355"/>
    <mergeCell ref="EIQ355:EIR355"/>
    <mergeCell ref="EIS355:EIT355"/>
    <mergeCell ref="EIU355:EIV355"/>
    <mergeCell ref="EIW355:EIX355"/>
    <mergeCell ref="EIY355:EIZ355"/>
    <mergeCell ref="EJA355:EJB355"/>
    <mergeCell ref="EJC355:EJD355"/>
    <mergeCell ref="EJE355:EJF355"/>
    <mergeCell ref="EJG355:EJH355"/>
    <mergeCell ref="EKS355:EKT355"/>
    <mergeCell ref="EKU355:EKV355"/>
    <mergeCell ref="EKW355:EKX355"/>
    <mergeCell ref="EKY355:EKZ355"/>
    <mergeCell ref="ELA355:ELB355"/>
    <mergeCell ref="ELC355:ELD355"/>
    <mergeCell ref="ELE355:ELF355"/>
    <mergeCell ref="ELG355:ELH355"/>
    <mergeCell ref="ELI355:ELJ355"/>
    <mergeCell ref="EKA355:EKB355"/>
    <mergeCell ref="EKC355:EKD355"/>
    <mergeCell ref="EKE355:EKF355"/>
    <mergeCell ref="EKG355:EKH355"/>
    <mergeCell ref="EKI355:EKJ355"/>
    <mergeCell ref="EKK355:EKL355"/>
    <mergeCell ref="EKM355:EKN355"/>
    <mergeCell ref="EKO355:EKP355"/>
    <mergeCell ref="EKQ355:EKR355"/>
    <mergeCell ref="EMC355:EMD355"/>
    <mergeCell ref="EME355:EMF355"/>
    <mergeCell ref="EMG355:EMH355"/>
    <mergeCell ref="EMI355:EMJ355"/>
    <mergeCell ref="EMK355:EML355"/>
    <mergeCell ref="EMM355:EMN355"/>
    <mergeCell ref="EMO355:EMP355"/>
    <mergeCell ref="EMQ355:EMR355"/>
    <mergeCell ref="EMS355:EMT355"/>
    <mergeCell ref="ELK355:ELL355"/>
    <mergeCell ref="ELM355:ELN355"/>
    <mergeCell ref="ELO355:ELP355"/>
    <mergeCell ref="ELQ355:ELR355"/>
    <mergeCell ref="ELS355:ELT355"/>
    <mergeCell ref="ELU355:ELV355"/>
    <mergeCell ref="ELW355:ELX355"/>
    <mergeCell ref="ELY355:ELZ355"/>
    <mergeCell ref="EMA355:EMB355"/>
    <mergeCell ref="ENM355:ENN355"/>
    <mergeCell ref="ENO355:ENP355"/>
    <mergeCell ref="ENQ355:ENR355"/>
    <mergeCell ref="ENS355:ENT355"/>
    <mergeCell ref="ENU355:ENV355"/>
    <mergeCell ref="ENW355:ENX355"/>
    <mergeCell ref="ENY355:ENZ355"/>
    <mergeCell ref="EOA355:EOB355"/>
    <mergeCell ref="EOC355:EOD355"/>
    <mergeCell ref="EMU355:EMV355"/>
    <mergeCell ref="EMW355:EMX355"/>
    <mergeCell ref="EMY355:EMZ355"/>
    <mergeCell ref="ENA355:ENB355"/>
    <mergeCell ref="ENC355:END355"/>
    <mergeCell ref="ENE355:ENF355"/>
    <mergeCell ref="ENG355:ENH355"/>
    <mergeCell ref="ENI355:ENJ355"/>
    <mergeCell ref="ENK355:ENL355"/>
    <mergeCell ref="EOW355:EOX355"/>
    <mergeCell ref="EOY355:EOZ355"/>
    <mergeCell ref="EPA355:EPB355"/>
    <mergeCell ref="EPC355:EPD355"/>
    <mergeCell ref="EPE355:EPF355"/>
    <mergeCell ref="EPG355:EPH355"/>
    <mergeCell ref="EPI355:EPJ355"/>
    <mergeCell ref="EPK355:EPL355"/>
    <mergeCell ref="EPM355:EPN355"/>
    <mergeCell ref="EOE355:EOF355"/>
    <mergeCell ref="EOG355:EOH355"/>
    <mergeCell ref="EOI355:EOJ355"/>
    <mergeCell ref="EOK355:EOL355"/>
    <mergeCell ref="EOM355:EON355"/>
    <mergeCell ref="EOO355:EOP355"/>
    <mergeCell ref="EOQ355:EOR355"/>
    <mergeCell ref="EOS355:EOT355"/>
    <mergeCell ref="EOU355:EOV355"/>
    <mergeCell ref="EQG355:EQH355"/>
    <mergeCell ref="EQI355:EQJ355"/>
    <mergeCell ref="EQK355:EQL355"/>
    <mergeCell ref="EQM355:EQN355"/>
    <mergeCell ref="EQO355:EQP355"/>
    <mergeCell ref="EQQ355:EQR355"/>
    <mergeCell ref="EQS355:EQT355"/>
    <mergeCell ref="EQU355:EQV355"/>
    <mergeCell ref="EQW355:EQX355"/>
    <mergeCell ref="EPO355:EPP355"/>
    <mergeCell ref="EPQ355:EPR355"/>
    <mergeCell ref="EPS355:EPT355"/>
    <mergeCell ref="EPU355:EPV355"/>
    <mergeCell ref="EPW355:EPX355"/>
    <mergeCell ref="EPY355:EPZ355"/>
    <mergeCell ref="EQA355:EQB355"/>
    <mergeCell ref="EQC355:EQD355"/>
    <mergeCell ref="EQE355:EQF355"/>
    <mergeCell ref="ERQ355:ERR355"/>
    <mergeCell ref="ERS355:ERT355"/>
    <mergeCell ref="ERU355:ERV355"/>
    <mergeCell ref="ERW355:ERX355"/>
    <mergeCell ref="ERY355:ERZ355"/>
    <mergeCell ref="ESA355:ESB355"/>
    <mergeCell ref="ESC355:ESD355"/>
    <mergeCell ref="ESE355:ESF355"/>
    <mergeCell ref="ESG355:ESH355"/>
    <mergeCell ref="EQY355:EQZ355"/>
    <mergeCell ref="ERA355:ERB355"/>
    <mergeCell ref="ERC355:ERD355"/>
    <mergeCell ref="ERE355:ERF355"/>
    <mergeCell ref="ERG355:ERH355"/>
    <mergeCell ref="ERI355:ERJ355"/>
    <mergeCell ref="ERK355:ERL355"/>
    <mergeCell ref="ERM355:ERN355"/>
    <mergeCell ref="ERO355:ERP355"/>
    <mergeCell ref="ETA355:ETB355"/>
    <mergeCell ref="ETC355:ETD355"/>
    <mergeCell ref="ETE355:ETF355"/>
    <mergeCell ref="ETG355:ETH355"/>
    <mergeCell ref="ETI355:ETJ355"/>
    <mergeCell ref="ETK355:ETL355"/>
    <mergeCell ref="ETM355:ETN355"/>
    <mergeCell ref="ETO355:ETP355"/>
    <mergeCell ref="ETQ355:ETR355"/>
    <mergeCell ref="ESI355:ESJ355"/>
    <mergeCell ref="ESK355:ESL355"/>
    <mergeCell ref="ESM355:ESN355"/>
    <mergeCell ref="ESO355:ESP355"/>
    <mergeCell ref="ESQ355:ESR355"/>
    <mergeCell ref="ESS355:EST355"/>
    <mergeCell ref="ESU355:ESV355"/>
    <mergeCell ref="ESW355:ESX355"/>
    <mergeCell ref="ESY355:ESZ355"/>
    <mergeCell ref="EUK355:EUL355"/>
    <mergeCell ref="EUM355:EUN355"/>
    <mergeCell ref="EUO355:EUP355"/>
    <mergeCell ref="EUQ355:EUR355"/>
    <mergeCell ref="EUS355:EUT355"/>
    <mergeCell ref="EUU355:EUV355"/>
    <mergeCell ref="EUW355:EUX355"/>
    <mergeCell ref="EUY355:EUZ355"/>
    <mergeCell ref="EVA355:EVB355"/>
    <mergeCell ref="ETS355:ETT355"/>
    <mergeCell ref="ETU355:ETV355"/>
    <mergeCell ref="ETW355:ETX355"/>
    <mergeCell ref="ETY355:ETZ355"/>
    <mergeCell ref="EUA355:EUB355"/>
    <mergeCell ref="EUC355:EUD355"/>
    <mergeCell ref="EUE355:EUF355"/>
    <mergeCell ref="EUG355:EUH355"/>
    <mergeCell ref="EUI355:EUJ355"/>
    <mergeCell ref="EVU355:EVV355"/>
    <mergeCell ref="EVW355:EVX355"/>
    <mergeCell ref="EVY355:EVZ355"/>
    <mergeCell ref="EWA355:EWB355"/>
    <mergeCell ref="EWC355:EWD355"/>
    <mergeCell ref="EWE355:EWF355"/>
    <mergeCell ref="EWG355:EWH355"/>
    <mergeCell ref="EWI355:EWJ355"/>
    <mergeCell ref="EWK355:EWL355"/>
    <mergeCell ref="EVC355:EVD355"/>
    <mergeCell ref="EVE355:EVF355"/>
    <mergeCell ref="EVG355:EVH355"/>
    <mergeCell ref="EVI355:EVJ355"/>
    <mergeCell ref="EVK355:EVL355"/>
    <mergeCell ref="EVM355:EVN355"/>
    <mergeCell ref="EVO355:EVP355"/>
    <mergeCell ref="EVQ355:EVR355"/>
    <mergeCell ref="EVS355:EVT355"/>
    <mergeCell ref="EXE355:EXF355"/>
    <mergeCell ref="EXG355:EXH355"/>
    <mergeCell ref="EXI355:EXJ355"/>
    <mergeCell ref="EXK355:EXL355"/>
    <mergeCell ref="EXM355:EXN355"/>
    <mergeCell ref="EXO355:EXP355"/>
    <mergeCell ref="EXQ355:EXR355"/>
    <mergeCell ref="EXS355:EXT355"/>
    <mergeCell ref="EXU355:EXV355"/>
    <mergeCell ref="EWM355:EWN355"/>
    <mergeCell ref="EWO355:EWP355"/>
    <mergeCell ref="EWQ355:EWR355"/>
    <mergeCell ref="EWS355:EWT355"/>
    <mergeCell ref="EWU355:EWV355"/>
    <mergeCell ref="EWW355:EWX355"/>
    <mergeCell ref="EWY355:EWZ355"/>
    <mergeCell ref="EXA355:EXB355"/>
    <mergeCell ref="EXC355:EXD355"/>
    <mergeCell ref="EYO355:EYP355"/>
    <mergeCell ref="EYQ355:EYR355"/>
    <mergeCell ref="EYS355:EYT355"/>
    <mergeCell ref="EYU355:EYV355"/>
    <mergeCell ref="EYW355:EYX355"/>
    <mergeCell ref="EYY355:EYZ355"/>
    <mergeCell ref="EZA355:EZB355"/>
    <mergeCell ref="EZC355:EZD355"/>
    <mergeCell ref="EZE355:EZF355"/>
    <mergeCell ref="EXW355:EXX355"/>
    <mergeCell ref="EXY355:EXZ355"/>
    <mergeCell ref="EYA355:EYB355"/>
    <mergeCell ref="EYC355:EYD355"/>
    <mergeCell ref="EYE355:EYF355"/>
    <mergeCell ref="EYG355:EYH355"/>
    <mergeCell ref="EYI355:EYJ355"/>
    <mergeCell ref="EYK355:EYL355"/>
    <mergeCell ref="EYM355:EYN355"/>
    <mergeCell ref="EZY355:EZZ355"/>
    <mergeCell ref="FAA355:FAB355"/>
    <mergeCell ref="FAC355:FAD355"/>
    <mergeCell ref="FAE355:FAF355"/>
    <mergeCell ref="FAG355:FAH355"/>
    <mergeCell ref="FAI355:FAJ355"/>
    <mergeCell ref="FAK355:FAL355"/>
    <mergeCell ref="FAM355:FAN355"/>
    <mergeCell ref="FAO355:FAP355"/>
    <mergeCell ref="EZG355:EZH355"/>
    <mergeCell ref="EZI355:EZJ355"/>
    <mergeCell ref="EZK355:EZL355"/>
    <mergeCell ref="EZM355:EZN355"/>
    <mergeCell ref="EZO355:EZP355"/>
    <mergeCell ref="EZQ355:EZR355"/>
    <mergeCell ref="EZS355:EZT355"/>
    <mergeCell ref="EZU355:EZV355"/>
    <mergeCell ref="EZW355:EZX355"/>
    <mergeCell ref="FBI355:FBJ355"/>
    <mergeCell ref="FBK355:FBL355"/>
    <mergeCell ref="FBM355:FBN355"/>
    <mergeCell ref="FBO355:FBP355"/>
    <mergeCell ref="FBQ355:FBR355"/>
    <mergeCell ref="FBS355:FBT355"/>
    <mergeCell ref="FBU355:FBV355"/>
    <mergeCell ref="FBW355:FBX355"/>
    <mergeCell ref="FBY355:FBZ355"/>
    <mergeCell ref="FAQ355:FAR355"/>
    <mergeCell ref="FAS355:FAT355"/>
    <mergeCell ref="FAU355:FAV355"/>
    <mergeCell ref="FAW355:FAX355"/>
    <mergeCell ref="FAY355:FAZ355"/>
    <mergeCell ref="FBA355:FBB355"/>
    <mergeCell ref="FBC355:FBD355"/>
    <mergeCell ref="FBE355:FBF355"/>
    <mergeCell ref="FBG355:FBH355"/>
    <mergeCell ref="FCS355:FCT355"/>
    <mergeCell ref="FCU355:FCV355"/>
    <mergeCell ref="FCW355:FCX355"/>
    <mergeCell ref="FCY355:FCZ355"/>
    <mergeCell ref="FDA355:FDB355"/>
    <mergeCell ref="FDC355:FDD355"/>
    <mergeCell ref="FDE355:FDF355"/>
    <mergeCell ref="FDG355:FDH355"/>
    <mergeCell ref="FDI355:FDJ355"/>
    <mergeCell ref="FCA355:FCB355"/>
    <mergeCell ref="FCC355:FCD355"/>
    <mergeCell ref="FCE355:FCF355"/>
    <mergeCell ref="FCG355:FCH355"/>
    <mergeCell ref="FCI355:FCJ355"/>
    <mergeCell ref="FCK355:FCL355"/>
    <mergeCell ref="FCM355:FCN355"/>
    <mergeCell ref="FCO355:FCP355"/>
    <mergeCell ref="FCQ355:FCR355"/>
    <mergeCell ref="FEC355:FED355"/>
    <mergeCell ref="FEE355:FEF355"/>
    <mergeCell ref="FEG355:FEH355"/>
    <mergeCell ref="FEI355:FEJ355"/>
    <mergeCell ref="FEK355:FEL355"/>
    <mergeCell ref="FEM355:FEN355"/>
    <mergeCell ref="FEO355:FEP355"/>
    <mergeCell ref="FEQ355:FER355"/>
    <mergeCell ref="FES355:FET355"/>
    <mergeCell ref="FDK355:FDL355"/>
    <mergeCell ref="FDM355:FDN355"/>
    <mergeCell ref="FDO355:FDP355"/>
    <mergeCell ref="FDQ355:FDR355"/>
    <mergeCell ref="FDS355:FDT355"/>
    <mergeCell ref="FDU355:FDV355"/>
    <mergeCell ref="FDW355:FDX355"/>
    <mergeCell ref="FDY355:FDZ355"/>
    <mergeCell ref="FEA355:FEB355"/>
    <mergeCell ref="FFM355:FFN355"/>
    <mergeCell ref="FFO355:FFP355"/>
    <mergeCell ref="FFQ355:FFR355"/>
    <mergeCell ref="FFS355:FFT355"/>
    <mergeCell ref="FFU355:FFV355"/>
    <mergeCell ref="FFW355:FFX355"/>
    <mergeCell ref="FFY355:FFZ355"/>
    <mergeCell ref="FGA355:FGB355"/>
    <mergeCell ref="FGC355:FGD355"/>
    <mergeCell ref="FEU355:FEV355"/>
    <mergeCell ref="FEW355:FEX355"/>
    <mergeCell ref="FEY355:FEZ355"/>
    <mergeCell ref="FFA355:FFB355"/>
    <mergeCell ref="FFC355:FFD355"/>
    <mergeCell ref="FFE355:FFF355"/>
    <mergeCell ref="FFG355:FFH355"/>
    <mergeCell ref="FFI355:FFJ355"/>
    <mergeCell ref="FFK355:FFL355"/>
    <mergeCell ref="FGW355:FGX355"/>
    <mergeCell ref="FGY355:FGZ355"/>
    <mergeCell ref="FHA355:FHB355"/>
    <mergeCell ref="FHC355:FHD355"/>
    <mergeCell ref="FHE355:FHF355"/>
    <mergeCell ref="FHG355:FHH355"/>
    <mergeCell ref="FHI355:FHJ355"/>
    <mergeCell ref="FHK355:FHL355"/>
    <mergeCell ref="FHM355:FHN355"/>
    <mergeCell ref="FGE355:FGF355"/>
    <mergeCell ref="FGG355:FGH355"/>
    <mergeCell ref="FGI355:FGJ355"/>
    <mergeCell ref="FGK355:FGL355"/>
    <mergeCell ref="FGM355:FGN355"/>
    <mergeCell ref="FGO355:FGP355"/>
    <mergeCell ref="FGQ355:FGR355"/>
    <mergeCell ref="FGS355:FGT355"/>
    <mergeCell ref="FGU355:FGV355"/>
    <mergeCell ref="FIG355:FIH355"/>
    <mergeCell ref="FII355:FIJ355"/>
    <mergeCell ref="FIK355:FIL355"/>
    <mergeCell ref="FIM355:FIN355"/>
    <mergeCell ref="FIO355:FIP355"/>
    <mergeCell ref="FIQ355:FIR355"/>
    <mergeCell ref="FIS355:FIT355"/>
    <mergeCell ref="FIU355:FIV355"/>
    <mergeCell ref="FIW355:FIX355"/>
    <mergeCell ref="FHO355:FHP355"/>
    <mergeCell ref="FHQ355:FHR355"/>
    <mergeCell ref="FHS355:FHT355"/>
    <mergeCell ref="FHU355:FHV355"/>
    <mergeCell ref="FHW355:FHX355"/>
    <mergeCell ref="FHY355:FHZ355"/>
    <mergeCell ref="FIA355:FIB355"/>
    <mergeCell ref="FIC355:FID355"/>
    <mergeCell ref="FIE355:FIF355"/>
    <mergeCell ref="FJQ355:FJR355"/>
    <mergeCell ref="FJS355:FJT355"/>
    <mergeCell ref="FJU355:FJV355"/>
    <mergeCell ref="FJW355:FJX355"/>
    <mergeCell ref="FJY355:FJZ355"/>
    <mergeCell ref="FKA355:FKB355"/>
    <mergeCell ref="FKC355:FKD355"/>
    <mergeCell ref="FKE355:FKF355"/>
    <mergeCell ref="FKG355:FKH355"/>
    <mergeCell ref="FIY355:FIZ355"/>
    <mergeCell ref="FJA355:FJB355"/>
    <mergeCell ref="FJC355:FJD355"/>
    <mergeCell ref="FJE355:FJF355"/>
    <mergeCell ref="FJG355:FJH355"/>
    <mergeCell ref="FJI355:FJJ355"/>
    <mergeCell ref="FJK355:FJL355"/>
    <mergeCell ref="FJM355:FJN355"/>
    <mergeCell ref="FJO355:FJP355"/>
    <mergeCell ref="FLA355:FLB355"/>
    <mergeCell ref="FLC355:FLD355"/>
    <mergeCell ref="FLE355:FLF355"/>
    <mergeCell ref="FLG355:FLH355"/>
    <mergeCell ref="FLI355:FLJ355"/>
    <mergeCell ref="FLK355:FLL355"/>
    <mergeCell ref="FLM355:FLN355"/>
    <mergeCell ref="FLO355:FLP355"/>
    <mergeCell ref="FLQ355:FLR355"/>
    <mergeCell ref="FKI355:FKJ355"/>
    <mergeCell ref="FKK355:FKL355"/>
    <mergeCell ref="FKM355:FKN355"/>
    <mergeCell ref="FKO355:FKP355"/>
    <mergeCell ref="FKQ355:FKR355"/>
    <mergeCell ref="FKS355:FKT355"/>
    <mergeCell ref="FKU355:FKV355"/>
    <mergeCell ref="FKW355:FKX355"/>
    <mergeCell ref="FKY355:FKZ355"/>
    <mergeCell ref="FMK355:FML355"/>
    <mergeCell ref="FMM355:FMN355"/>
    <mergeCell ref="FMO355:FMP355"/>
    <mergeCell ref="FMQ355:FMR355"/>
    <mergeCell ref="FMS355:FMT355"/>
    <mergeCell ref="FMU355:FMV355"/>
    <mergeCell ref="FMW355:FMX355"/>
    <mergeCell ref="FMY355:FMZ355"/>
    <mergeCell ref="FNA355:FNB355"/>
    <mergeCell ref="FLS355:FLT355"/>
    <mergeCell ref="FLU355:FLV355"/>
    <mergeCell ref="FLW355:FLX355"/>
    <mergeCell ref="FLY355:FLZ355"/>
    <mergeCell ref="FMA355:FMB355"/>
    <mergeCell ref="FMC355:FMD355"/>
    <mergeCell ref="FME355:FMF355"/>
    <mergeCell ref="FMG355:FMH355"/>
    <mergeCell ref="FMI355:FMJ355"/>
    <mergeCell ref="FNU355:FNV355"/>
    <mergeCell ref="FNW355:FNX355"/>
    <mergeCell ref="FNY355:FNZ355"/>
    <mergeCell ref="FOA355:FOB355"/>
    <mergeCell ref="FOC355:FOD355"/>
    <mergeCell ref="FOE355:FOF355"/>
    <mergeCell ref="FOG355:FOH355"/>
    <mergeCell ref="FOI355:FOJ355"/>
    <mergeCell ref="FOK355:FOL355"/>
    <mergeCell ref="FNC355:FND355"/>
    <mergeCell ref="FNE355:FNF355"/>
    <mergeCell ref="FNG355:FNH355"/>
    <mergeCell ref="FNI355:FNJ355"/>
    <mergeCell ref="FNK355:FNL355"/>
    <mergeCell ref="FNM355:FNN355"/>
    <mergeCell ref="FNO355:FNP355"/>
    <mergeCell ref="FNQ355:FNR355"/>
    <mergeCell ref="FNS355:FNT355"/>
    <mergeCell ref="FPE355:FPF355"/>
    <mergeCell ref="FPG355:FPH355"/>
    <mergeCell ref="FPI355:FPJ355"/>
    <mergeCell ref="FPK355:FPL355"/>
    <mergeCell ref="FPM355:FPN355"/>
    <mergeCell ref="FPO355:FPP355"/>
    <mergeCell ref="FPQ355:FPR355"/>
    <mergeCell ref="FPS355:FPT355"/>
    <mergeCell ref="FPU355:FPV355"/>
    <mergeCell ref="FOM355:FON355"/>
    <mergeCell ref="FOO355:FOP355"/>
    <mergeCell ref="FOQ355:FOR355"/>
    <mergeCell ref="FOS355:FOT355"/>
    <mergeCell ref="FOU355:FOV355"/>
    <mergeCell ref="FOW355:FOX355"/>
    <mergeCell ref="FOY355:FOZ355"/>
    <mergeCell ref="FPA355:FPB355"/>
    <mergeCell ref="FPC355:FPD355"/>
    <mergeCell ref="FQO355:FQP355"/>
    <mergeCell ref="FQQ355:FQR355"/>
    <mergeCell ref="FQS355:FQT355"/>
    <mergeCell ref="FQU355:FQV355"/>
    <mergeCell ref="FQW355:FQX355"/>
    <mergeCell ref="FQY355:FQZ355"/>
    <mergeCell ref="FRA355:FRB355"/>
    <mergeCell ref="FRC355:FRD355"/>
    <mergeCell ref="FRE355:FRF355"/>
    <mergeCell ref="FPW355:FPX355"/>
    <mergeCell ref="FPY355:FPZ355"/>
    <mergeCell ref="FQA355:FQB355"/>
    <mergeCell ref="FQC355:FQD355"/>
    <mergeCell ref="FQE355:FQF355"/>
    <mergeCell ref="FQG355:FQH355"/>
    <mergeCell ref="FQI355:FQJ355"/>
    <mergeCell ref="FQK355:FQL355"/>
    <mergeCell ref="FQM355:FQN355"/>
    <mergeCell ref="FRY355:FRZ355"/>
    <mergeCell ref="FSA355:FSB355"/>
    <mergeCell ref="FSC355:FSD355"/>
    <mergeCell ref="FSE355:FSF355"/>
    <mergeCell ref="FSG355:FSH355"/>
    <mergeCell ref="FSI355:FSJ355"/>
    <mergeCell ref="FSK355:FSL355"/>
    <mergeCell ref="FSM355:FSN355"/>
    <mergeCell ref="FSO355:FSP355"/>
    <mergeCell ref="FRG355:FRH355"/>
    <mergeCell ref="FRI355:FRJ355"/>
    <mergeCell ref="FRK355:FRL355"/>
    <mergeCell ref="FRM355:FRN355"/>
    <mergeCell ref="FRO355:FRP355"/>
    <mergeCell ref="FRQ355:FRR355"/>
    <mergeCell ref="FRS355:FRT355"/>
    <mergeCell ref="FRU355:FRV355"/>
    <mergeCell ref="FRW355:FRX355"/>
    <mergeCell ref="FTI355:FTJ355"/>
    <mergeCell ref="FTK355:FTL355"/>
    <mergeCell ref="FTM355:FTN355"/>
    <mergeCell ref="FTO355:FTP355"/>
    <mergeCell ref="FTQ355:FTR355"/>
    <mergeCell ref="FTS355:FTT355"/>
    <mergeCell ref="FTU355:FTV355"/>
    <mergeCell ref="FTW355:FTX355"/>
    <mergeCell ref="FTY355:FTZ355"/>
    <mergeCell ref="FSQ355:FSR355"/>
    <mergeCell ref="FSS355:FST355"/>
    <mergeCell ref="FSU355:FSV355"/>
    <mergeCell ref="FSW355:FSX355"/>
    <mergeCell ref="FSY355:FSZ355"/>
    <mergeCell ref="FTA355:FTB355"/>
    <mergeCell ref="FTC355:FTD355"/>
    <mergeCell ref="FTE355:FTF355"/>
    <mergeCell ref="FTG355:FTH355"/>
    <mergeCell ref="FUS355:FUT355"/>
    <mergeCell ref="FUU355:FUV355"/>
    <mergeCell ref="FUW355:FUX355"/>
    <mergeCell ref="FUY355:FUZ355"/>
    <mergeCell ref="FVA355:FVB355"/>
    <mergeCell ref="FVC355:FVD355"/>
    <mergeCell ref="FVE355:FVF355"/>
    <mergeCell ref="FVG355:FVH355"/>
    <mergeCell ref="FVI355:FVJ355"/>
    <mergeCell ref="FUA355:FUB355"/>
    <mergeCell ref="FUC355:FUD355"/>
    <mergeCell ref="FUE355:FUF355"/>
    <mergeCell ref="FUG355:FUH355"/>
    <mergeCell ref="FUI355:FUJ355"/>
    <mergeCell ref="FUK355:FUL355"/>
    <mergeCell ref="FUM355:FUN355"/>
    <mergeCell ref="FUO355:FUP355"/>
    <mergeCell ref="FUQ355:FUR355"/>
    <mergeCell ref="FWC355:FWD355"/>
    <mergeCell ref="FWE355:FWF355"/>
    <mergeCell ref="FWG355:FWH355"/>
    <mergeCell ref="FWI355:FWJ355"/>
    <mergeCell ref="FWK355:FWL355"/>
    <mergeCell ref="FWM355:FWN355"/>
    <mergeCell ref="FWO355:FWP355"/>
    <mergeCell ref="FWQ355:FWR355"/>
    <mergeCell ref="FWS355:FWT355"/>
    <mergeCell ref="FVK355:FVL355"/>
    <mergeCell ref="FVM355:FVN355"/>
    <mergeCell ref="FVO355:FVP355"/>
    <mergeCell ref="FVQ355:FVR355"/>
    <mergeCell ref="FVS355:FVT355"/>
    <mergeCell ref="FVU355:FVV355"/>
    <mergeCell ref="FVW355:FVX355"/>
    <mergeCell ref="FVY355:FVZ355"/>
    <mergeCell ref="FWA355:FWB355"/>
    <mergeCell ref="FXM355:FXN355"/>
    <mergeCell ref="FXO355:FXP355"/>
    <mergeCell ref="FXQ355:FXR355"/>
    <mergeCell ref="FXS355:FXT355"/>
    <mergeCell ref="FXU355:FXV355"/>
    <mergeCell ref="FXW355:FXX355"/>
    <mergeCell ref="FXY355:FXZ355"/>
    <mergeCell ref="FYA355:FYB355"/>
    <mergeCell ref="FYC355:FYD355"/>
    <mergeCell ref="FWU355:FWV355"/>
    <mergeCell ref="FWW355:FWX355"/>
    <mergeCell ref="FWY355:FWZ355"/>
    <mergeCell ref="FXA355:FXB355"/>
    <mergeCell ref="FXC355:FXD355"/>
    <mergeCell ref="FXE355:FXF355"/>
    <mergeCell ref="FXG355:FXH355"/>
    <mergeCell ref="FXI355:FXJ355"/>
    <mergeCell ref="FXK355:FXL355"/>
    <mergeCell ref="FYW355:FYX355"/>
    <mergeCell ref="FYY355:FYZ355"/>
    <mergeCell ref="FZA355:FZB355"/>
    <mergeCell ref="FZC355:FZD355"/>
    <mergeCell ref="FZE355:FZF355"/>
    <mergeCell ref="FZG355:FZH355"/>
    <mergeCell ref="FZI355:FZJ355"/>
    <mergeCell ref="FZK355:FZL355"/>
    <mergeCell ref="FZM355:FZN355"/>
    <mergeCell ref="FYE355:FYF355"/>
    <mergeCell ref="FYG355:FYH355"/>
    <mergeCell ref="FYI355:FYJ355"/>
    <mergeCell ref="FYK355:FYL355"/>
    <mergeCell ref="FYM355:FYN355"/>
    <mergeCell ref="FYO355:FYP355"/>
    <mergeCell ref="FYQ355:FYR355"/>
    <mergeCell ref="FYS355:FYT355"/>
    <mergeCell ref="FYU355:FYV355"/>
    <mergeCell ref="GAG355:GAH355"/>
    <mergeCell ref="GAI355:GAJ355"/>
    <mergeCell ref="GAK355:GAL355"/>
    <mergeCell ref="GAM355:GAN355"/>
    <mergeCell ref="GAO355:GAP355"/>
    <mergeCell ref="GAQ355:GAR355"/>
    <mergeCell ref="GAS355:GAT355"/>
    <mergeCell ref="GAU355:GAV355"/>
    <mergeCell ref="GAW355:GAX355"/>
    <mergeCell ref="FZO355:FZP355"/>
    <mergeCell ref="FZQ355:FZR355"/>
    <mergeCell ref="FZS355:FZT355"/>
    <mergeCell ref="FZU355:FZV355"/>
    <mergeCell ref="FZW355:FZX355"/>
    <mergeCell ref="FZY355:FZZ355"/>
    <mergeCell ref="GAA355:GAB355"/>
    <mergeCell ref="GAC355:GAD355"/>
    <mergeCell ref="GAE355:GAF355"/>
    <mergeCell ref="GBQ355:GBR355"/>
    <mergeCell ref="GBS355:GBT355"/>
    <mergeCell ref="GBU355:GBV355"/>
    <mergeCell ref="GBW355:GBX355"/>
    <mergeCell ref="GBY355:GBZ355"/>
    <mergeCell ref="GCA355:GCB355"/>
    <mergeCell ref="GCC355:GCD355"/>
    <mergeCell ref="GCE355:GCF355"/>
    <mergeCell ref="GCG355:GCH355"/>
    <mergeCell ref="GAY355:GAZ355"/>
    <mergeCell ref="GBA355:GBB355"/>
    <mergeCell ref="GBC355:GBD355"/>
    <mergeCell ref="GBE355:GBF355"/>
    <mergeCell ref="GBG355:GBH355"/>
    <mergeCell ref="GBI355:GBJ355"/>
    <mergeCell ref="GBK355:GBL355"/>
    <mergeCell ref="GBM355:GBN355"/>
    <mergeCell ref="GBO355:GBP355"/>
    <mergeCell ref="GDA355:GDB355"/>
    <mergeCell ref="GDC355:GDD355"/>
    <mergeCell ref="GDE355:GDF355"/>
    <mergeCell ref="GDG355:GDH355"/>
    <mergeCell ref="GDI355:GDJ355"/>
    <mergeCell ref="GDK355:GDL355"/>
    <mergeCell ref="GDM355:GDN355"/>
    <mergeCell ref="GDO355:GDP355"/>
    <mergeCell ref="GDQ355:GDR355"/>
    <mergeCell ref="GCI355:GCJ355"/>
    <mergeCell ref="GCK355:GCL355"/>
    <mergeCell ref="GCM355:GCN355"/>
    <mergeCell ref="GCO355:GCP355"/>
    <mergeCell ref="GCQ355:GCR355"/>
    <mergeCell ref="GCS355:GCT355"/>
    <mergeCell ref="GCU355:GCV355"/>
    <mergeCell ref="GCW355:GCX355"/>
    <mergeCell ref="GCY355:GCZ355"/>
    <mergeCell ref="GEK355:GEL355"/>
    <mergeCell ref="GEM355:GEN355"/>
    <mergeCell ref="GEO355:GEP355"/>
    <mergeCell ref="GEQ355:GER355"/>
    <mergeCell ref="GES355:GET355"/>
    <mergeCell ref="GEU355:GEV355"/>
    <mergeCell ref="GEW355:GEX355"/>
    <mergeCell ref="GEY355:GEZ355"/>
    <mergeCell ref="GFA355:GFB355"/>
    <mergeCell ref="GDS355:GDT355"/>
    <mergeCell ref="GDU355:GDV355"/>
    <mergeCell ref="GDW355:GDX355"/>
    <mergeCell ref="GDY355:GDZ355"/>
    <mergeCell ref="GEA355:GEB355"/>
    <mergeCell ref="GEC355:GED355"/>
    <mergeCell ref="GEE355:GEF355"/>
    <mergeCell ref="GEG355:GEH355"/>
    <mergeCell ref="GEI355:GEJ355"/>
    <mergeCell ref="GFU355:GFV355"/>
    <mergeCell ref="GFW355:GFX355"/>
    <mergeCell ref="GFY355:GFZ355"/>
    <mergeCell ref="GGA355:GGB355"/>
    <mergeCell ref="GGC355:GGD355"/>
    <mergeCell ref="GGE355:GGF355"/>
    <mergeCell ref="GGG355:GGH355"/>
    <mergeCell ref="GGI355:GGJ355"/>
    <mergeCell ref="GGK355:GGL355"/>
    <mergeCell ref="GFC355:GFD355"/>
    <mergeCell ref="GFE355:GFF355"/>
    <mergeCell ref="GFG355:GFH355"/>
    <mergeCell ref="GFI355:GFJ355"/>
    <mergeCell ref="GFK355:GFL355"/>
    <mergeCell ref="GFM355:GFN355"/>
    <mergeCell ref="GFO355:GFP355"/>
    <mergeCell ref="GFQ355:GFR355"/>
    <mergeCell ref="GFS355:GFT355"/>
    <mergeCell ref="GHE355:GHF355"/>
    <mergeCell ref="GHG355:GHH355"/>
    <mergeCell ref="GHI355:GHJ355"/>
    <mergeCell ref="GHK355:GHL355"/>
    <mergeCell ref="GHM355:GHN355"/>
    <mergeCell ref="GHO355:GHP355"/>
    <mergeCell ref="GHQ355:GHR355"/>
    <mergeCell ref="GHS355:GHT355"/>
    <mergeCell ref="GHU355:GHV355"/>
    <mergeCell ref="GGM355:GGN355"/>
    <mergeCell ref="GGO355:GGP355"/>
    <mergeCell ref="GGQ355:GGR355"/>
    <mergeCell ref="GGS355:GGT355"/>
    <mergeCell ref="GGU355:GGV355"/>
    <mergeCell ref="GGW355:GGX355"/>
    <mergeCell ref="GGY355:GGZ355"/>
    <mergeCell ref="GHA355:GHB355"/>
    <mergeCell ref="GHC355:GHD355"/>
    <mergeCell ref="GIO355:GIP355"/>
    <mergeCell ref="GIQ355:GIR355"/>
    <mergeCell ref="GIS355:GIT355"/>
    <mergeCell ref="GIU355:GIV355"/>
    <mergeCell ref="GIW355:GIX355"/>
    <mergeCell ref="GIY355:GIZ355"/>
    <mergeCell ref="GJA355:GJB355"/>
    <mergeCell ref="GJC355:GJD355"/>
    <mergeCell ref="GJE355:GJF355"/>
    <mergeCell ref="GHW355:GHX355"/>
    <mergeCell ref="GHY355:GHZ355"/>
    <mergeCell ref="GIA355:GIB355"/>
    <mergeCell ref="GIC355:GID355"/>
    <mergeCell ref="GIE355:GIF355"/>
    <mergeCell ref="GIG355:GIH355"/>
    <mergeCell ref="GII355:GIJ355"/>
    <mergeCell ref="GIK355:GIL355"/>
    <mergeCell ref="GIM355:GIN355"/>
    <mergeCell ref="GJY355:GJZ355"/>
    <mergeCell ref="GKA355:GKB355"/>
    <mergeCell ref="GKC355:GKD355"/>
    <mergeCell ref="GKE355:GKF355"/>
    <mergeCell ref="GKG355:GKH355"/>
    <mergeCell ref="GKI355:GKJ355"/>
    <mergeCell ref="GKK355:GKL355"/>
    <mergeCell ref="GKM355:GKN355"/>
    <mergeCell ref="GKO355:GKP355"/>
    <mergeCell ref="GJG355:GJH355"/>
    <mergeCell ref="GJI355:GJJ355"/>
    <mergeCell ref="GJK355:GJL355"/>
    <mergeCell ref="GJM355:GJN355"/>
    <mergeCell ref="GJO355:GJP355"/>
    <mergeCell ref="GJQ355:GJR355"/>
    <mergeCell ref="GJS355:GJT355"/>
    <mergeCell ref="GJU355:GJV355"/>
    <mergeCell ref="GJW355:GJX355"/>
    <mergeCell ref="GLI355:GLJ355"/>
    <mergeCell ref="GLK355:GLL355"/>
    <mergeCell ref="GLM355:GLN355"/>
    <mergeCell ref="GLO355:GLP355"/>
    <mergeCell ref="GLQ355:GLR355"/>
    <mergeCell ref="GLS355:GLT355"/>
    <mergeCell ref="GLU355:GLV355"/>
    <mergeCell ref="GLW355:GLX355"/>
    <mergeCell ref="GLY355:GLZ355"/>
    <mergeCell ref="GKQ355:GKR355"/>
    <mergeCell ref="GKS355:GKT355"/>
    <mergeCell ref="GKU355:GKV355"/>
    <mergeCell ref="GKW355:GKX355"/>
    <mergeCell ref="GKY355:GKZ355"/>
    <mergeCell ref="GLA355:GLB355"/>
    <mergeCell ref="GLC355:GLD355"/>
    <mergeCell ref="GLE355:GLF355"/>
    <mergeCell ref="GLG355:GLH355"/>
    <mergeCell ref="GMS355:GMT355"/>
    <mergeCell ref="GMU355:GMV355"/>
    <mergeCell ref="GMW355:GMX355"/>
    <mergeCell ref="GMY355:GMZ355"/>
    <mergeCell ref="GNA355:GNB355"/>
    <mergeCell ref="GNC355:GND355"/>
    <mergeCell ref="GNE355:GNF355"/>
    <mergeCell ref="GNG355:GNH355"/>
    <mergeCell ref="GNI355:GNJ355"/>
    <mergeCell ref="GMA355:GMB355"/>
    <mergeCell ref="GMC355:GMD355"/>
    <mergeCell ref="GME355:GMF355"/>
    <mergeCell ref="GMG355:GMH355"/>
    <mergeCell ref="GMI355:GMJ355"/>
    <mergeCell ref="GMK355:GML355"/>
    <mergeCell ref="GMM355:GMN355"/>
    <mergeCell ref="GMO355:GMP355"/>
    <mergeCell ref="GMQ355:GMR355"/>
    <mergeCell ref="GOC355:GOD355"/>
    <mergeCell ref="GOE355:GOF355"/>
    <mergeCell ref="GOG355:GOH355"/>
    <mergeCell ref="GOI355:GOJ355"/>
    <mergeCell ref="GOK355:GOL355"/>
    <mergeCell ref="GOM355:GON355"/>
    <mergeCell ref="GOO355:GOP355"/>
    <mergeCell ref="GOQ355:GOR355"/>
    <mergeCell ref="GOS355:GOT355"/>
    <mergeCell ref="GNK355:GNL355"/>
    <mergeCell ref="GNM355:GNN355"/>
    <mergeCell ref="GNO355:GNP355"/>
    <mergeCell ref="GNQ355:GNR355"/>
    <mergeCell ref="GNS355:GNT355"/>
    <mergeCell ref="GNU355:GNV355"/>
    <mergeCell ref="GNW355:GNX355"/>
    <mergeCell ref="GNY355:GNZ355"/>
    <mergeCell ref="GOA355:GOB355"/>
    <mergeCell ref="GPM355:GPN355"/>
    <mergeCell ref="GPO355:GPP355"/>
    <mergeCell ref="GPQ355:GPR355"/>
    <mergeCell ref="GPS355:GPT355"/>
    <mergeCell ref="GPU355:GPV355"/>
    <mergeCell ref="GPW355:GPX355"/>
    <mergeCell ref="GPY355:GPZ355"/>
    <mergeCell ref="GQA355:GQB355"/>
    <mergeCell ref="GQC355:GQD355"/>
    <mergeCell ref="GOU355:GOV355"/>
    <mergeCell ref="GOW355:GOX355"/>
    <mergeCell ref="GOY355:GOZ355"/>
    <mergeCell ref="GPA355:GPB355"/>
    <mergeCell ref="GPC355:GPD355"/>
    <mergeCell ref="GPE355:GPF355"/>
    <mergeCell ref="GPG355:GPH355"/>
    <mergeCell ref="GPI355:GPJ355"/>
    <mergeCell ref="GPK355:GPL355"/>
    <mergeCell ref="GQW355:GQX355"/>
    <mergeCell ref="GQY355:GQZ355"/>
    <mergeCell ref="GRA355:GRB355"/>
    <mergeCell ref="GRC355:GRD355"/>
    <mergeCell ref="GRE355:GRF355"/>
    <mergeCell ref="GRG355:GRH355"/>
    <mergeCell ref="GRI355:GRJ355"/>
    <mergeCell ref="GRK355:GRL355"/>
    <mergeCell ref="GRM355:GRN355"/>
    <mergeCell ref="GQE355:GQF355"/>
    <mergeCell ref="GQG355:GQH355"/>
    <mergeCell ref="GQI355:GQJ355"/>
    <mergeCell ref="GQK355:GQL355"/>
    <mergeCell ref="GQM355:GQN355"/>
    <mergeCell ref="GQO355:GQP355"/>
    <mergeCell ref="GQQ355:GQR355"/>
    <mergeCell ref="GQS355:GQT355"/>
    <mergeCell ref="GQU355:GQV355"/>
    <mergeCell ref="GSG355:GSH355"/>
    <mergeCell ref="GSI355:GSJ355"/>
    <mergeCell ref="GSK355:GSL355"/>
    <mergeCell ref="GSM355:GSN355"/>
    <mergeCell ref="GSO355:GSP355"/>
    <mergeCell ref="GSQ355:GSR355"/>
    <mergeCell ref="GSS355:GST355"/>
    <mergeCell ref="GSU355:GSV355"/>
    <mergeCell ref="GSW355:GSX355"/>
    <mergeCell ref="GRO355:GRP355"/>
    <mergeCell ref="GRQ355:GRR355"/>
    <mergeCell ref="GRS355:GRT355"/>
    <mergeCell ref="GRU355:GRV355"/>
    <mergeCell ref="GRW355:GRX355"/>
    <mergeCell ref="GRY355:GRZ355"/>
    <mergeCell ref="GSA355:GSB355"/>
    <mergeCell ref="GSC355:GSD355"/>
    <mergeCell ref="GSE355:GSF355"/>
    <mergeCell ref="GTQ355:GTR355"/>
    <mergeCell ref="GTS355:GTT355"/>
    <mergeCell ref="GTU355:GTV355"/>
    <mergeCell ref="GTW355:GTX355"/>
    <mergeCell ref="GTY355:GTZ355"/>
    <mergeCell ref="GUA355:GUB355"/>
    <mergeCell ref="GUC355:GUD355"/>
    <mergeCell ref="GUE355:GUF355"/>
    <mergeCell ref="GUG355:GUH355"/>
    <mergeCell ref="GSY355:GSZ355"/>
    <mergeCell ref="GTA355:GTB355"/>
    <mergeCell ref="GTC355:GTD355"/>
    <mergeCell ref="GTE355:GTF355"/>
    <mergeCell ref="GTG355:GTH355"/>
    <mergeCell ref="GTI355:GTJ355"/>
    <mergeCell ref="GTK355:GTL355"/>
    <mergeCell ref="GTM355:GTN355"/>
    <mergeCell ref="GTO355:GTP355"/>
    <mergeCell ref="GVA355:GVB355"/>
    <mergeCell ref="GVC355:GVD355"/>
    <mergeCell ref="GVE355:GVF355"/>
    <mergeCell ref="GVG355:GVH355"/>
    <mergeCell ref="GVI355:GVJ355"/>
    <mergeCell ref="GVK355:GVL355"/>
    <mergeCell ref="GVM355:GVN355"/>
    <mergeCell ref="GVO355:GVP355"/>
    <mergeCell ref="GVQ355:GVR355"/>
    <mergeCell ref="GUI355:GUJ355"/>
    <mergeCell ref="GUK355:GUL355"/>
    <mergeCell ref="GUM355:GUN355"/>
    <mergeCell ref="GUO355:GUP355"/>
    <mergeCell ref="GUQ355:GUR355"/>
    <mergeCell ref="GUS355:GUT355"/>
    <mergeCell ref="GUU355:GUV355"/>
    <mergeCell ref="GUW355:GUX355"/>
    <mergeCell ref="GUY355:GUZ355"/>
    <mergeCell ref="GWK355:GWL355"/>
    <mergeCell ref="GWM355:GWN355"/>
    <mergeCell ref="GWO355:GWP355"/>
    <mergeCell ref="GWQ355:GWR355"/>
    <mergeCell ref="GWS355:GWT355"/>
    <mergeCell ref="GWU355:GWV355"/>
    <mergeCell ref="GWW355:GWX355"/>
    <mergeCell ref="GWY355:GWZ355"/>
    <mergeCell ref="GXA355:GXB355"/>
    <mergeCell ref="GVS355:GVT355"/>
    <mergeCell ref="GVU355:GVV355"/>
    <mergeCell ref="GVW355:GVX355"/>
    <mergeCell ref="GVY355:GVZ355"/>
    <mergeCell ref="GWA355:GWB355"/>
    <mergeCell ref="GWC355:GWD355"/>
    <mergeCell ref="GWE355:GWF355"/>
    <mergeCell ref="GWG355:GWH355"/>
    <mergeCell ref="GWI355:GWJ355"/>
    <mergeCell ref="GXU355:GXV355"/>
    <mergeCell ref="GXW355:GXX355"/>
    <mergeCell ref="GXY355:GXZ355"/>
    <mergeCell ref="GYA355:GYB355"/>
    <mergeCell ref="GYC355:GYD355"/>
    <mergeCell ref="GYE355:GYF355"/>
    <mergeCell ref="GYG355:GYH355"/>
    <mergeCell ref="GYI355:GYJ355"/>
    <mergeCell ref="GYK355:GYL355"/>
    <mergeCell ref="GXC355:GXD355"/>
    <mergeCell ref="GXE355:GXF355"/>
    <mergeCell ref="GXG355:GXH355"/>
    <mergeCell ref="GXI355:GXJ355"/>
    <mergeCell ref="GXK355:GXL355"/>
    <mergeCell ref="GXM355:GXN355"/>
    <mergeCell ref="GXO355:GXP355"/>
    <mergeCell ref="GXQ355:GXR355"/>
    <mergeCell ref="GXS355:GXT355"/>
    <mergeCell ref="GZE355:GZF355"/>
    <mergeCell ref="GZG355:GZH355"/>
    <mergeCell ref="GZI355:GZJ355"/>
    <mergeCell ref="GZK355:GZL355"/>
    <mergeCell ref="GZM355:GZN355"/>
    <mergeCell ref="GZO355:GZP355"/>
    <mergeCell ref="GZQ355:GZR355"/>
    <mergeCell ref="GZS355:GZT355"/>
    <mergeCell ref="GZU355:GZV355"/>
    <mergeCell ref="GYM355:GYN355"/>
    <mergeCell ref="GYO355:GYP355"/>
    <mergeCell ref="GYQ355:GYR355"/>
    <mergeCell ref="GYS355:GYT355"/>
    <mergeCell ref="GYU355:GYV355"/>
    <mergeCell ref="GYW355:GYX355"/>
    <mergeCell ref="GYY355:GYZ355"/>
    <mergeCell ref="GZA355:GZB355"/>
    <mergeCell ref="GZC355:GZD355"/>
    <mergeCell ref="HAO355:HAP355"/>
    <mergeCell ref="HAQ355:HAR355"/>
    <mergeCell ref="HAS355:HAT355"/>
    <mergeCell ref="HAU355:HAV355"/>
    <mergeCell ref="HAW355:HAX355"/>
    <mergeCell ref="HAY355:HAZ355"/>
    <mergeCell ref="HBA355:HBB355"/>
    <mergeCell ref="HBC355:HBD355"/>
    <mergeCell ref="HBE355:HBF355"/>
    <mergeCell ref="GZW355:GZX355"/>
    <mergeCell ref="GZY355:GZZ355"/>
    <mergeCell ref="HAA355:HAB355"/>
    <mergeCell ref="HAC355:HAD355"/>
    <mergeCell ref="HAE355:HAF355"/>
    <mergeCell ref="HAG355:HAH355"/>
    <mergeCell ref="HAI355:HAJ355"/>
    <mergeCell ref="HAK355:HAL355"/>
    <mergeCell ref="HAM355:HAN355"/>
    <mergeCell ref="HBY355:HBZ355"/>
    <mergeCell ref="HCA355:HCB355"/>
    <mergeCell ref="HCC355:HCD355"/>
    <mergeCell ref="HCE355:HCF355"/>
    <mergeCell ref="HCG355:HCH355"/>
    <mergeCell ref="HCI355:HCJ355"/>
    <mergeCell ref="HCK355:HCL355"/>
    <mergeCell ref="HCM355:HCN355"/>
    <mergeCell ref="HCO355:HCP355"/>
    <mergeCell ref="HBG355:HBH355"/>
    <mergeCell ref="HBI355:HBJ355"/>
    <mergeCell ref="HBK355:HBL355"/>
    <mergeCell ref="HBM355:HBN355"/>
    <mergeCell ref="HBO355:HBP355"/>
    <mergeCell ref="HBQ355:HBR355"/>
    <mergeCell ref="HBS355:HBT355"/>
    <mergeCell ref="HBU355:HBV355"/>
    <mergeCell ref="HBW355:HBX355"/>
    <mergeCell ref="HDI355:HDJ355"/>
    <mergeCell ref="HDK355:HDL355"/>
    <mergeCell ref="HDM355:HDN355"/>
    <mergeCell ref="HDO355:HDP355"/>
    <mergeCell ref="HDQ355:HDR355"/>
    <mergeCell ref="HDS355:HDT355"/>
    <mergeCell ref="HDU355:HDV355"/>
    <mergeCell ref="HDW355:HDX355"/>
    <mergeCell ref="HDY355:HDZ355"/>
    <mergeCell ref="HCQ355:HCR355"/>
    <mergeCell ref="HCS355:HCT355"/>
    <mergeCell ref="HCU355:HCV355"/>
    <mergeCell ref="HCW355:HCX355"/>
    <mergeCell ref="HCY355:HCZ355"/>
    <mergeCell ref="HDA355:HDB355"/>
    <mergeCell ref="HDC355:HDD355"/>
    <mergeCell ref="HDE355:HDF355"/>
    <mergeCell ref="HDG355:HDH355"/>
    <mergeCell ref="HES355:HET355"/>
    <mergeCell ref="HEU355:HEV355"/>
    <mergeCell ref="HEW355:HEX355"/>
    <mergeCell ref="HEY355:HEZ355"/>
    <mergeCell ref="HFA355:HFB355"/>
    <mergeCell ref="HFC355:HFD355"/>
    <mergeCell ref="HFE355:HFF355"/>
    <mergeCell ref="HFG355:HFH355"/>
    <mergeCell ref="HFI355:HFJ355"/>
    <mergeCell ref="HEA355:HEB355"/>
    <mergeCell ref="HEC355:HED355"/>
    <mergeCell ref="HEE355:HEF355"/>
    <mergeCell ref="HEG355:HEH355"/>
    <mergeCell ref="HEI355:HEJ355"/>
    <mergeCell ref="HEK355:HEL355"/>
    <mergeCell ref="HEM355:HEN355"/>
    <mergeCell ref="HEO355:HEP355"/>
    <mergeCell ref="HEQ355:HER355"/>
    <mergeCell ref="HGC355:HGD355"/>
    <mergeCell ref="HGE355:HGF355"/>
    <mergeCell ref="HGG355:HGH355"/>
    <mergeCell ref="HGI355:HGJ355"/>
    <mergeCell ref="HGK355:HGL355"/>
    <mergeCell ref="HGM355:HGN355"/>
    <mergeCell ref="HGO355:HGP355"/>
    <mergeCell ref="HGQ355:HGR355"/>
    <mergeCell ref="HGS355:HGT355"/>
    <mergeCell ref="HFK355:HFL355"/>
    <mergeCell ref="HFM355:HFN355"/>
    <mergeCell ref="HFO355:HFP355"/>
    <mergeCell ref="HFQ355:HFR355"/>
    <mergeCell ref="HFS355:HFT355"/>
    <mergeCell ref="HFU355:HFV355"/>
    <mergeCell ref="HFW355:HFX355"/>
    <mergeCell ref="HFY355:HFZ355"/>
    <mergeCell ref="HGA355:HGB355"/>
    <mergeCell ref="HHM355:HHN355"/>
    <mergeCell ref="HHO355:HHP355"/>
    <mergeCell ref="HHQ355:HHR355"/>
    <mergeCell ref="HHS355:HHT355"/>
    <mergeCell ref="HHU355:HHV355"/>
    <mergeCell ref="HHW355:HHX355"/>
    <mergeCell ref="HHY355:HHZ355"/>
    <mergeCell ref="HIA355:HIB355"/>
    <mergeCell ref="HIC355:HID355"/>
    <mergeCell ref="HGU355:HGV355"/>
    <mergeCell ref="HGW355:HGX355"/>
    <mergeCell ref="HGY355:HGZ355"/>
    <mergeCell ref="HHA355:HHB355"/>
    <mergeCell ref="HHC355:HHD355"/>
    <mergeCell ref="HHE355:HHF355"/>
    <mergeCell ref="HHG355:HHH355"/>
    <mergeCell ref="HHI355:HHJ355"/>
    <mergeCell ref="HHK355:HHL355"/>
    <mergeCell ref="HIW355:HIX355"/>
    <mergeCell ref="HIY355:HIZ355"/>
    <mergeCell ref="HJA355:HJB355"/>
    <mergeCell ref="HJC355:HJD355"/>
    <mergeCell ref="HJE355:HJF355"/>
    <mergeCell ref="HJG355:HJH355"/>
    <mergeCell ref="HJI355:HJJ355"/>
    <mergeCell ref="HJK355:HJL355"/>
    <mergeCell ref="HJM355:HJN355"/>
    <mergeCell ref="HIE355:HIF355"/>
    <mergeCell ref="HIG355:HIH355"/>
    <mergeCell ref="HII355:HIJ355"/>
    <mergeCell ref="HIK355:HIL355"/>
    <mergeCell ref="HIM355:HIN355"/>
    <mergeCell ref="HIO355:HIP355"/>
    <mergeCell ref="HIQ355:HIR355"/>
    <mergeCell ref="HIS355:HIT355"/>
    <mergeCell ref="HIU355:HIV355"/>
    <mergeCell ref="HKG355:HKH355"/>
    <mergeCell ref="HKI355:HKJ355"/>
    <mergeCell ref="HKK355:HKL355"/>
    <mergeCell ref="HKM355:HKN355"/>
    <mergeCell ref="HKO355:HKP355"/>
    <mergeCell ref="HKQ355:HKR355"/>
    <mergeCell ref="HKS355:HKT355"/>
    <mergeCell ref="HKU355:HKV355"/>
    <mergeCell ref="HKW355:HKX355"/>
    <mergeCell ref="HJO355:HJP355"/>
    <mergeCell ref="HJQ355:HJR355"/>
    <mergeCell ref="HJS355:HJT355"/>
    <mergeCell ref="HJU355:HJV355"/>
    <mergeCell ref="HJW355:HJX355"/>
    <mergeCell ref="HJY355:HJZ355"/>
    <mergeCell ref="HKA355:HKB355"/>
    <mergeCell ref="HKC355:HKD355"/>
    <mergeCell ref="HKE355:HKF355"/>
    <mergeCell ref="HLQ355:HLR355"/>
    <mergeCell ref="HLS355:HLT355"/>
    <mergeCell ref="HLU355:HLV355"/>
    <mergeCell ref="HLW355:HLX355"/>
    <mergeCell ref="HLY355:HLZ355"/>
    <mergeCell ref="HMA355:HMB355"/>
    <mergeCell ref="HMC355:HMD355"/>
    <mergeCell ref="HME355:HMF355"/>
    <mergeCell ref="HMG355:HMH355"/>
    <mergeCell ref="HKY355:HKZ355"/>
    <mergeCell ref="HLA355:HLB355"/>
    <mergeCell ref="HLC355:HLD355"/>
    <mergeCell ref="HLE355:HLF355"/>
    <mergeCell ref="HLG355:HLH355"/>
    <mergeCell ref="HLI355:HLJ355"/>
    <mergeCell ref="HLK355:HLL355"/>
    <mergeCell ref="HLM355:HLN355"/>
    <mergeCell ref="HLO355:HLP355"/>
    <mergeCell ref="HNA355:HNB355"/>
    <mergeCell ref="HNC355:HND355"/>
    <mergeCell ref="HNE355:HNF355"/>
    <mergeCell ref="HNG355:HNH355"/>
    <mergeCell ref="HNI355:HNJ355"/>
    <mergeCell ref="HNK355:HNL355"/>
    <mergeCell ref="HNM355:HNN355"/>
    <mergeCell ref="HNO355:HNP355"/>
    <mergeCell ref="HNQ355:HNR355"/>
    <mergeCell ref="HMI355:HMJ355"/>
    <mergeCell ref="HMK355:HML355"/>
    <mergeCell ref="HMM355:HMN355"/>
    <mergeCell ref="HMO355:HMP355"/>
    <mergeCell ref="HMQ355:HMR355"/>
    <mergeCell ref="HMS355:HMT355"/>
    <mergeCell ref="HMU355:HMV355"/>
    <mergeCell ref="HMW355:HMX355"/>
    <mergeCell ref="HMY355:HMZ355"/>
    <mergeCell ref="HOK355:HOL355"/>
    <mergeCell ref="HOM355:HON355"/>
    <mergeCell ref="HOO355:HOP355"/>
    <mergeCell ref="HOQ355:HOR355"/>
    <mergeCell ref="HOS355:HOT355"/>
    <mergeCell ref="HOU355:HOV355"/>
    <mergeCell ref="HOW355:HOX355"/>
    <mergeCell ref="HOY355:HOZ355"/>
    <mergeCell ref="HPA355:HPB355"/>
    <mergeCell ref="HNS355:HNT355"/>
    <mergeCell ref="HNU355:HNV355"/>
    <mergeCell ref="HNW355:HNX355"/>
    <mergeCell ref="HNY355:HNZ355"/>
    <mergeCell ref="HOA355:HOB355"/>
    <mergeCell ref="HOC355:HOD355"/>
    <mergeCell ref="HOE355:HOF355"/>
    <mergeCell ref="HOG355:HOH355"/>
    <mergeCell ref="HOI355:HOJ355"/>
    <mergeCell ref="HPU355:HPV355"/>
    <mergeCell ref="HPW355:HPX355"/>
    <mergeCell ref="HPY355:HPZ355"/>
    <mergeCell ref="HQA355:HQB355"/>
    <mergeCell ref="HQC355:HQD355"/>
    <mergeCell ref="HQE355:HQF355"/>
    <mergeCell ref="HQG355:HQH355"/>
    <mergeCell ref="HQI355:HQJ355"/>
    <mergeCell ref="HQK355:HQL355"/>
    <mergeCell ref="HPC355:HPD355"/>
    <mergeCell ref="HPE355:HPF355"/>
    <mergeCell ref="HPG355:HPH355"/>
    <mergeCell ref="HPI355:HPJ355"/>
    <mergeCell ref="HPK355:HPL355"/>
    <mergeCell ref="HPM355:HPN355"/>
    <mergeCell ref="HPO355:HPP355"/>
    <mergeCell ref="HPQ355:HPR355"/>
    <mergeCell ref="HPS355:HPT355"/>
    <mergeCell ref="HRE355:HRF355"/>
    <mergeCell ref="HRG355:HRH355"/>
    <mergeCell ref="HRI355:HRJ355"/>
    <mergeCell ref="HRK355:HRL355"/>
    <mergeCell ref="HRM355:HRN355"/>
    <mergeCell ref="HRO355:HRP355"/>
    <mergeCell ref="HRQ355:HRR355"/>
    <mergeCell ref="HRS355:HRT355"/>
    <mergeCell ref="HRU355:HRV355"/>
    <mergeCell ref="HQM355:HQN355"/>
    <mergeCell ref="HQO355:HQP355"/>
    <mergeCell ref="HQQ355:HQR355"/>
    <mergeCell ref="HQS355:HQT355"/>
    <mergeCell ref="HQU355:HQV355"/>
    <mergeCell ref="HQW355:HQX355"/>
    <mergeCell ref="HQY355:HQZ355"/>
    <mergeCell ref="HRA355:HRB355"/>
    <mergeCell ref="HRC355:HRD355"/>
    <mergeCell ref="HSO355:HSP355"/>
    <mergeCell ref="HSQ355:HSR355"/>
    <mergeCell ref="HSS355:HST355"/>
    <mergeCell ref="HSU355:HSV355"/>
    <mergeCell ref="HSW355:HSX355"/>
    <mergeCell ref="HSY355:HSZ355"/>
    <mergeCell ref="HTA355:HTB355"/>
    <mergeCell ref="HTC355:HTD355"/>
    <mergeCell ref="HTE355:HTF355"/>
    <mergeCell ref="HRW355:HRX355"/>
    <mergeCell ref="HRY355:HRZ355"/>
    <mergeCell ref="HSA355:HSB355"/>
    <mergeCell ref="HSC355:HSD355"/>
    <mergeCell ref="HSE355:HSF355"/>
    <mergeCell ref="HSG355:HSH355"/>
    <mergeCell ref="HSI355:HSJ355"/>
    <mergeCell ref="HSK355:HSL355"/>
    <mergeCell ref="HSM355:HSN355"/>
    <mergeCell ref="HTY355:HTZ355"/>
    <mergeCell ref="HUA355:HUB355"/>
    <mergeCell ref="HUC355:HUD355"/>
    <mergeCell ref="HUE355:HUF355"/>
    <mergeCell ref="HUG355:HUH355"/>
    <mergeCell ref="HUI355:HUJ355"/>
    <mergeCell ref="HUK355:HUL355"/>
    <mergeCell ref="HUM355:HUN355"/>
    <mergeCell ref="HUO355:HUP355"/>
    <mergeCell ref="HTG355:HTH355"/>
    <mergeCell ref="HTI355:HTJ355"/>
    <mergeCell ref="HTK355:HTL355"/>
    <mergeCell ref="HTM355:HTN355"/>
    <mergeCell ref="HTO355:HTP355"/>
    <mergeCell ref="HTQ355:HTR355"/>
    <mergeCell ref="HTS355:HTT355"/>
    <mergeCell ref="HTU355:HTV355"/>
    <mergeCell ref="HTW355:HTX355"/>
    <mergeCell ref="HVI355:HVJ355"/>
    <mergeCell ref="HVK355:HVL355"/>
    <mergeCell ref="HVM355:HVN355"/>
    <mergeCell ref="HVO355:HVP355"/>
    <mergeCell ref="HVQ355:HVR355"/>
    <mergeCell ref="HVS355:HVT355"/>
    <mergeCell ref="HVU355:HVV355"/>
    <mergeCell ref="HVW355:HVX355"/>
    <mergeCell ref="HVY355:HVZ355"/>
    <mergeCell ref="HUQ355:HUR355"/>
    <mergeCell ref="HUS355:HUT355"/>
    <mergeCell ref="HUU355:HUV355"/>
    <mergeCell ref="HUW355:HUX355"/>
    <mergeCell ref="HUY355:HUZ355"/>
    <mergeCell ref="HVA355:HVB355"/>
    <mergeCell ref="HVC355:HVD355"/>
    <mergeCell ref="HVE355:HVF355"/>
    <mergeCell ref="HVG355:HVH355"/>
    <mergeCell ref="HWS355:HWT355"/>
    <mergeCell ref="HWU355:HWV355"/>
    <mergeCell ref="HWW355:HWX355"/>
    <mergeCell ref="HWY355:HWZ355"/>
    <mergeCell ref="HXA355:HXB355"/>
    <mergeCell ref="HXC355:HXD355"/>
    <mergeCell ref="HXE355:HXF355"/>
    <mergeCell ref="HXG355:HXH355"/>
    <mergeCell ref="HXI355:HXJ355"/>
    <mergeCell ref="HWA355:HWB355"/>
    <mergeCell ref="HWC355:HWD355"/>
    <mergeCell ref="HWE355:HWF355"/>
    <mergeCell ref="HWG355:HWH355"/>
    <mergeCell ref="HWI355:HWJ355"/>
    <mergeCell ref="HWK355:HWL355"/>
    <mergeCell ref="HWM355:HWN355"/>
    <mergeCell ref="HWO355:HWP355"/>
    <mergeCell ref="HWQ355:HWR355"/>
    <mergeCell ref="HYC355:HYD355"/>
    <mergeCell ref="HYE355:HYF355"/>
    <mergeCell ref="HYG355:HYH355"/>
    <mergeCell ref="HYI355:HYJ355"/>
    <mergeCell ref="HYK355:HYL355"/>
    <mergeCell ref="HYM355:HYN355"/>
    <mergeCell ref="HYO355:HYP355"/>
    <mergeCell ref="HYQ355:HYR355"/>
    <mergeCell ref="HYS355:HYT355"/>
    <mergeCell ref="HXK355:HXL355"/>
    <mergeCell ref="HXM355:HXN355"/>
    <mergeCell ref="HXO355:HXP355"/>
    <mergeCell ref="HXQ355:HXR355"/>
    <mergeCell ref="HXS355:HXT355"/>
    <mergeCell ref="HXU355:HXV355"/>
    <mergeCell ref="HXW355:HXX355"/>
    <mergeCell ref="HXY355:HXZ355"/>
    <mergeCell ref="HYA355:HYB355"/>
    <mergeCell ref="HZM355:HZN355"/>
    <mergeCell ref="HZO355:HZP355"/>
    <mergeCell ref="HZQ355:HZR355"/>
    <mergeCell ref="HZS355:HZT355"/>
    <mergeCell ref="HZU355:HZV355"/>
    <mergeCell ref="HZW355:HZX355"/>
    <mergeCell ref="HZY355:HZZ355"/>
    <mergeCell ref="IAA355:IAB355"/>
    <mergeCell ref="IAC355:IAD355"/>
    <mergeCell ref="HYU355:HYV355"/>
    <mergeCell ref="HYW355:HYX355"/>
    <mergeCell ref="HYY355:HYZ355"/>
    <mergeCell ref="HZA355:HZB355"/>
    <mergeCell ref="HZC355:HZD355"/>
    <mergeCell ref="HZE355:HZF355"/>
    <mergeCell ref="HZG355:HZH355"/>
    <mergeCell ref="HZI355:HZJ355"/>
    <mergeCell ref="HZK355:HZL355"/>
    <mergeCell ref="IAW355:IAX355"/>
    <mergeCell ref="IAY355:IAZ355"/>
    <mergeCell ref="IBA355:IBB355"/>
    <mergeCell ref="IBC355:IBD355"/>
    <mergeCell ref="IBE355:IBF355"/>
    <mergeCell ref="IBG355:IBH355"/>
    <mergeCell ref="IBI355:IBJ355"/>
    <mergeCell ref="IBK355:IBL355"/>
    <mergeCell ref="IBM355:IBN355"/>
    <mergeCell ref="IAE355:IAF355"/>
    <mergeCell ref="IAG355:IAH355"/>
    <mergeCell ref="IAI355:IAJ355"/>
    <mergeCell ref="IAK355:IAL355"/>
    <mergeCell ref="IAM355:IAN355"/>
    <mergeCell ref="IAO355:IAP355"/>
    <mergeCell ref="IAQ355:IAR355"/>
    <mergeCell ref="IAS355:IAT355"/>
    <mergeCell ref="IAU355:IAV355"/>
    <mergeCell ref="ICG355:ICH355"/>
    <mergeCell ref="ICI355:ICJ355"/>
    <mergeCell ref="ICK355:ICL355"/>
    <mergeCell ref="ICM355:ICN355"/>
    <mergeCell ref="ICO355:ICP355"/>
    <mergeCell ref="ICQ355:ICR355"/>
    <mergeCell ref="ICS355:ICT355"/>
    <mergeCell ref="ICU355:ICV355"/>
    <mergeCell ref="ICW355:ICX355"/>
    <mergeCell ref="IBO355:IBP355"/>
    <mergeCell ref="IBQ355:IBR355"/>
    <mergeCell ref="IBS355:IBT355"/>
    <mergeCell ref="IBU355:IBV355"/>
    <mergeCell ref="IBW355:IBX355"/>
    <mergeCell ref="IBY355:IBZ355"/>
    <mergeCell ref="ICA355:ICB355"/>
    <mergeCell ref="ICC355:ICD355"/>
    <mergeCell ref="ICE355:ICF355"/>
    <mergeCell ref="IDQ355:IDR355"/>
    <mergeCell ref="IDS355:IDT355"/>
    <mergeCell ref="IDU355:IDV355"/>
    <mergeCell ref="IDW355:IDX355"/>
    <mergeCell ref="IDY355:IDZ355"/>
    <mergeCell ref="IEA355:IEB355"/>
    <mergeCell ref="IEC355:IED355"/>
    <mergeCell ref="IEE355:IEF355"/>
    <mergeCell ref="IEG355:IEH355"/>
    <mergeCell ref="ICY355:ICZ355"/>
    <mergeCell ref="IDA355:IDB355"/>
    <mergeCell ref="IDC355:IDD355"/>
    <mergeCell ref="IDE355:IDF355"/>
    <mergeCell ref="IDG355:IDH355"/>
    <mergeCell ref="IDI355:IDJ355"/>
    <mergeCell ref="IDK355:IDL355"/>
    <mergeCell ref="IDM355:IDN355"/>
    <mergeCell ref="IDO355:IDP355"/>
    <mergeCell ref="IFA355:IFB355"/>
    <mergeCell ref="IFC355:IFD355"/>
    <mergeCell ref="IFE355:IFF355"/>
    <mergeCell ref="IFG355:IFH355"/>
    <mergeCell ref="IFI355:IFJ355"/>
    <mergeCell ref="IFK355:IFL355"/>
    <mergeCell ref="IFM355:IFN355"/>
    <mergeCell ref="IFO355:IFP355"/>
    <mergeCell ref="IFQ355:IFR355"/>
    <mergeCell ref="IEI355:IEJ355"/>
    <mergeCell ref="IEK355:IEL355"/>
    <mergeCell ref="IEM355:IEN355"/>
    <mergeCell ref="IEO355:IEP355"/>
    <mergeCell ref="IEQ355:IER355"/>
    <mergeCell ref="IES355:IET355"/>
    <mergeCell ref="IEU355:IEV355"/>
    <mergeCell ref="IEW355:IEX355"/>
    <mergeCell ref="IEY355:IEZ355"/>
    <mergeCell ref="IGK355:IGL355"/>
    <mergeCell ref="IGM355:IGN355"/>
    <mergeCell ref="IGO355:IGP355"/>
    <mergeCell ref="IGQ355:IGR355"/>
    <mergeCell ref="IGS355:IGT355"/>
    <mergeCell ref="IGU355:IGV355"/>
    <mergeCell ref="IGW355:IGX355"/>
    <mergeCell ref="IGY355:IGZ355"/>
    <mergeCell ref="IHA355:IHB355"/>
    <mergeCell ref="IFS355:IFT355"/>
    <mergeCell ref="IFU355:IFV355"/>
    <mergeCell ref="IFW355:IFX355"/>
    <mergeCell ref="IFY355:IFZ355"/>
    <mergeCell ref="IGA355:IGB355"/>
    <mergeCell ref="IGC355:IGD355"/>
    <mergeCell ref="IGE355:IGF355"/>
    <mergeCell ref="IGG355:IGH355"/>
    <mergeCell ref="IGI355:IGJ355"/>
    <mergeCell ref="IHU355:IHV355"/>
    <mergeCell ref="IHW355:IHX355"/>
    <mergeCell ref="IHY355:IHZ355"/>
    <mergeCell ref="IIA355:IIB355"/>
    <mergeCell ref="IIC355:IID355"/>
    <mergeCell ref="IIE355:IIF355"/>
    <mergeCell ref="IIG355:IIH355"/>
    <mergeCell ref="III355:IIJ355"/>
    <mergeCell ref="IIK355:IIL355"/>
    <mergeCell ref="IHC355:IHD355"/>
    <mergeCell ref="IHE355:IHF355"/>
    <mergeCell ref="IHG355:IHH355"/>
    <mergeCell ref="IHI355:IHJ355"/>
    <mergeCell ref="IHK355:IHL355"/>
    <mergeCell ref="IHM355:IHN355"/>
    <mergeCell ref="IHO355:IHP355"/>
    <mergeCell ref="IHQ355:IHR355"/>
    <mergeCell ref="IHS355:IHT355"/>
    <mergeCell ref="IJE355:IJF355"/>
    <mergeCell ref="IJG355:IJH355"/>
    <mergeCell ref="IJI355:IJJ355"/>
    <mergeCell ref="IJK355:IJL355"/>
    <mergeCell ref="IJM355:IJN355"/>
    <mergeCell ref="IJO355:IJP355"/>
    <mergeCell ref="IJQ355:IJR355"/>
    <mergeCell ref="IJS355:IJT355"/>
    <mergeCell ref="IJU355:IJV355"/>
    <mergeCell ref="IIM355:IIN355"/>
    <mergeCell ref="IIO355:IIP355"/>
    <mergeCell ref="IIQ355:IIR355"/>
    <mergeCell ref="IIS355:IIT355"/>
    <mergeCell ref="IIU355:IIV355"/>
    <mergeCell ref="IIW355:IIX355"/>
    <mergeCell ref="IIY355:IIZ355"/>
    <mergeCell ref="IJA355:IJB355"/>
    <mergeCell ref="IJC355:IJD355"/>
    <mergeCell ref="IKO355:IKP355"/>
    <mergeCell ref="IKQ355:IKR355"/>
    <mergeCell ref="IKS355:IKT355"/>
    <mergeCell ref="IKU355:IKV355"/>
    <mergeCell ref="IKW355:IKX355"/>
    <mergeCell ref="IKY355:IKZ355"/>
    <mergeCell ref="ILA355:ILB355"/>
    <mergeCell ref="ILC355:ILD355"/>
    <mergeCell ref="ILE355:ILF355"/>
    <mergeCell ref="IJW355:IJX355"/>
    <mergeCell ref="IJY355:IJZ355"/>
    <mergeCell ref="IKA355:IKB355"/>
    <mergeCell ref="IKC355:IKD355"/>
    <mergeCell ref="IKE355:IKF355"/>
    <mergeCell ref="IKG355:IKH355"/>
    <mergeCell ref="IKI355:IKJ355"/>
    <mergeCell ref="IKK355:IKL355"/>
    <mergeCell ref="IKM355:IKN355"/>
    <mergeCell ref="ILY355:ILZ355"/>
    <mergeCell ref="IMA355:IMB355"/>
    <mergeCell ref="IMC355:IMD355"/>
    <mergeCell ref="IME355:IMF355"/>
    <mergeCell ref="IMG355:IMH355"/>
    <mergeCell ref="IMI355:IMJ355"/>
    <mergeCell ref="IMK355:IML355"/>
    <mergeCell ref="IMM355:IMN355"/>
    <mergeCell ref="IMO355:IMP355"/>
    <mergeCell ref="ILG355:ILH355"/>
    <mergeCell ref="ILI355:ILJ355"/>
    <mergeCell ref="ILK355:ILL355"/>
    <mergeCell ref="ILM355:ILN355"/>
    <mergeCell ref="ILO355:ILP355"/>
    <mergeCell ref="ILQ355:ILR355"/>
    <mergeCell ref="ILS355:ILT355"/>
    <mergeCell ref="ILU355:ILV355"/>
    <mergeCell ref="ILW355:ILX355"/>
    <mergeCell ref="INI355:INJ355"/>
    <mergeCell ref="INK355:INL355"/>
    <mergeCell ref="INM355:INN355"/>
    <mergeCell ref="INO355:INP355"/>
    <mergeCell ref="INQ355:INR355"/>
    <mergeCell ref="INS355:INT355"/>
    <mergeCell ref="INU355:INV355"/>
    <mergeCell ref="INW355:INX355"/>
    <mergeCell ref="INY355:INZ355"/>
    <mergeCell ref="IMQ355:IMR355"/>
    <mergeCell ref="IMS355:IMT355"/>
    <mergeCell ref="IMU355:IMV355"/>
    <mergeCell ref="IMW355:IMX355"/>
    <mergeCell ref="IMY355:IMZ355"/>
    <mergeCell ref="INA355:INB355"/>
    <mergeCell ref="INC355:IND355"/>
    <mergeCell ref="INE355:INF355"/>
    <mergeCell ref="ING355:INH355"/>
    <mergeCell ref="IOS355:IOT355"/>
    <mergeCell ref="IOU355:IOV355"/>
    <mergeCell ref="IOW355:IOX355"/>
    <mergeCell ref="IOY355:IOZ355"/>
    <mergeCell ref="IPA355:IPB355"/>
    <mergeCell ref="IPC355:IPD355"/>
    <mergeCell ref="IPE355:IPF355"/>
    <mergeCell ref="IPG355:IPH355"/>
    <mergeCell ref="IPI355:IPJ355"/>
    <mergeCell ref="IOA355:IOB355"/>
    <mergeCell ref="IOC355:IOD355"/>
    <mergeCell ref="IOE355:IOF355"/>
    <mergeCell ref="IOG355:IOH355"/>
    <mergeCell ref="IOI355:IOJ355"/>
    <mergeCell ref="IOK355:IOL355"/>
    <mergeCell ref="IOM355:ION355"/>
    <mergeCell ref="IOO355:IOP355"/>
    <mergeCell ref="IOQ355:IOR355"/>
    <mergeCell ref="IQC355:IQD355"/>
    <mergeCell ref="IQE355:IQF355"/>
    <mergeCell ref="IQG355:IQH355"/>
    <mergeCell ref="IQI355:IQJ355"/>
    <mergeCell ref="IQK355:IQL355"/>
    <mergeCell ref="IQM355:IQN355"/>
    <mergeCell ref="IQO355:IQP355"/>
    <mergeCell ref="IQQ355:IQR355"/>
    <mergeCell ref="IQS355:IQT355"/>
    <mergeCell ref="IPK355:IPL355"/>
    <mergeCell ref="IPM355:IPN355"/>
    <mergeCell ref="IPO355:IPP355"/>
    <mergeCell ref="IPQ355:IPR355"/>
    <mergeCell ref="IPS355:IPT355"/>
    <mergeCell ref="IPU355:IPV355"/>
    <mergeCell ref="IPW355:IPX355"/>
    <mergeCell ref="IPY355:IPZ355"/>
    <mergeCell ref="IQA355:IQB355"/>
    <mergeCell ref="IRM355:IRN355"/>
    <mergeCell ref="IRO355:IRP355"/>
    <mergeCell ref="IRQ355:IRR355"/>
    <mergeCell ref="IRS355:IRT355"/>
    <mergeCell ref="IRU355:IRV355"/>
    <mergeCell ref="IRW355:IRX355"/>
    <mergeCell ref="IRY355:IRZ355"/>
    <mergeCell ref="ISA355:ISB355"/>
    <mergeCell ref="ISC355:ISD355"/>
    <mergeCell ref="IQU355:IQV355"/>
    <mergeCell ref="IQW355:IQX355"/>
    <mergeCell ref="IQY355:IQZ355"/>
    <mergeCell ref="IRA355:IRB355"/>
    <mergeCell ref="IRC355:IRD355"/>
    <mergeCell ref="IRE355:IRF355"/>
    <mergeCell ref="IRG355:IRH355"/>
    <mergeCell ref="IRI355:IRJ355"/>
    <mergeCell ref="IRK355:IRL355"/>
    <mergeCell ref="ISW355:ISX355"/>
    <mergeCell ref="ISY355:ISZ355"/>
    <mergeCell ref="ITA355:ITB355"/>
    <mergeCell ref="ITC355:ITD355"/>
    <mergeCell ref="ITE355:ITF355"/>
    <mergeCell ref="ITG355:ITH355"/>
    <mergeCell ref="ITI355:ITJ355"/>
    <mergeCell ref="ITK355:ITL355"/>
    <mergeCell ref="ITM355:ITN355"/>
    <mergeCell ref="ISE355:ISF355"/>
    <mergeCell ref="ISG355:ISH355"/>
    <mergeCell ref="ISI355:ISJ355"/>
    <mergeCell ref="ISK355:ISL355"/>
    <mergeCell ref="ISM355:ISN355"/>
    <mergeCell ref="ISO355:ISP355"/>
    <mergeCell ref="ISQ355:ISR355"/>
    <mergeCell ref="ISS355:IST355"/>
    <mergeCell ref="ISU355:ISV355"/>
    <mergeCell ref="IUG355:IUH355"/>
    <mergeCell ref="IUI355:IUJ355"/>
    <mergeCell ref="IUK355:IUL355"/>
    <mergeCell ref="IUM355:IUN355"/>
    <mergeCell ref="IUO355:IUP355"/>
    <mergeCell ref="IUQ355:IUR355"/>
    <mergeCell ref="IUS355:IUT355"/>
    <mergeCell ref="IUU355:IUV355"/>
    <mergeCell ref="IUW355:IUX355"/>
    <mergeCell ref="ITO355:ITP355"/>
    <mergeCell ref="ITQ355:ITR355"/>
    <mergeCell ref="ITS355:ITT355"/>
    <mergeCell ref="ITU355:ITV355"/>
    <mergeCell ref="ITW355:ITX355"/>
    <mergeCell ref="ITY355:ITZ355"/>
    <mergeCell ref="IUA355:IUB355"/>
    <mergeCell ref="IUC355:IUD355"/>
    <mergeCell ref="IUE355:IUF355"/>
    <mergeCell ref="IVQ355:IVR355"/>
    <mergeCell ref="IVS355:IVT355"/>
    <mergeCell ref="IVU355:IVV355"/>
    <mergeCell ref="IVW355:IVX355"/>
    <mergeCell ref="IVY355:IVZ355"/>
    <mergeCell ref="IWA355:IWB355"/>
    <mergeCell ref="IWC355:IWD355"/>
    <mergeCell ref="IWE355:IWF355"/>
    <mergeCell ref="IWG355:IWH355"/>
    <mergeCell ref="IUY355:IUZ355"/>
    <mergeCell ref="IVA355:IVB355"/>
    <mergeCell ref="IVC355:IVD355"/>
    <mergeCell ref="IVE355:IVF355"/>
    <mergeCell ref="IVG355:IVH355"/>
    <mergeCell ref="IVI355:IVJ355"/>
    <mergeCell ref="IVK355:IVL355"/>
    <mergeCell ref="IVM355:IVN355"/>
    <mergeCell ref="IVO355:IVP355"/>
    <mergeCell ref="IXA355:IXB355"/>
    <mergeCell ref="IXC355:IXD355"/>
    <mergeCell ref="IXE355:IXF355"/>
    <mergeCell ref="IXG355:IXH355"/>
    <mergeCell ref="IXI355:IXJ355"/>
    <mergeCell ref="IXK355:IXL355"/>
    <mergeCell ref="IXM355:IXN355"/>
    <mergeCell ref="IXO355:IXP355"/>
    <mergeCell ref="IXQ355:IXR355"/>
    <mergeCell ref="IWI355:IWJ355"/>
    <mergeCell ref="IWK355:IWL355"/>
    <mergeCell ref="IWM355:IWN355"/>
    <mergeCell ref="IWO355:IWP355"/>
    <mergeCell ref="IWQ355:IWR355"/>
    <mergeCell ref="IWS355:IWT355"/>
    <mergeCell ref="IWU355:IWV355"/>
    <mergeCell ref="IWW355:IWX355"/>
    <mergeCell ref="IWY355:IWZ355"/>
    <mergeCell ref="IYK355:IYL355"/>
    <mergeCell ref="IYM355:IYN355"/>
    <mergeCell ref="IYO355:IYP355"/>
    <mergeCell ref="IYQ355:IYR355"/>
    <mergeCell ref="IYS355:IYT355"/>
    <mergeCell ref="IYU355:IYV355"/>
    <mergeCell ref="IYW355:IYX355"/>
    <mergeCell ref="IYY355:IYZ355"/>
    <mergeCell ref="IZA355:IZB355"/>
    <mergeCell ref="IXS355:IXT355"/>
    <mergeCell ref="IXU355:IXV355"/>
    <mergeCell ref="IXW355:IXX355"/>
    <mergeCell ref="IXY355:IXZ355"/>
    <mergeCell ref="IYA355:IYB355"/>
    <mergeCell ref="IYC355:IYD355"/>
    <mergeCell ref="IYE355:IYF355"/>
    <mergeCell ref="IYG355:IYH355"/>
    <mergeCell ref="IYI355:IYJ355"/>
    <mergeCell ref="IZU355:IZV355"/>
    <mergeCell ref="IZW355:IZX355"/>
    <mergeCell ref="IZY355:IZZ355"/>
    <mergeCell ref="JAA355:JAB355"/>
    <mergeCell ref="JAC355:JAD355"/>
    <mergeCell ref="JAE355:JAF355"/>
    <mergeCell ref="JAG355:JAH355"/>
    <mergeCell ref="JAI355:JAJ355"/>
    <mergeCell ref="JAK355:JAL355"/>
    <mergeCell ref="IZC355:IZD355"/>
    <mergeCell ref="IZE355:IZF355"/>
    <mergeCell ref="IZG355:IZH355"/>
    <mergeCell ref="IZI355:IZJ355"/>
    <mergeCell ref="IZK355:IZL355"/>
    <mergeCell ref="IZM355:IZN355"/>
    <mergeCell ref="IZO355:IZP355"/>
    <mergeCell ref="IZQ355:IZR355"/>
    <mergeCell ref="IZS355:IZT355"/>
    <mergeCell ref="JBE355:JBF355"/>
    <mergeCell ref="JBG355:JBH355"/>
    <mergeCell ref="JBI355:JBJ355"/>
    <mergeCell ref="JBK355:JBL355"/>
    <mergeCell ref="JBM355:JBN355"/>
    <mergeCell ref="JBO355:JBP355"/>
    <mergeCell ref="JBQ355:JBR355"/>
    <mergeCell ref="JBS355:JBT355"/>
    <mergeCell ref="JBU355:JBV355"/>
    <mergeCell ref="JAM355:JAN355"/>
    <mergeCell ref="JAO355:JAP355"/>
    <mergeCell ref="JAQ355:JAR355"/>
    <mergeCell ref="JAS355:JAT355"/>
    <mergeCell ref="JAU355:JAV355"/>
    <mergeCell ref="JAW355:JAX355"/>
    <mergeCell ref="JAY355:JAZ355"/>
    <mergeCell ref="JBA355:JBB355"/>
    <mergeCell ref="JBC355:JBD355"/>
    <mergeCell ref="JCO355:JCP355"/>
    <mergeCell ref="JCQ355:JCR355"/>
    <mergeCell ref="JCS355:JCT355"/>
    <mergeCell ref="JCU355:JCV355"/>
    <mergeCell ref="JCW355:JCX355"/>
    <mergeCell ref="JCY355:JCZ355"/>
    <mergeCell ref="JDA355:JDB355"/>
    <mergeCell ref="JDC355:JDD355"/>
    <mergeCell ref="JDE355:JDF355"/>
    <mergeCell ref="JBW355:JBX355"/>
    <mergeCell ref="JBY355:JBZ355"/>
    <mergeCell ref="JCA355:JCB355"/>
    <mergeCell ref="JCC355:JCD355"/>
    <mergeCell ref="JCE355:JCF355"/>
    <mergeCell ref="JCG355:JCH355"/>
    <mergeCell ref="JCI355:JCJ355"/>
    <mergeCell ref="JCK355:JCL355"/>
    <mergeCell ref="JCM355:JCN355"/>
    <mergeCell ref="JDY355:JDZ355"/>
    <mergeCell ref="JEA355:JEB355"/>
    <mergeCell ref="JEC355:JED355"/>
    <mergeCell ref="JEE355:JEF355"/>
    <mergeCell ref="JEG355:JEH355"/>
    <mergeCell ref="JEI355:JEJ355"/>
    <mergeCell ref="JEK355:JEL355"/>
    <mergeCell ref="JEM355:JEN355"/>
    <mergeCell ref="JEO355:JEP355"/>
    <mergeCell ref="JDG355:JDH355"/>
    <mergeCell ref="JDI355:JDJ355"/>
    <mergeCell ref="JDK355:JDL355"/>
    <mergeCell ref="JDM355:JDN355"/>
    <mergeCell ref="JDO355:JDP355"/>
    <mergeCell ref="JDQ355:JDR355"/>
    <mergeCell ref="JDS355:JDT355"/>
    <mergeCell ref="JDU355:JDV355"/>
    <mergeCell ref="JDW355:JDX355"/>
    <mergeCell ref="JFI355:JFJ355"/>
    <mergeCell ref="JFK355:JFL355"/>
    <mergeCell ref="JFM355:JFN355"/>
    <mergeCell ref="JFO355:JFP355"/>
    <mergeCell ref="JFQ355:JFR355"/>
    <mergeCell ref="JFS355:JFT355"/>
    <mergeCell ref="JFU355:JFV355"/>
    <mergeCell ref="JFW355:JFX355"/>
    <mergeCell ref="JFY355:JFZ355"/>
    <mergeCell ref="JEQ355:JER355"/>
    <mergeCell ref="JES355:JET355"/>
    <mergeCell ref="JEU355:JEV355"/>
    <mergeCell ref="JEW355:JEX355"/>
    <mergeCell ref="JEY355:JEZ355"/>
    <mergeCell ref="JFA355:JFB355"/>
    <mergeCell ref="JFC355:JFD355"/>
    <mergeCell ref="JFE355:JFF355"/>
    <mergeCell ref="JFG355:JFH355"/>
    <mergeCell ref="JGS355:JGT355"/>
    <mergeCell ref="JGU355:JGV355"/>
    <mergeCell ref="JGW355:JGX355"/>
    <mergeCell ref="JGY355:JGZ355"/>
    <mergeCell ref="JHA355:JHB355"/>
    <mergeCell ref="JHC355:JHD355"/>
    <mergeCell ref="JHE355:JHF355"/>
    <mergeCell ref="JHG355:JHH355"/>
    <mergeCell ref="JHI355:JHJ355"/>
    <mergeCell ref="JGA355:JGB355"/>
    <mergeCell ref="JGC355:JGD355"/>
    <mergeCell ref="JGE355:JGF355"/>
    <mergeCell ref="JGG355:JGH355"/>
    <mergeCell ref="JGI355:JGJ355"/>
    <mergeCell ref="JGK355:JGL355"/>
    <mergeCell ref="JGM355:JGN355"/>
    <mergeCell ref="JGO355:JGP355"/>
    <mergeCell ref="JGQ355:JGR355"/>
    <mergeCell ref="JIC355:JID355"/>
    <mergeCell ref="JIE355:JIF355"/>
    <mergeCell ref="JIG355:JIH355"/>
    <mergeCell ref="JII355:JIJ355"/>
    <mergeCell ref="JIK355:JIL355"/>
    <mergeCell ref="JIM355:JIN355"/>
    <mergeCell ref="JIO355:JIP355"/>
    <mergeCell ref="JIQ355:JIR355"/>
    <mergeCell ref="JIS355:JIT355"/>
    <mergeCell ref="JHK355:JHL355"/>
    <mergeCell ref="JHM355:JHN355"/>
    <mergeCell ref="JHO355:JHP355"/>
    <mergeCell ref="JHQ355:JHR355"/>
    <mergeCell ref="JHS355:JHT355"/>
    <mergeCell ref="JHU355:JHV355"/>
    <mergeCell ref="JHW355:JHX355"/>
    <mergeCell ref="JHY355:JHZ355"/>
    <mergeCell ref="JIA355:JIB355"/>
    <mergeCell ref="JJM355:JJN355"/>
    <mergeCell ref="JJO355:JJP355"/>
    <mergeCell ref="JJQ355:JJR355"/>
    <mergeCell ref="JJS355:JJT355"/>
    <mergeCell ref="JJU355:JJV355"/>
    <mergeCell ref="JJW355:JJX355"/>
    <mergeCell ref="JJY355:JJZ355"/>
    <mergeCell ref="JKA355:JKB355"/>
    <mergeCell ref="JKC355:JKD355"/>
    <mergeCell ref="JIU355:JIV355"/>
    <mergeCell ref="JIW355:JIX355"/>
    <mergeCell ref="JIY355:JIZ355"/>
    <mergeCell ref="JJA355:JJB355"/>
    <mergeCell ref="JJC355:JJD355"/>
    <mergeCell ref="JJE355:JJF355"/>
    <mergeCell ref="JJG355:JJH355"/>
    <mergeCell ref="JJI355:JJJ355"/>
    <mergeCell ref="JJK355:JJL355"/>
    <mergeCell ref="JKW355:JKX355"/>
    <mergeCell ref="JKY355:JKZ355"/>
    <mergeCell ref="JLA355:JLB355"/>
    <mergeCell ref="JLC355:JLD355"/>
    <mergeCell ref="JLE355:JLF355"/>
    <mergeCell ref="JLG355:JLH355"/>
    <mergeCell ref="JLI355:JLJ355"/>
    <mergeCell ref="JLK355:JLL355"/>
    <mergeCell ref="JLM355:JLN355"/>
    <mergeCell ref="JKE355:JKF355"/>
    <mergeCell ref="JKG355:JKH355"/>
    <mergeCell ref="JKI355:JKJ355"/>
    <mergeCell ref="JKK355:JKL355"/>
    <mergeCell ref="JKM355:JKN355"/>
    <mergeCell ref="JKO355:JKP355"/>
    <mergeCell ref="JKQ355:JKR355"/>
    <mergeCell ref="JKS355:JKT355"/>
    <mergeCell ref="JKU355:JKV355"/>
    <mergeCell ref="JMG355:JMH355"/>
    <mergeCell ref="JMI355:JMJ355"/>
    <mergeCell ref="JMK355:JML355"/>
    <mergeCell ref="JMM355:JMN355"/>
    <mergeCell ref="JMO355:JMP355"/>
    <mergeCell ref="JMQ355:JMR355"/>
    <mergeCell ref="JMS355:JMT355"/>
    <mergeCell ref="JMU355:JMV355"/>
    <mergeCell ref="JMW355:JMX355"/>
    <mergeCell ref="JLO355:JLP355"/>
    <mergeCell ref="JLQ355:JLR355"/>
    <mergeCell ref="JLS355:JLT355"/>
    <mergeCell ref="JLU355:JLV355"/>
    <mergeCell ref="JLW355:JLX355"/>
    <mergeCell ref="JLY355:JLZ355"/>
    <mergeCell ref="JMA355:JMB355"/>
    <mergeCell ref="JMC355:JMD355"/>
    <mergeCell ref="JME355:JMF355"/>
    <mergeCell ref="JNQ355:JNR355"/>
    <mergeCell ref="JNS355:JNT355"/>
    <mergeCell ref="JNU355:JNV355"/>
    <mergeCell ref="JNW355:JNX355"/>
    <mergeCell ref="JNY355:JNZ355"/>
    <mergeCell ref="JOA355:JOB355"/>
    <mergeCell ref="JOC355:JOD355"/>
    <mergeCell ref="JOE355:JOF355"/>
    <mergeCell ref="JOG355:JOH355"/>
    <mergeCell ref="JMY355:JMZ355"/>
    <mergeCell ref="JNA355:JNB355"/>
    <mergeCell ref="JNC355:JND355"/>
    <mergeCell ref="JNE355:JNF355"/>
    <mergeCell ref="JNG355:JNH355"/>
    <mergeCell ref="JNI355:JNJ355"/>
    <mergeCell ref="JNK355:JNL355"/>
    <mergeCell ref="JNM355:JNN355"/>
    <mergeCell ref="JNO355:JNP355"/>
    <mergeCell ref="JPA355:JPB355"/>
    <mergeCell ref="JPC355:JPD355"/>
    <mergeCell ref="JPE355:JPF355"/>
    <mergeCell ref="JPG355:JPH355"/>
    <mergeCell ref="JPI355:JPJ355"/>
    <mergeCell ref="JPK355:JPL355"/>
    <mergeCell ref="JPM355:JPN355"/>
    <mergeCell ref="JPO355:JPP355"/>
    <mergeCell ref="JPQ355:JPR355"/>
    <mergeCell ref="JOI355:JOJ355"/>
    <mergeCell ref="JOK355:JOL355"/>
    <mergeCell ref="JOM355:JON355"/>
    <mergeCell ref="JOO355:JOP355"/>
    <mergeCell ref="JOQ355:JOR355"/>
    <mergeCell ref="JOS355:JOT355"/>
    <mergeCell ref="JOU355:JOV355"/>
    <mergeCell ref="JOW355:JOX355"/>
    <mergeCell ref="JOY355:JOZ355"/>
    <mergeCell ref="JQK355:JQL355"/>
    <mergeCell ref="JQM355:JQN355"/>
    <mergeCell ref="JQO355:JQP355"/>
    <mergeCell ref="JQQ355:JQR355"/>
    <mergeCell ref="JQS355:JQT355"/>
    <mergeCell ref="JQU355:JQV355"/>
    <mergeCell ref="JQW355:JQX355"/>
    <mergeCell ref="JQY355:JQZ355"/>
    <mergeCell ref="JRA355:JRB355"/>
    <mergeCell ref="JPS355:JPT355"/>
    <mergeCell ref="JPU355:JPV355"/>
    <mergeCell ref="JPW355:JPX355"/>
    <mergeCell ref="JPY355:JPZ355"/>
    <mergeCell ref="JQA355:JQB355"/>
    <mergeCell ref="JQC355:JQD355"/>
    <mergeCell ref="JQE355:JQF355"/>
    <mergeCell ref="JQG355:JQH355"/>
    <mergeCell ref="JQI355:JQJ355"/>
    <mergeCell ref="JRU355:JRV355"/>
    <mergeCell ref="JRW355:JRX355"/>
    <mergeCell ref="JRY355:JRZ355"/>
    <mergeCell ref="JSA355:JSB355"/>
    <mergeCell ref="JSC355:JSD355"/>
    <mergeCell ref="JSE355:JSF355"/>
    <mergeCell ref="JSG355:JSH355"/>
    <mergeCell ref="JSI355:JSJ355"/>
    <mergeCell ref="JSK355:JSL355"/>
    <mergeCell ref="JRC355:JRD355"/>
    <mergeCell ref="JRE355:JRF355"/>
    <mergeCell ref="JRG355:JRH355"/>
    <mergeCell ref="JRI355:JRJ355"/>
    <mergeCell ref="JRK355:JRL355"/>
    <mergeCell ref="JRM355:JRN355"/>
    <mergeCell ref="JRO355:JRP355"/>
    <mergeCell ref="JRQ355:JRR355"/>
    <mergeCell ref="JRS355:JRT355"/>
    <mergeCell ref="JTE355:JTF355"/>
    <mergeCell ref="JTG355:JTH355"/>
    <mergeCell ref="JTI355:JTJ355"/>
    <mergeCell ref="JTK355:JTL355"/>
    <mergeCell ref="JTM355:JTN355"/>
    <mergeCell ref="JTO355:JTP355"/>
    <mergeCell ref="JTQ355:JTR355"/>
    <mergeCell ref="JTS355:JTT355"/>
    <mergeCell ref="JTU355:JTV355"/>
    <mergeCell ref="JSM355:JSN355"/>
    <mergeCell ref="JSO355:JSP355"/>
    <mergeCell ref="JSQ355:JSR355"/>
    <mergeCell ref="JSS355:JST355"/>
    <mergeCell ref="JSU355:JSV355"/>
    <mergeCell ref="JSW355:JSX355"/>
    <mergeCell ref="JSY355:JSZ355"/>
    <mergeCell ref="JTA355:JTB355"/>
    <mergeCell ref="JTC355:JTD355"/>
    <mergeCell ref="JUO355:JUP355"/>
    <mergeCell ref="JUQ355:JUR355"/>
    <mergeCell ref="JUS355:JUT355"/>
    <mergeCell ref="JUU355:JUV355"/>
    <mergeCell ref="JUW355:JUX355"/>
    <mergeCell ref="JUY355:JUZ355"/>
    <mergeCell ref="JVA355:JVB355"/>
    <mergeCell ref="JVC355:JVD355"/>
    <mergeCell ref="JVE355:JVF355"/>
    <mergeCell ref="JTW355:JTX355"/>
    <mergeCell ref="JTY355:JTZ355"/>
    <mergeCell ref="JUA355:JUB355"/>
    <mergeCell ref="JUC355:JUD355"/>
    <mergeCell ref="JUE355:JUF355"/>
    <mergeCell ref="JUG355:JUH355"/>
    <mergeCell ref="JUI355:JUJ355"/>
    <mergeCell ref="JUK355:JUL355"/>
    <mergeCell ref="JUM355:JUN355"/>
    <mergeCell ref="JVY355:JVZ355"/>
    <mergeCell ref="JWA355:JWB355"/>
    <mergeCell ref="JWC355:JWD355"/>
    <mergeCell ref="JWE355:JWF355"/>
    <mergeCell ref="JWG355:JWH355"/>
    <mergeCell ref="JWI355:JWJ355"/>
    <mergeCell ref="JWK355:JWL355"/>
    <mergeCell ref="JWM355:JWN355"/>
    <mergeCell ref="JWO355:JWP355"/>
    <mergeCell ref="JVG355:JVH355"/>
    <mergeCell ref="JVI355:JVJ355"/>
    <mergeCell ref="JVK355:JVL355"/>
    <mergeCell ref="JVM355:JVN355"/>
    <mergeCell ref="JVO355:JVP355"/>
    <mergeCell ref="JVQ355:JVR355"/>
    <mergeCell ref="JVS355:JVT355"/>
    <mergeCell ref="JVU355:JVV355"/>
    <mergeCell ref="JVW355:JVX355"/>
    <mergeCell ref="JXI355:JXJ355"/>
    <mergeCell ref="JXK355:JXL355"/>
    <mergeCell ref="JXM355:JXN355"/>
    <mergeCell ref="JXO355:JXP355"/>
    <mergeCell ref="JXQ355:JXR355"/>
    <mergeCell ref="JXS355:JXT355"/>
    <mergeCell ref="JXU355:JXV355"/>
    <mergeCell ref="JXW355:JXX355"/>
    <mergeCell ref="JXY355:JXZ355"/>
    <mergeCell ref="JWQ355:JWR355"/>
    <mergeCell ref="JWS355:JWT355"/>
    <mergeCell ref="JWU355:JWV355"/>
    <mergeCell ref="JWW355:JWX355"/>
    <mergeCell ref="JWY355:JWZ355"/>
    <mergeCell ref="JXA355:JXB355"/>
    <mergeCell ref="JXC355:JXD355"/>
    <mergeCell ref="JXE355:JXF355"/>
    <mergeCell ref="JXG355:JXH355"/>
    <mergeCell ref="JYS355:JYT355"/>
    <mergeCell ref="JYU355:JYV355"/>
    <mergeCell ref="JYW355:JYX355"/>
    <mergeCell ref="JYY355:JYZ355"/>
    <mergeCell ref="JZA355:JZB355"/>
    <mergeCell ref="JZC355:JZD355"/>
    <mergeCell ref="JZE355:JZF355"/>
    <mergeCell ref="JZG355:JZH355"/>
    <mergeCell ref="JZI355:JZJ355"/>
    <mergeCell ref="JYA355:JYB355"/>
    <mergeCell ref="JYC355:JYD355"/>
    <mergeCell ref="JYE355:JYF355"/>
    <mergeCell ref="JYG355:JYH355"/>
    <mergeCell ref="JYI355:JYJ355"/>
    <mergeCell ref="JYK355:JYL355"/>
    <mergeCell ref="JYM355:JYN355"/>
    <mergeCell ref="JYO355:JYP355"/>
    <mergeCell ref="JYQ355:JYR355"/>
    <mergeCell ref="KAC355:KAD355"/>
    <mergeCell ref="KAE355:KAF355"/>
    <mergeCell ref="KAG355:KAH355"/>
    <mergeCell ref="KAI355:KAJ355"/>
    <mergeCell ref="KAK355:KAL355"/>
    <mergeCell ref="KAM355:KAN355"/>
    <mergeCell ref="KAO355:KAP355"/>
    <mergeCell ref="KAQ355:KAR355"/>
    <mergeCell ref="KAS355:KAT355"/>
    <mergeCell ref="JZK355:JZL355"/>
    <mergeCell ref="JZM355:JZN355"/>
    <mergeCell ref="JZO355:JZP355"/>
    <mergeCell ref="JZQ355:JZR355"/>
    <mergeCell ref="JZS355:JZT355"/>
    <mergeCell ref="JZU355:JZV355"/>
    <mergeCell ref="JZW355:JZX355"/>
    <mergeCell ref="JZY355:JZZ355"/>
    <mergeCell ref="KAA355:KAB355"/>
    <mergeCell ref="KBM355:KBN355"/>
    <mergeCell ref="KBO355:KBP355"/>
    <mergeCell ref="KBQ355:KBR355"/>
    <mergeCell ref="KBS355:KBT355"/>
    <mergeCell ref="KBU355:KBV355"/>
    <mergeCell ref="KBW355:KBX355"/>
    <mergeCell ref="KBY355:KBZ355"/>
    <mergeCell ref="KCA355:KCB355"/>
    <mergeCell ref="KCC355:KCD355"/>
    <mergeCell ref="KAU355:KAV355"/>
    <mergeCell ref="KAW355:KAX355"/>
    <mergeCell ref="KAY355:KAZ355"/>
    <mergeCell ref="KBA355:KBB355"/>
    <mergeCell ref="KBC355:KBD355"/>
    <mergeCell ref="KBE355:KBF355"/>
    <mergeCell ref="KBG355:KBH355"/>
    <mergeCell ref="KBI355:KBJ355"/>
    <mergeCell ref="KBK355:KBL355"/>
    <mergeCell ref="KCW355:KCX355"/>
    <mergeCell ref="KCY355:KCZ355"/>
    <mergeCell ref="KDA355:KDB355"/>
    <mergeCell ref="KDC355:KDD355"/>
    <mergeCell ref="KDE355:KDF355"/>
    <mergeCell ref="KDG355:KDH355"/>
    <mergeCell ref="KDI355:KDJ355"/>
    <mergeCell ref="KDK355:KDL355"/>
    <mergeCell ref="KDM355:KDN355"/>
    <mergeCell ref="KCE355:KCF355"/>
    <mergeCell ref="KCG355:KCH355"/>
    <mergeCell ref="KCI355:KCJ355"/>
    <mergeCell ref="KCK355:KCL355"/>
    <mergeCell ref="KCM355:KCN355"/>
    <mergeCell ref="KCO355:KCP355"/>
    <mergeCell ref="KCQ355:KCR355"/>
    <mergeCell ref="KCS355:KCT355"/>
    <mergeCell ref="KCU355:KCV355"/>
    <mergeCell ref="KEG355:KEH355"/>
    <mergeCell ref="KEI355:KEJ355"/>
    <mergeCell ref="KEK355:KEL355"/>
    <mergeCell ref="KEM355:KEN355"/>
    <mergeCell ref="KEO355:KEP355"/>
    <mergeCell ref="KEQ355:KER355"/>
    <mergeCell ref="KES355:KET355"/>
    <mergeCell ref="KEU355:KEV355"/>
    <mergeCell ref="KEW355:KEX355"/>
    <mergeCell ref="KDO355:KDP355"/>
    <mergeCell ref="KDQ355:KDR355"/>
    <mergeCell ref="KDS355:KDT355"/>
    <mergeCell ref="KDU355:KDV355"/>
    <mergeCell ref="KDW355:KDX355"/>
    <mergeCell ref="KDY355:KDZ355"/>
    <mergeCell ref="KEA355:KEB355"/>
    <mergeCell ref="KEC355:KED355"/>
    <mergeCell ref="KEE355:KEF355"/>
    <mergeCell ref="KFQ355:KFR355"/>
    <mergeCell ref="KFS355:KFT355"/>
    <mergeCell ref="KFU355:KFV355"/>
    <mergeCell ref="KFW355:KFX355"/>
    <mergeCell ref="KFY355:KFZ355"/>
    <mergeCell ref="KGA355:KGB355"/>
    <mergeCell ref="KGC355:KGD355"/>
    <mergeCell ref="KGE355:KGF355"/>
    <mergeCell ref="KGG355:KGH355"/>
    <mergeCell ref="KEY355:KEZ355"/>
    <mergeCell ref="KFA355:KFB355"/>
    <mergeCell ref="KFC355:KFD355"/>
    <mergeCell ref="KFE355:KFF355"/>
    <mergeCell ref="KFG355:KFH355"/>
    <mergeCell ref="KFI355:KFJ355"/>
    <mergeCell ref="KFK355:KFL355"/>
    <mergeCell ref="KFM355:KFN355"/>
    <mergeCell ref="KFO355:KFP355"/>
    <mergeCell ref="KHA355:KHB355"/>
    <mergeCell ref="KHC355:KHD355"/>
    <mergeCell ref="KHE355:KHF355"/>
    <mergeCell ref="KHG355:KHH355"/>
    <mergeCell ref="KHI355:KHJ355"/>
    <mergeCell ref="KHK355:KHL355"/>
    <mergeCell ref="KHM355:KHN355"/>
    <mergeCell ref="KHO355:KHP355"/>
    <mergeCell ref="KHQ355:KHR355"/>
    <mergeCell ref="KGI355:KGJ355"/>
    <mergeCell ref="KGK355:KGL355"/>
    <mergeCell ref="KGM355:KGN355"/>
    <mergeCell ref="KGO355:KGP355"/>
    <mergeCell ref="KGQ355:KGR355"/>
    <mergeCell ref="KGS355:KGT355"/>
    <mergeCell ref="KGU355:KGV355"/>
    <mergeCell ref="KGW355:KGX355"/>
    <mergeCell ref="KGY355:KGZ355"/>
    <mergeCell ref="KIK355:KIL355"/>
    <mergeCell ref="KIM355:KIN355"/>
    <mergeCell ref="KIO355:KIP355"/>
    <mergeCell ref="KIQ355:KIR355"/>
    <mergeCell ref="KIS355:KIT355"/>
    <mergeCell ref="KIU355:KIV355"/>
    <mergeCell ref="KIW355:KIX355"/>
    <mergeCell ref="KIY355:KIZ355"/>
    <mergeCell ref="KJA355:KJB355"/>
    <mergeCell ref="KHS355:KHT355"/>
    <mergeCell ref="KHU355:KHV355"/>
    <mergeCell ref="KHW355:KHX355"/>
    <mergeCell ref="KHY355:KHZ355"/>
    <mergeCell ref="KIA355:KIB355"/>
    <mergeCell ref="KIC355:KID355"/>
    <mergeCell ref="KIE355:KIF355"/>
    <mergeCell ref="KIG355:KIH355"/>
    <mergeCell ref="KII355:KIJ355"/>
    <mergeCell ref="KJU355:KJV355"/>
    <mergeCell ref="KJW355:KJX355"/>
    <mergeCell ref="KJY355:KJZ355"/>
    <mergeCell ref="KKA355:KKB355"/>
    <mergeCell ref="KKC355:KKD355"/>
    <mergeCell ref="KKE355:KKF355"/>
    <mergeCell ref="KKG355:KKH355"/>
    <mergeCell ref="KKI355:KKJ355"/>
    <mergeCell ref="KKK355:KKL355"/>
    <mergeCell ref="KJC355:KJD355"/>
    <mergeCell ref="KJE355:KJF355"/>
    <mergeCell ref="KJG355:KJH355"/>
    <mergeCell ref="KJI355:KJJ355"/>
    <mergeCell ref="KJK355:KJL355"/>
    <mergeCell ref="KJM355:KJN355"/>
    <mergeCell ref="KJO355:KJP355"/>
    <mergeCell ref="KJQ355:KJR355"/>
    <mergeCell ref="KJS355:KJT355"/>
    <mergeCell ref="KLE355:KLF355"/>
    <mergeCell ref="KLG355:KLH355"/>
    <mergeCell ref="KLI355:KLJ355"/>
    <mergeCell ref="KLK355:KLL355"/>
    <mergeCell ref="KLM355:KLN355"/>
    <mergeCell ref="KLO355:KLP355"/>
    <mergeCell ref="KLQ355:KLR355"/>
    <mergeCell ref="KLS355:KLT355"/>
    <mergeCell ref="KLU355:KLV355"/>
    <mergeCell ref="KKM355:KKN355"/>
    <mergeCell ref="KKO355:KKP355"/>
    <mergeCell ref="KKQ355:KKR355"/>
    <mergeCell ref="KKS355:KKT355"/>
    <mergeCell ref="KKU355:KKV355"/>
    <mergeCell ref="KKW355:KKX355"/>
    <mergeCell ref="KKY355:KKZ355"/>
    <mergeCell ref="KLA355:KLB355"/>
    <mergeCell ref="KLC355:KLD355"/>
    <mergeCell ref="KMO355:KMP355"/>
    <mergeCell ref="KMQ355:KMR355"/>
    <mergeCell ref="KMS355:KMT355"/>
    <mergeCell ref="KMU355:KMV355"/>
    <mergeCell ref="KMW355:KMX355"/>
    <mergeCell ref="KMY355:KMZ355"/>
    <mergeCell ref="KNA355:KNB355"/>
    <mergeCell ref="KNC355:KND355"/>
    <mergeCell ref="KNE355:KNF355"/>
    <mergeCell ref="KLW355:KLX355"/>
    <mergeCell ref="KLY355:KLZ355"/>
    <mergeCell ref="KMA355:KMB355"/>
    <mergeCell ref="KMC355:KMD355"/>
    <mergeCell ref="KME355:KMF355"/>
    <mergeCell ref="KMG355:KMH355"/>
    <mergeCell ref="KMI355:KMJ355"/>
    <mergeCell ref="KMK355:KML355"/>
    <mergeCell ref="KMM355:KMN355"/>
    <mergeCell ref="KNY355:KNZ355"/>
    <mergeCell ref="KOA355:KOB355"/>
    <mergeCell ref="KOC355:KOD355"/>
    <mergeCell ref="KOE355:KOF355"/>
    <mergeCell ref="KOG355:KOH355"/>
    <mergeCell ref="KOI355:KOJ355"/>
    <mergeCell ref="KOK355:KOL355"/>
    <mergeCell ref="KOM355:KON355"/>
    <mergeCell ref="KOO355:KOP355"/>
    <mergeCell ref="KNG355:KNH355"/>
    <mergeCell ref="KNI355:KNJ355"/>
    <mergeCell ref="KNK355:KNL355"/>
    <mergeCell ref="KNM355:KNN355"/>
    <mergeCell ref="KNO355:KNP355"/>
    <mergeCell ref="KNQ355:KNR355"/>
    <mergeCell ref="KNS355:KNT355"/>
    <mergeCell ref="KNU355:KNV355"/>
    <mergeCell ref="KNW355:KNX355"/>
    <mergeCell ref="KPI355:KPJ355"/>
    <mergeCell ref="KPK355:KPL355"/>
    <mergeCell ref="KPM355:KPN355"/>
    <mergeCell ref="KPO355:KPP355"/>
    <mergeCell ref="KPQ355:KPR355"/>
    <mergeCell ref="KPS355:KPT355"/>
    <mergeCell ref="KPU355:KPV355"/>
    <mergeCell ref="KPW355:KPX355"/>
    <mergeCell ref="KPY355:KPZ355"/>
    <mergeCell ref="KOQ355:KOR355"/>
    <mergeCell ref="KOS355:KOT355"/>
    <mergeCell ref="KOU355:KOV355"/>
    <mergeCell ref="KOW355:KOX355"/>
    <mergeCell ref="KOY355:KOZ355"/>
    <mergeCell ref="KPA355:KPB355"/>
    <mergeCell ref="KPC355:KPD355"/>
    <mergeCell ref="KPE355:KPF355"/>
    <mergeCell ref="KPG355:KPH355"/>
    <mergeCell ref="KQS355:KQT355"/>
    <mergeCell ref="KQU355:KQV355"/>
    <mergeCell ref="KQW355:KQX355"/>
    <mergeCell ref="KQY355:KQZ355"/>
    <mergeCell ref="KRA355:KRB355"/>
    <mergeCell ref="KRC355:KRD355"/>
    <mergeCell ref="KRE355:KRF355"/>
    <mergeCell ref="KRG355:KRH355"/>
    <mergeCell ref="KRI355:KRJ355"/>
    <mergeCell ref="KQA355:KQB355"/>
    <mergeCell ref="KQC355:KQD355"/>
    <mergeCell ref="KQE355:KQF355"/>
    <mergeCell ref="KQG355:KQH355"/>
    <mergeCell ref="KQI355:KQJ355"/>
    <mergeCell ref="KQK355:KQL355"/>
    <mergeCell ref="KQM355:KQN355"/>
    <mergeCell ref="KQO355:KQP355"/>
    <mergeCell ref="KQQ355:KQR355"/>
    <mergeCell ref="KSC355:KSD355"/>
    <mergeCell ref="KSE355:KSF355"/>
    <mergeCell ref="KSG355:KSH355"/>
    <mergeCell ref="KSI355:KSJ355"/>
    <mergeCell ref="KSK355:KSL355"/>
    <mergeCell ref="KSM355:KSN355"/>
    <mergeCell ref="KSO355:KSP355"/>
    <mergeCell ref="KSQ355:KSR355"/>
    <mergeCell ref="KSS355:KST355"/>
    <mergeCell ref="KRK355:KRL355"/>
    <mergeCell ref="KRM355:KRN355"/>
    <mergeCell ref="KRO355:KRP355"/>
    <mergeCell ref="KRQ355:KRR355"/>
    <mergeCell ref="KRS355:KRT355"/>
    <mergeCell ref="KRU355:KRV355"/>
    <mergeCell ref="KRW355:KRX355"/>
    <mergeCell ref="KRY355:KRZ355"/>
    <mergeCell ref="KSA355:KSB355"/>
    <mergeCell ref="KTM355:KTN355"/>
    <mergeCell ref="KTO355:KTP355"/>
    <mergeCell ref="KTQ355:KTR355"/>
    <mergeCell ref="KTS355:KTT355"/>
    <mergeCell ref="KTU355:KTV355"/>
    <mergeCell ref="KTW355:KTX355"/>
    <mergeCell ref="KTY355:KTZ355"/>
    <mergeCell ref="KUA355:KUB355"/>
    <mergeCell ref="KUC355:KUD355"/>
    <mergeCell ref="KSU355:KSV355"/>
    <mergeCell ref="KSW355:KSX355"/>
    <mergeCell ref="KSY355:KSZ355"/>
    <mergeCell ref="KTA355:KTB355"/>
    <mergeCell ref="KTC355:KTD355"/>
    <mergeCell ref="KTE355:KTF355"/>
    <mergeCell ref="KTG355:KTH355"/>
    <mergeCell ref="KTI355:KTJ355"/>
    <mergeCell ref="KTK355:KTL355"/>
    <mergeCell ref="KUW355:KUX355"/>
    <mergeCell ref="KUY355:KUZ355"/>
    <mergeCell ref="KVA355:KVB355"/>
    <mergeCell ref="KVC355:KVD355"/>
    <mergeCell ref="KVE355:KVF355"/>
    <mergeCell ref="KVG355:KVH355"/>
    <mergeCell ref="KVI355:KVJ355"/>
    <mergeCell ref="KVK355:KVL355"/>
    <mergeCell ref="KVM355:KVN355"/>
    <mergeCell ref="KUE355:KUF355"/>
    <mergeCell ref="KUG355:KUH355"/>
    <mergeCell ref="KUI355:KUJ355"/>
    <mergeCell ref="KUK355:KUL355"/>
    <mergeCell ref="KUM355:KUN355"/>
    <mergeCell ref="KUO355:KUP355"/>
    <mergeCell ref="KUQ355:KUR355"/>
    <mergeCell ref="KUS355:KUT355"/>
    <mergeCell ref="KUU355:KUV355"/>
    <mergeCell ref="KWG355:KWH355"/>
    <mergeCell ref="KWI355:KWJ355"/>
    <mergeCell ref="KWK355:KWL355"/>
    <mergeCell ref="KWM355:KWN355"/>
    <mergeCell ref="KWO355:KWP355"/>
    <mergeCell ref="KWQ355:KWR355"/>
    <mergeCell ref="KWS355:KWT355"/>
    <mergeCell ref="KWU355:KWV355"/>
    <mergeCell ref="KWW355:KWX355"/>
    <mergeCell ref="KVO355:KVP355"/>
    <mergeCell ref="KVQ355:KVR355"/>
    <mergeCell ref="KVS355:KVT355"/>
    <mergeCell ref="KVU355:KVV355"/>
    <mergeCell ref="KVW355:KVX355"/>
    <mergeCell ref="KVY355:KVZ355"/>
    <mergeCell ref="KWA355:KWB355"/>
    <mergeCell ref="KWC355:KWD355"/>
    <mergeCell ref="KWE355:KWF355"/>
    <mergeCell ref="KXQ355:KXR355"/>
    <mergeCell ref="KXS355:KXT355"/>
    <mergeCell ref="KXU355:KXV355"/>
    <mergeCell ref="KXW355:KXX355"/>
    <mergeCell ref="KXY355:KXZ355"/>
    <mergeCell ref="KYA355:KYB355"/>
    <mergeCell ref="KYC355:KYD355"/>
    <mergeCell ref="KYE355:KYF355"/>
    <mergeCell ref="KYG355:KYH355"/>
    <mergeCell ref="KWY355:KWZ355"/>
    <mergeCell ref="KXA355:KXB355"/>
    <mergeCell ref="KXC355:KXD355"/>
    <mergeCell ref="KXE355:KXF355"/>
    <mergeCell ref="KXG355:KXH355"/>
    <mergeCell ref="KXI355:KXJ355"/>
    <mergeCell ref="KXK355:KXL355"/>
    <mergeCell ref="KXM355:KXN355"/>
    <mergeCell ref="KXO355:KXP355"/>
    <mergeCell ref="KZA355:KZB355"/>
    <mergeCell ref="KZC355:KZD355"/>
    <mergeCell ref="KZE355:KZF355"/>
    <mergeCell ref="KZG355:KZH355"/>
    <mergeCell ref="KZI355:KZJ355"/>
    <mergeCell ref="KZK355:KZL355"/>
    <mergeCell ref="KZM355:KZN355"/>
    <mergeCell ref="KZO355:KZP355"/>
    <mergeCell ref="KZQ355:KZR355"/>
    <mergeCell ref="KYI355:KYJ355"/>
    <mergeCell ref="KYK355:KYL355"/>
    <mergeCell ref="KYM355:KYN355"/>
    <mergeCell ref="KYO355:KYP355"/>
    <mergeCell ref="KYQ355:KYR355"/>
    <mergeCell ref="KYS355:KYT355"/>
    <mergeCell ref="KYU355:KYV355"/>
    <mergeCell ref="KYW355:KYX355"/>
    <mergeCell ref="KYY355:KYZ355"/>
    <mergeCell ref="LAK355:LAL355"/>
    <mergeCell ref="LAM355:LAN355"/>
    <mergeCell ref="LAO355:LAP355"/>
    <mergeCell ref="LAQ355:LAR355"/>
    <mergeCell ref="LAS355:LAT355"/>
    <mergeCell ref="LAU355:LAV355"/>
    <mergeCell ref="LAW355:LAX355"/>
    <mergeCell ref="LAY355:LAZ355"/>
    <mergeCell ref="LBA355:LBB355"/>
    <mergeCell ref="KZS355:KZT355"/>
    <mergeCell ref="KZU355:KZV355"/>
    <mergeCell ref="KZW355:KZX355"/>
    <mergeCell ref="KZY355:KZZ355"/>
    <mergeCell ref="LAA355:LAB355"/>
    <mergeCell ref="LAC355:LAD355"/>
    <mergeCell ref="LAE355:LAF355"/>
    <mergeCell ref="LAG355:LAH355"/>
    <mergeCell ref="LAI355:LAJ355"/>
    <mergeCell ref="LBU355:LBV355"/>
    <mergeCell ref="LBW355:LBX355"/>
    <mergeCell ref="LBY355:LBZ355"/>
    <mergeCell ref="LCA355:LCB355"/>
    <mergeCell ref="LCC355:LCD355"/>
    <mergeCell ref="LCE355:LCF355"/>
    <mergeCell ref="LCG355:LCH355"/>
    <mergeCell ref="LCI355:LCJ355"/>
    <mergeCell ref="LCK355:LCL355"/>
    <mergeCell ref="LBC355:LBD355"/>
    <mergeCell ref="LBE355:LBF355"/>
    <mergeCell ref="LBG355:LBH355"/>
    <mergeCell ref="LBI355:LBJ355"/>
    <mergeCell ref="LBK355:LBL355"/>
    <mergeCell ref="LBM355:LBN355"/>
    <mergeCell ref="LBO355:LBP355"/>
    <mergeCell ref="LBQ355:LBR355"/>
    <mergeCell ref="LBS355:LBT355"/>
    <mergeCell ref="LDE355:LDF355"/>
    <mergeCell ref="LDG355:LDH355"/>
    <mergeCell ref="LDI355:LDJ355"/>
    <mergeCell ref="LDK355:LDL355"/>
    <mergeCell ref="LDM355:LDN355"/>
    <mergeCell ref="LDO355:LDP355"/>
    <mergeCell ref="LDQ355:LDR355"/>
    <mergeCell ref="LDS355:LDT355"/>
    <mergeCell ref="LDU355:LDV355"/>
    <mergeCell ref="LCM355:LCN355"/>
    <mergeCell ref="LCO355:LCP355"/>
    <mergeCell ref="LCQ355:LCR355"/>
    <mergeCell ref="LCS355:LCT355"/>
    <mergeCell ref="LCU355:LCV355"/>
    <mergeCell ref="LCW355:LCX355"/>
    <mergeCell ref="LCY355:LCZ355"/>
    <mergeCell ref="LDA355:LDB355"/>
    <mergeCell ref="LDC355:LDD355"/>
    <mergeCell ref="LEO355:LEP355"/>
    <mergeCell ref="LEQ355:LER355"/>
    <mergeCell ref="LES355:LET355"/>
    <mergeCell ref="LEU355:LEV355"/>
    <mergeCell ref="LEW355:LEX355"/>
    <mergeCell ref="LEY355:LEZ355"/>
    <mergeCell ref="LFA355:LFB355"/>
    <mergeCell ref="LFC355:LFD355"/>
    <mergeCell ref="LFE355:LFF355"/>
    <mergeCell ref="LDW355:LDX355"/>
    <mergeCell ref="LDY355:LDZ355"/>
    <mergeCell ref="LEA355:LEB355"/>
    <mergeCell ref="LEC355:LED355"/>
    <mergeCell ref="LEE355:LEF355"/>
    <mergeCell ref="LEG355:LEH355"/>
    <mergeCell ref="LEI355:LEJ355"/>
    <mergeCell ref="LEK355:LEL355"/>
    <mergeCell ref="LEM355:LEN355"/>
    <mergeCell ref="LFY355:LFZ355"/>
    <mergeCell ref="LGA355:LGB355"/>
    <mergeCell ref="LGC355:LGD355"/>
    <mergeCell ref="LGE355:LGF355"/>
    <mergeCell ref="LGG355:LGH355"/>
    <mergeCell ref="LGI355:LGJ355"/>
    <mergeCell ref="LGK355:LGL355"/>
    <mergeCell ref="LGM355:LGN355"/>
    <mergeCell ref="LGO355:LGP355"/>
    <mergeCell ref="LFG355:LFH355"/>
    <mergeCell ref="LFI355:LFJ355"/>
    <mergeCell ref="LFK355:LFL355"/>
    <mergeCell ref="LFM355:LFN355"/>
    <mergeCell ref="LFO355:LFP355"/>
    <mergeCell ref="LFQ355:LFR355"/>
    <mergeCell ref="LFS355:LFT355"/>
    <mergeCell ref="LFU355:LFV355"/>
    <mergeCell ref="LFW355:LFX355"/>
    <mergeCell ref="LHI355:LHJ355"/>
    <mergeCell ref="LHK355:LHL355"/>
    <mergeCell ref="LHM355:LHN355"/>
    <mergeCell ref="LHO355:LHP355"/>
    <mergeCell ref="LHQ355:LHR355"/>
    <mergeCell ref="LHS355:LHT355"/>
    <mergeCell ref="LHU355:LHV355"/>
    <mergeCell ref="LHW355:LHX355"/>
    <mergeCell ref="LHY355:LHZ355"/>
    <mergeCell ref="LGQ355:LGR355"/>
    <mergeCell ref="LGS355:LGT355"/>
    <mergeCell ref="LGU355:LGV355"/>
    <mergeCell ref="LGW355:LGX355"/>
    <mergeCell ref="LGY355:LGZ355"/>
    <mergeCell ref="LHA355:LHB355"/>
    <mergeCell ref="LHC355:LHD355"/>
    <mergeCell ref="LHE355:LHF355"/>
    <mergeCell ref="LHG355:LHH355"/>
    <mergeCell ref="LIS355:LIT355"/>
    <mergeCell ref="LIU355:LIV355"/>
    <mergeCell ref="LIW355:LIX355"/>
    <mergeCell ref="LIY355:LIZ355"/>
    <mergeCell ref="LJA355:LJB355"/>
    <mergeCell ref="LJC355:LJD355"/>
    <mergeCell ref="LJE355:LJF355"/>
    <mergeCell ref="LJG355:LJH355"/>
    <mergeCell ref="LJI355:LJJ355"/>
    <mergeCell ref="LIA355:LIB355"/>
    <mergeCell ref="LIC355:LID355"/>
    <mergeCell ref="LIE355:LIF355"/>
    <mergeCell ref="LIG355:LIH355"/>
    <mergeCell ref="LII355:LIJ355"/>
    <mergeCell ref="LIK355:LIL355"/>
    <mergeCell ref="LIM355:LIN355"/>
    <mergeCell ref="LIO355:LIP355"/>
    <mergeCell ref="LIQ355:LIR355"/>
    <mergeCell ref="LKC355:LKD355"/>
    <mergeCell ref="LKE355:LKF355"/>
    <mergeCell ref="LKG355:LKH355"/>
    <mergeCell ref="LKI355:LKJ355"/>
    <mergeCell ref="LKK355:LKL355"/>
    <mergeCell ref="LKM355:LKN355"/>
    <mergeCell ref="LKO355:LKP355"/>
    <mergeCell ref="LKQ355:LKR355"/>
    <mergeCell ref="LKS355:LKT355"/>
    <mergeCell ref="LJK355:LJL355"/>
    <mergeCell ref="LJM355:LJN355"/>
    <mergeCell ref="LJO355:LJP355"/>
    <mergeCell ref="LJQ355:LJR355"/>
    <mergeCell ref="LJS355:LJT355"/>
    <mergeCell ref="LJU355:LJV355"/>
    <mergeCell ref="LJW355:LJX355"/>
    <mergeCell ref="LJY355:LJZ355"/>
    <mergeCell ref="LKA355:LKB355"/>
    <mergeCell ref="LLM355:LLN355"/>
    <mergeCell ref="LLO355:LLP355"/>
    <mergeCell ref="LLQ355:LLR355"/>
    <mergeCell ref="LLS355:LLT355"/>
    <mergeCell ref="LLU355:LLV355"/>
    <mergeCell ref="LLW355:LLX355"/>
    <mergeCell ref="LLY355:LLZ355"/>
    <mergeCell ref="LMA355:LMB355"/>
    <mergeCell ref="LMC355:LMD355"/>
    <mergeCell ref="LKU355:LKV355"/>
    <mergeCell ref="LKW355:LKX355"/>
    <mergeCell ref="LKY355:LKZ355"/>
    <mergeCell ref="LLA355:LLB355"/>
    <mergeCell ref="LLC355:LLD355"/>
    <mergeCell ref="LLE355:LLF355"/>
    <mergeCell ref="LLG355:LLH355"/>
    <mergeCell ref="LLI355:LLJ355"/>
    <mergeCell ref="LLK355:LLL355"/>
    <mergeCell ref="LMW355:LMX355"/>
    <mergeCell ref="LMY355:LMZ355"/>
    <mergeCell ref="LNA355:LNB355"/>
    <mergeCell ref="LNC355:LND355"/>
    <mergeCell ref="LNE355:LNF355"/>
    <mergeCell ref="LNG355:LNH355"/>
    <mergeCell ref="LNI355:LNJ355"/>
    <mergeCell ref="LNK355:LNL355"/>
    <mergeCell ref="LNM355:LNN355"/>
    <mergeCell ref="LME355:LMF355"/>
    <mergeCell ref="LMG355:LMH355"/>
    <mergeCell ref="LMI355:LMJ355"/>
    <mergeCell ref="LMK355:LML355"/>
    <mergeCell ref="LMM355:LMN355"/>
    <mergeCell ref="LMO355:LMP355"/>
    <mergeCell ref="LMQ355:LMR355"/>
    <mergeCell ref="LMS355:LMT355"/>
    <mergeCell ref="LMU355:LMV355"/>
    <mergeCell ref="LOG355:LOH355"/>
    <mergeCell ref="LOI355:LOJ355"/>
    <mergeCell ref="LOK355:LOL355"/>
    <mergeCell ref="LOM355:LON355"/>
    <mergeCell ref="LOO355:LOP355"/>
    <mergeCell ref="LOQ355:LOR355"/>
    <mergeCell ref="LOS355:LOT355"/>
    <mergeCell ref="LOU355:LOV355"/>
    <mergeCell ref="LOW355:LOX355"/>
    <mergeCell ref="LNO355:LNP355"/>
    <mergeCell ref="LNQ355:LNR355"/>
    <mergeCell ref="LNS355:LNT355"/>
    <mergeCell ref="LNU355:LNV355"/>
    <mergeCell ref="LNW355:LNX355"/>
    <mergeCell ref="LNY355:LNZ355"/>
    <mergeCell ref="LOA355:LOB355"/>
    <mergeCell ref="LOC355:LOD355"/>
    <mergeCell ref="LOE355:LOF355"/>
    <mergeCell ref="LPQ355:LPR355"/>
    <mergeCell ref="LPS355:LPT355"/>
    <mergeCell ref="LPU355:LPV355"/>
    <mergeCell ref="LPW355:LPX355"/>
    <mergeCell ref="LPY355:LPZ355"/>
    <mergeCell ref="LQA355:LQB355"/>
    <mergeCell ref="LQC355:LQD355"/>
    <mergeCell ref="LQE355:LQF355"/>
    <mergeCell ref="LQG355:LQH355"/>
    <mergeCell ref="LOY355:LOZ355"/>
    <mergeCell ref="LPA355:LPB355"/>
    <mergeCell ref="LPC355:LPD355"/>
    <mergeCell ref="LPE355:LPF355"/>
    <mergeCell ref="LPG355:LPH355"/>
    <mergeCell ref="LPI355:LPJ355"/>
    <mergeCell ref="LPK355:LPL355"/>
    <mergeCell ref="LPM355:LPN355"/>
    <mergeCell ref="LPO355:LPP355"/>
    <mergeCell ref="LRA355:LRB355"/>
    <mergeCell ref="LRC355:LRD355"/>
    <mergeCell ref="LRE355:LRF355"/>
    <mergeCell ref="LRG355:LRH355"/>
    <mergeCell ref="LRI355:LRJ355"/>
    <mergeCell ref="LRK355:LRL355"/>
    <mergeCell ref="LRM355:LRN355"/>
    <mergeCell ref="LRO355:LRP355"/>
    <mergeCell ref="LRQ355:LRR355"/>
    <mergeCell ref="LQI355:LQJ355"/>
    <mergeCell ref="LQK355:LQL355"/>
    <mergeCell ref="LQM355:LQN355"/>
    <mergeCell ref="LQO355:LQP355"/>
    <mergeCell ref="LQQ355:LQR355"/>
    <mergeCell ref="LQS355:LQT355"/>
    <mergeCell ref="LQU355:LQV355"/>
    <mergeCell ref="LQW355:LQX355"/>
    <mergeCell ref="LQY355:LQZ355"/>
    <mergeCell ref="LSK355:LSL355"/>
    <mergeCell ref="LSM355:LSN355"/>
    <mergeCell ref="LSO355:LSP355"/>
    <mergeCell ref="LSQ355:LSR355"/>
    <mergeCell ref="LSS355:LST355"/>
    <mergeCell ref="LSU355:LSV355"/>
    <mergeCell ref="LSW355:LSX355"/>
    <mergeCell ref="LSY355:LSZ355"/>
    <mergeCell ref="LTA355:LTB355"/>
    <mergeCell ref="LRS355:LRT355"/>
    <mergeCell ref="LRU355:LRV355"/>
    <mergeCell ref="LRW355:LRX355"/>
    <mergeCell ref="LRY355:LRZ355"/>
    <mergeCell ref="LSA355:LSB355"/>
    <mergeCell ref="LSC355:LSD355"/>
    <mergeCell ref="LSE355:LSF355"/>
    <mergeCell ref="LSG355:LSH355"/>
    <mergeCell ref="LSI355:LSJ355"/>
    <mergeCell ref="LTU355:LTV355"/>
    <mergeCell ref="LTW355:LTX355"/>
    <mergeCell ref="LTY355:LTZ355"/>
    <mergeCell ref="LUA355:LUB355"/>
    <mergeCell ref="LUC355:LUD355"/>
    <mergeCell ref="LUE355:LUF355"/>
    <mergeCell ref="LUG355:LUH355"/>
    <mergeCell ref="LUI355:LUJ355"/>
    <mergeCell ref="LUK355:LUL355"/>
    <mergeCell ref="LTC355:LTD355"/>
    <mergeCell ref="LTE355:LTF355"/>
    <mergeCell ref="LTG355:LTH355"/>
    <mergeCell ref="LTI355:LTJ355"/>
    <mergeCell ref="LTK355:LTL355"/>
    <mergeCell ref="LTM355:LTN355"/>
    <mergeCell ref="LTO355:LTP355"/>
    <mergeCell ref="LTQ355:LTR355"/>
    <mergeCell ref="LTS355:LTT355"/>
    <mergeCell ref="LVE355:LVF355"/>
    <mergeCell ref="LVG355:LVH355"/>
    <mergeCell ref="LVI355:LVJ355"/>
    <mergeCell ref="LVK355:LVL355"/>
    <mergeCell ref="LVM355:LVN355"/>
    <mergeCell ref="LVO355:LVP355"/>
    <mergeCell ref="LVQ355:LVR355"/>
    <mergeCell ref="LVS355:LVT355"/>
    <mergeCell ref="LVU355:LVV355"/>
    <mergeCell ref="LUM355:LUN355"/>
    <mergeCell ref="LUO355:LUP355"/>
    <mergeCell ref="LUQ355:LUR355"/>
    <mergeCell ref="LUS355:LUT355"/>
    <mergeCell ref="LUU355:LUV355"/>
    <mergeCell ref="LUW355:LUX355"/>
    <mergeCell ref="LUY355:LUZ355"/>
    <mergeCell ref="LVA355:LVB355"/>
    <mergeCell ref="LVC355:LVD355"/>
    <mergeCell ref="LWO355:LWP355"/>
    <mergeCell ref="LWQ355:LWR355"/>
    <mergeCell ref="LWS355:LWT355"/>
    <mergeCell ref="LWU355:LWV355"/>
    <mergeCell ref="LWW355:LWX355"/>
    <mergeCell ref="LWY355:LWZ355"/>
    <mergeCell ref="LXA355:LXB355"/>
    <mergeCell ref="LXC355:LXD355"/>
    <mergeCell ref="LXE355:LXF355"/>
    <mergeCell ref="LVW355:LVX355"/>
    <mergeCell ref="LVY355:LVZ355"/>
    <mergeCell ref="LWA355:LWB355"/>
    <mergeCell ref="LWC355:LWD355"/>
    <mergeCell ref="LWE355:LWF355"/>
    <mergeCell ref="LWG355:LWH355"/>
    <mergeCell ref="LWI355:LWJ355"/>
    <mergeCell ref="LWK355:LWL355"/>
    <mergeCell ref="LWM355:LWN355"/>
    <mergeCell ref="LXY355:LXZ355"/>
    <mergeCell ref="LYA355:LYB355"/>
    <mergeCell ref="LYC355:LYD355"/>
    <mergeCell ref="LYE355:LYF355"/>
    <mergeCell ref="LYG355:LYH355"/>
    <mergeCell ref="LYI355:LYJ355"/>
    <mergeCell ref="LYK355:LYL355"/>
    <mergeCell ref="LYM355:LYN355"/>
    <mergeCell ref="LYO355:LYP355"/>
    <mergeCell ref="LXG355:LXH355"/>
    <mergeCell ref="LXI355:LXJ355"/>
    <mergeCell ref="LXK355:LXL355"/>
    <mergeCell ref="LXM355:LXN355"/>
    <mergeCell ref="LXO355:LXP355"/>
    <mergeCell ref="LXQ355:LXR355"/>
    <mergeCell ref="LXS355:LXT355"/>
    <mergeCell ref="LXU355:LXV355"/>
    <mergeCell ref="LXW355:LXX355"/>
    <mergeCell ref="LZI355:LZJ355"/>
    <mergeCell ref="LZK355:LZL355"/>
    <mergeCell ref="LZM355:LZN355"/>
    <mergeCell ref="LZO355:LZP355"/>
    <mergeCell ref="LZQ355:LZR355"/>
    <mergeCell ref="LZS355:LZT355"/>
    <mergeCell ref="LZU355:LZV355"/>
    <mergeCell ref="LZW355:LZX355"/>
    <mergeCell ref="LZY355:LZZ355"/>
    <mergeCell ref="LYQ355:LYR355"/>
    <mergeCell ref="LYS355:LYT355"/>
    <mergeCell ref="LYU355:LYV355"/>
    <mergeCell ref="LYW355:LYX355"/>
    <mergeCell ref="LYY355:LYZ355"/>
    <mergeCell ref="LZA355:LZB355"/>
    <mergeCell ref="LZC355:LZD355"/>
    <mergeCell ref="LZE355:LZF355"/>
    <mergeCell ref="LZG355:LZH355"/>
    <mergeCell ref="MAS355:MAT355"/>
    <mergeCell ref="MAU355:MAV355"/>
    <mergeCell ref="MAW355:MAX355"/>
    <mergeCell ref="MAY355:MAZ355"/>
    <mergeCell ref="MBA355:MBB355"/>
    <mergeCell ref="MBC355:MBD355"/>
    <mergeCell ref="MBE355:MBF355"/>
    <mergeCell ref="MBG355:MBH355"/>
    <mergeCell ref="MBI355:MBJ355"/>
    <mergeCell ref="MAA355:MAB355"/>
    <mergeCell ref="MAC355:MAD355"/>
    <mergeCell ref="MAE355:MAF355"/>
    <mergeCell ref="MAG355:MAH355"/>
    <mergeCell ref="MAI355:MAJ355"/>
    <mergeCell ref="MAK355:MAL355"/>
    <mergeCell ref="MAM355:MAN355"/>
    <mergeCell ref="MAO355:MAP355"/>
    <mergeCell ref="MAQ355:MAR355"/>
    <mergeCell ref="MCC355:MCD355"/>
    <mergeCell ref="MCE355:MCF355"/>
    <mergeCell ref="MCG355:MCH355"/>
    <mergeCell ref="MCI355:MCJ355"/>
    <mergeCell ref="MCK355:MCL355"/>
    <mergeCell ref="MCM355:MCN355"/>
    <mergeCell ref="MCO355:MCP355"/>
    <mergeCell ref="MCQ355:MCR355"/>
    <mergeCell ref="MCS355:MCT355"/>
    <mergeCell ref="MBK355:MBL355"/>
    <mergeCell ref="MBM355:MBN355"/>
    <mergeCell ref="MBO355:MBP355"/>
    <mergeCell ref="MBQ355:MBR355"/>
    <mergeCell ref="MBS355:MBT355"/>
    <mergeCell ref="MBU355:MBV355"/>
    <mergeCell ref="MBW355:MBX355"/>
    <mergeCell ref="MBY355:MBZ355"/>
    <mergeCell ref="MCA355:MCB355"/>
    <mergeCell ref="MDM355:MDN355"/>
    <mergeCell ref="MDO355:MDP355"/>
    <mergeCell ref="MDQ355:MDR355"/>
    <mergeCell ref="MDS355:MDT355"/>
    <mergeCell ref="MDU355:MDV355"/>
    <mergeCell ref="MDW355:MDX355"/>
    <mergeCell ref="MDY355:MDZ355"/>
    <mergeCell ref="MEA355:MEB355"/>
    <mergeCell ref="MEC355:MED355"/>
    <mergeCell ref="MCU355:MCV355"/>
    <mergeCell ref="MCW355:MCX355"/>
    <mergeCell ref="MCY355:MCZ355"/>
    <mergeCell ref="MDA355:MDB355"/>
    <mergeCell ref="MDC355:MDD355"/>
    <mergeCell ref="MDE355:MDF355"/>
    <mergeCell ref="MDG355:MDH355"/>
    <mergeCell ref="MDI355:MDJ355"/>
    <mergeCell ref="MDK355:MDL355"/>
    <mergeCell ref="MEW355:MEX355"/>
    <mergeCell ref="MEY355:MEZ355"/>
    <mergeCell ref="MFA355:MFB355"/>
    <mergeCell ref="MFC355:MFD355"/>
    <mergeCell ref="MFE355:MFF355"/>
    <mergeCell ref="MFG355:MFH355"/>
    <mergeCell ref="MFI355:MFJ355"/>
    <mergeCell ref="MFK355:MFL355"/>
    <mergeCell ref="MFM355:MFN355"/>
    <mergeCell ref="MEE355:MEF355"/>
    <mergeCell ref="MEG355:MEH355"/>
    <mergeCell ref="MEI355:MEJ355"/>
    <mergeCell ref="MEK355:MEL355"/>
    <mergeCell ref="MEM355:MEN355"/>
    <mergeCell ref="MEO355:MEP355"/>
    <mergeCell ref="MEQ355:MER355"/>
    <mergeCell ref="MES355:MET355"/>
    <mergeCell ref="MEU355:MEV355"/>
    <mergeCell ref="MGG355:MGH355"/>
    <mergeCell ref="MGI355:MGJ355"/>
    <mergeCell ref="MGK355:MGL355"/>
    <mergeCell ref="MGM355:MGN355"/>
    <mergeCell ref="MGO355:MGP355"/>
    <mergeCell ref="MGQ355:MGR355"/>
    <mergeCell ref="MGS355:MGT355"/>
    <mergeCell ref="MGU355:MGV355"/>
    <mergeCell ref="MGW355:MGX355"/>
    <mergeCell ref="MFO355:MFP355"/>
    <mergeCell ref="MFQ355:MFR355"/>
    <mergeCell ref="MFS355:MFT355"/>
    <mergeCell ref="MFU355:MFV355"/>
    <mergeCell ref="MFW355:MFX355"/>
    <mergeCell ref="MFY355:MFZ355"/>
    <mergeCell ref="MGA355:MGB355"/>
    <mergeCell ref="MGC355:MGD355"/>
    <mergeCell ref="MGE355:MGF355"/>
    <mergeCell ref="MHQ355:MHR355"/>
    <mergeCell ref="MHS355:MHT355"/>
    <mergeCell ref="MHU355:MHV355"/>
    <mergeCell ref="MHW355:MHX355"/>
    <mergeCell ref="MHY355:MHZ355"/>
    <mergeCell ref="MIA355:MIB355"/>
    <mergeCell ref="MIC355:MID355"/>
    <mergeCell ref="MIE355:MIF355"/>
    <mergeCell ref="MIG355:MIH355"/>
    <mergeCell ref="MGY355:MGZ355"/>
    <mergeCell ref="MHA355:MHB355"/>
    <mergeCell ref="MHC355:MHD355"/>
    <mergeCell ref="MHE355:MHF355"/>
    <mergeCell ref="MHG355:MHH355"/>
    <mergeCell ref="MHI355:MHJ355"/>
    <mergeCell ref="MHK355:MHL355"/>
    <mergeCell ref="MHM355:MHN355"/>
    <mergeCell ref="MHO355:MHP355"/>
    <mergeCell ref="MJA355:MJB355"/>
    <mergeCell ref="MJC355:MJD355"/>
    <mergeCell ref="MJE355:MJF355"/>
    <mergeCell ref="MJG355:MJH355"/>
    <mergeCell ref="MJI355:MJJ355"/>
    <mergeCell ref="MJK355:MJL355"/>
    <mergeCell ref="MJM355:MJN355"/>
    <mergeCell ref="MJO355:MJP355"/>
    <mergeCell ref="MJQ355:MJR355"/>
    <mergeCell ref="MII355:MIJ355"/>
    <mergeCell ref="MIK355:MIL355"/>
    <mergeCell ref="MIM355:MIN355"/>
    <mergeCell ref="MIO355:MIP355"/>
    <mergeCell ref="MIQ355:MIR355"/>
    <mergeCell ref="MIS355:MIT355"/>
    <mergeCell ref="MIU355:MIV355"/>
    <mergeCell ref="MIW355:MIX355"/>
    <mergeCell ref="MIY355:MIZ355"/>
    <mergeCell ref="MKK355:MKL355"/>
    <mergeCell ref="MKM355:MKN355"/>
    <mergeCell ref="MKO355:MKP355"/>
    <mergeCell ref="MKQ355:MKR355"/>
    <mergeCell ref="MKS355:MKT355"/>
    <mergeCell ref="MKU355:MKV355"/>
    <mergeCell ref="MKW355:MKX355"/>
    <mergeCell ref="MKY355:MKZ355"/>
    <mergeCell ref="MLA355:MLB355"/>
    <mergeCell ref="MJS355:MJT355"/>
    <mergeCell ref="MJU355:MJV355"/>
    <mergeCell ref="MJW355:MJX355"/>
    <mergeCell ref="MJY355:MJZ355"/>
    <mergeCell ref="MKA355:MKB355"/>
    <mergeCell ref="MKC355:MKD355"/>
    <mergeCell ref="MKE355:MKF355"/>
    <mergeCell ref="MKG355:MKH355"/>
    <mergeCell ref="MKI355:MKJ355"/>
    <mergeCell ref="MLU355:MLV355"/>
    <mergeCell ref="MLW355:MLX355"/>
    <mergeCell ref="MLY355:MLZ355"/>
    <mergeCell ref="MMA355:MMB355"/>
    <mergeCell ref="MMC355:MMD355"/>
    <mergeCell ref="MME355:MMF355"/>
    <mergeCell ref="MMG355:MMH355"/>
    <mergeCell ref="MMI355:MMJ355"/>
    <mergeCell ref="MMK355:MML355"/>
    <mergeCell ref="MLC355:MLD355"/>
    <mergeCell ref="MLE355:MLF355"/>
    <mergeCell ref="MLG355:MLH355"/>
    <mergeCell ref="MLI355:MLJ355"/>
    <mergeCell ref="MLK355:MLL355"/>
    <mergeCell ref="MLM355:MLN355"/>
    <mergeCell ref="MLO355:MLP355"/>
    <mergeCell ref="MLQ355:MLR355"/>
    <mergeCell ref="MLS355:MLT355"/>
    <mergeCell ref="MNE355:MNF355"/>
    <mergeCell ref="MNG355:MNH355"/>
    <mergeCell ref="MNI355:MNJ355"/>
    <mergeCell ref="MNK355:MNL355"/>
    <mergeCell ref="MNM355:MNN355"/>
    <mergeCell ref="MNO355:MNP355"/>
    <mergeCell ref="MNQ355:MNR355"/>
    <mergeCell ref="MNS355:MNT355"/>
    <mergeCell ref="MNU355:MNV355"/>
    <mergeCell ref="MMM355:MMN355"/>
    <mergeCell ref="MMO355:MMP355"/>
    <mergeCell ref="MMQ355:MMR355"/>
    <mergeCell ref="MMS355:MMT355"/>
    <mergeCell ref="MMU355:MMV355"/>
    <mergeCell ref="MMW355:MMX355"/>
    <mergeCell ref="MMY355:MMZ355"/>
    <mergeCell ref="MNA355:MNB355"/>
    <mergeCell ref="MNC355:MND355"/>
    <mergeCell ref="MOO355:MOP355"/>
    <mergeCell ref="MOQ355:MOR355"/>
    <mergeCell ref="MOS355:MOT355"/>
    <mergeCell ref="MOU355:MOV355"/>
    <mergeCell ref="MOW355:MOX355"/>
    <mergeCell ref="MOY355:MOZ355"/>
    <mergeCell ref="MPA355:MPB355"/>
    <mergeCell ref="MPC355:MPD355"/>
    <mergeCell ref="MPE355:MPF355"/>
    <mergeCell ref="MNW355:MNX355"/>
    <mergeCell ref="MNY355:MNZ355"/>
    <mergeCell ref="MOA355:MOB355"/>
    <mergeCell ref="MOC355:MOD355"/>
    <mergeCell ref="MOE355:MOF355"/>
    <mergeCell ref="MOG355:MOH355"/>
    <mergeCell ref="MOI355:MOJ355"/>
    <mergeCell ref="MOK355:MOL355"/>
    <mergeCell ref="MOM355:MON355"/>
    <mergeCell ref="MPY355:MPZ355"/>
    <mergeCell ref="MQA355:MQB355"/>
    <mergeCell ref="MQC355:MQD355"/>
    <mergeCell ref="MQE355:MQF355"/>
    <mergeCell ref="MQG355:MQH355"/>
    <mergeCell ref="MQI355:MQJ355"/>
    <mergeCell ref="MQK355:MQL355"/>
    <mergeCell ref="MQM355:MQN355"/>
    <mergeCell ref="MQO355:MQP355"/>
    <mergeCell ref="MPG355:MPH355"/>
    <mergeCell ref="MPI355:MPJ355"/>
    <mergeCell ref="MPK355:MPL355"/>
    <mergeCell ref="MPM355:MPN355"/>
    <mergeCell ref="MPO355:MPP355"/>
    <mergeCell ref="MPQ355:MPR355"/>
    <mergeCell ref="MPS355:MPT355"/>
    <mergeCell ref="MPU355:MPV355"/>
    <mergeCell ref="MPW355:MPX355"/>
    <mergeCell ref="MRI355:MRJ355"/>
    <mergeCell ref="MRK355:MRL355"/>
    <mergeCell ref="MRM355:MRN355"/>
    <mergeCell ref="MRO355:MRP355"/>
    <mergeCell ref="MRQ355:MRR355"/>
    <mergeCell ref="MRS355:MRT355"/>
    <mergeCell ref="MRU355:MRV355"/>
    <mergeCell ref="MRW355:MRX355"/>
    <mergeCell ref="MRY355:MRZ355"/>
    <mergeCell ref="MQQ355:MQR355"/>
    <mergeCell ref="MQS355:MQT355"/>
    <mergeCell ref="MQU355:MQV355"/>
    <mergeCell ref="MQW355:MQX355"/>
    <mergeCell ref="MQY355:MQZ355"/>
    <mergeCell ref="MRA355:MRB355"/>
    <mergeCell ref="MRC355:MRD355"/>
    <mergeCell ref="MRE355:MRF355"/>
    <mergeCell ref="MRG355:MRH355"/>
    <mergeCell ref="MSS355:MST355"/>
    <mergeCell ref="MSU355:MSV355"/>
    <mergeCell ref="MSW355:MSX355"/>
    <mergeCell ref="MSY355:MSZ355"/>
    <mergeCell ref="MTA355:MTB355"/>
    <mergeCell ref="MTC355:MTD355"/>
    <mergeCell ref="MTE355:MTF355"/>
    <mergeCell ref="MTG355:MTH355"/>
    <mergeCell ref="MTI355:MTJ355"/>
    <mergeCell ref="MSA355:MSB355"/>
    <mergeCell ref="MSC355:MSD355"/>
    <mergeCell ref="MSE355:MSF355"/>
    <mergeCell ref="MSG355:MSH355"/>
    <mergeCell ref="MSI355:MSJ355"/>
    <mergeCell ref="MSK355:MSL355"/>
    <mergeCell ref="MSM355:MSN355"/>
    <mergeCell ref="MSO355:MSP355"/>
    <mergeCell ref="MSQ355:MSR355"/>
    <mergeCell ref="MUC355:MUD355"/>
    <mergeCell ref="MUE355:MUF355"/>
    <mergeCell ref="MUG355:MUH355"/>
    <mergeCell ref="MUI355:MUJ355"/>
    <mergeCell ref="MUK355:MUL355"/>
    <mergeCell ref="MUM355:MUN355"/>
    <mergeCell ref="MUO355:MUP355"/>
    <mergeCell ref="MUQ355:MUR355"/>
    <mergeCell ref="MUS355:MUT355"/>
    <mergeCell ref="MTK355:MTL355"/>
    <mergeCell ref="MTM355:MTN355"/>
    <mergeCell ref="MTO355:MTP355"/>
    <mergeCell ref="MTQ355:MTR355"/>
    <mergeCell ref="MTS355:MTT355"/>
    <mergeCell ref="MTU355:MTV355"/>
    <mergeCell ref="MTW355:MTX355"/>
    <mergeCell ref="MTY355:MTZ355"/>
    <mergeCell ref="MUA355:MUB355"/>
    <mergeCell ref="MVM355:MVN355"/>
    <mergeCell ref="MVO355:MVP355"/>
    <mergeCell ref="MVQ355:MVR355"/>
    <mergeCell ref="MVS355:MVT355"/>
    <mergeCell ref="MVU355:MVV355"/>
    <mergeCell ref="MVW355:MVX355"/>
    <mergeCell ref="MVY355:MVZ355"/>
    <mergeCell ref="MWA355:MWB355"/>
    <mergeCell ref="MWC355:MWD355"/>
    <mergeCell ref="MUU355:MUV355"/>
    <mergeCell ref="MUW355:MUX355"/>
    <mergeCell ref="MUY355:MUZ355"/>
    <mergeCell ref="MVA355:MVB355"/>
    <mergeCell ref="MVC355:MVD355"/>
    <mergeCell ref="MVE355:MVF355"/>
    <mergeCell ref="MVG355:MVH355"/>
    <mergeCell ref="MVI355:MVJ355"/>
    <mergeCell ref="MVK355:MVL355"/>
    <mergeCell ref="MWW355:MWX355"/>
    <mergeCell ref="MWY355:MWZ355"/>
    <mergeCell ref="MXA355:MXB355"/>
    <mergeCell ref="MXC355:MXD355"/>
    <mergeCell ref="MXE355:MXF355"/>
    <mergeCell ref="MXG355:MXH355"/>
    <mergeCell ref="MXI355:MXJ355"/>
    <mergeCell ref="MXK355:MXL355"/>
    <mergeCell ref="MXM355:MXN355"/>
    <mergeCell ref="MWE355:MWF355"/>
    <mergeCell ref="MWG355:MWH355"/>
    <mergeCell ref="MWI355:MWJ355"/>
    <mergeCell ref="MWK355:MWL355"/>
    <mergeCell ref="MWM355:MWN355"/>
    <mergeCell ref="MWO355:MWP355"/>
    <mergeCell ref="MWQ355:MWR355"/>
    <mergeCell ref="MWS355:MWT355"/>
    <mergeCell ref="MWU355:MWV355"/>
    <mergeCell ref="MYG355:MYH355"/>
    <mergeCell ref="MYI355:MYJ355"/>
    <mergeCell ref="MYK355:MYL355"/>
    <mergeCell ref="MYM355:MYN355"/>
    <mergeCell ref="MYO355:MYP355"/>
    <mergeCell ref="MYQ355:MYR355"/>
    <mergeCell ref="MYS355:MYT355"/>
    <mergeCell ref="MYU355:MYV355"/>
    <mergeCell ref="MYW355:MYX355"/>
    <mergeCell ref="MXO355:MXP355"/>
    <mergeCell ref="MXQ355:MXR355"/>
    <mergeCell ref="MXS355:MXT355"/>
    <mergeCell ref="MXU355:MXV355"/>
    <mergeCell ref="MXW355:MXX355"/>
    <mergeCell ref="MXY355:MXZ355"/>
    <mergeCell ref="MYA355:MYB355"/>
    <mergeCell ref="MYC355:MYD355"/>
    <mergeCell ref="MYE355:MYF355"/>
    <mergeCell ref="MZQ355:MZR355"/>
    <mergeCell ref="MZS355:MZT355"/>
    <mergeCell ref="MZU355:MZV355"/>
    <mergeCell ref="MZW355:MZX355"/>
    <mergeCell ref="MZY355:MZZ355"/>
    <mergeCell ref="NAA355:NAB355"/>
    <mergeCell ref="NAC355:NAD355"/>
    <mergeCell ref="NAE355:NAF355"/>
    <mergeCell ref="NAG355:NAH355"/>
    <mergeCell ref="MYY355:MYZ355"/>
    <mergeCell ref="MZA355:MZB355"/>
    <mergeCell ref="MZC355:MZD355"/>
    <mergeCell ref="MZE355:MZF355"/>
    <mergeCell ref="MZG355:MZH355"/>
    <mergeCell ref="MZI355:MZJ355"/>
    <mergeCell ref="MZK355:MZL355"/>
    <mergeCell ref="MZM355:MZN355"/>
    <mergeCell ref="MZO355:MZP355"/>
    <mergeCell ref="NBA355:NBB355"/>
    <mergeCell ref="NBC355:NBD355"/>
    <mergeCell ref="NBE355:NBF355"/>
    <mergeCell ref="NBG355:NBH355"/>
    <mergeCell ref="NBI355:NBJ355"/>
    <mergeCell ref="NBK355:NBL355"/>
    <mergeCell ref="NBM355:NBN355"/>
    <mergeCell ref="NBO355:NBP355"/>
    <mergeCell ref="NBQ355:NBR355"/>
    <mergeCell ref="NAI355:NAJ355"/>
    <mergeCell ref="NAK355:NAL355"/>
    <mergeCell ref="NAM355:NAN355"/>
    <mergeCell ref="NAO355:NAP355"/>
    <mergeCell ref="NAQ355:NAR355"/>
    <mergeCell ref="NAS355:NAT355"/>
    <mergeCell ref="NAU355:NAV355"/>
    <mergeCell ref="NAW355:NAX355"/>
    <mergeCell ref="NAY355:NAZ355"/>
    <mergeCell ref="NCK355:NCL355"/>
    <mergeCell ref="NCM355:NCN355"/>
    <mergeCell ref="NCO355:NCP355"/>
    <mergeCell ref="NCQ355:NCR355"/>
    <mergeCell ref="NCS355:NCT355"/>
    <mergeCell ref="NCU355:NCV355"/>
    <mergeCell ref="NCW355:NCX355"/>
    <mergeCell ref="NCY355:NCZ355"/>
    <mergeCell ref="NDA355:NDB355"/>
    <mergeCell ref="NBS355:NBT355"/>
    <mergeCell ref="NBU355:NBV355"/>
    <mergeCell ref="NBW355:NBX355"/>
    <mergeCell ref="NBY355:NBZ355"/>
    <mergeCell ref="NCA355:NCB355"/>
    <mergeCell ref="NCC355:NCD355"/>
    <mergeCell ref="NCE355:NCF355"/>
    <mergeCell ref="NCG355:NCH355"/>
    <mergeCell ref="NCI355:NCJ355"/>
    <mergeCell ref="NDU355:NDV355"/>
    <mergeCell ref="NDW355:NDX355"/>
    <mergeCell ref="NDY355:NDZ355"/>
    <mergeCell ref="NEA355:NEB355"/>
    <mergeCell ref="NEC355:NED355"/>
    <mergeCell ref="NEE355:NEF355"/>
    <mergeCell ref="NEG355:NEH355"/>
    <mergeCell ref="NEI355:NEJ355"/>
    <mergeCell ref="NEK355:NEL355"/>
    <mergeCell ref="NDC355:NDD355"/>
    <mergeCell ref="NDE355:NDF355"/>
    <mergeCell ref="NDG355:NDH355"/>
    <mergeCell ref="NDI355:NDJ355"/>
    <mergeCell ref="NDK355:NDL355"/>
    <mergeCell ref="NDM355:NDN355"/>
    <mergeCell ref="NDO355:NDP355"/>
    <mergeCell ref="NDQ355:NDR355"/>
    <mergeCell ref="NDS355:NDT355"/>
    <mergeCell ref="NFE355:NFF355"/>
    <mergeCell ref="NFG355:NFH355"/>
    <mergeCell ref="NFI355:NFJ355"/>
    <mergeCell ref="NFK355:NFL355"/>
    <mergeCell ref="NFM355:NFN355"/>
    <mergeCell ref="NFO355:NFP355"/>
    <mergeCell ref="NFQ355:NFR355"/>
    <mergeCell ref="NFS355:NFT355"/>
    <mergeCell ref="NFU355:NFV355"/>
    <mergeCell ref="NEM355:NEN355"/>
    <mergeCell ref="NEO355:NEP355"/>
    <mergeCell ref="NEQ355:NER355"/>
    <mergeCell ref="NES355:NET355"/>
    <mergeCell ref="NEU355:NEV355"/>
    <mergeCell ref="NEW355:NEX355"/>
    <mergeCell ref="NEY355:NEZ355"/>
    <mergeCell ref="NFA355:NFB355"/>
    <mergeCell ref="NFC355:NFD355"/>
    <mergeCell ref="NGO355:NGP355"/>
    <mergeCell ref="NGQ355:NGR355"/>
    <mergeCell ref="NGS355:NGT355"/>
    <mergeCell ref="NGU355:NGV355"/>
    <mergeCell ref="NGW355:NGX355"/>
    <mergeCell ref="NGY355:NGZ355"/>
    <mergeCell ref="NHA355:NHB355"/>
    <mergeCell ref="NHC355:NHD355"/>
    <mergeCell ref="NHE355:NHF355"/>
    <mergeCell ref="NFW355:NFX355"/>
    <mergeCell ref="NFY355:NFZ355"/>
    <mergeCell ref="NGA355:NGB355"/>
    <mergeCell ref="NGC355:NGD355"/>
    <mergeCell ref="NGE355:NGF355"/>
    <mergeCell ref="NGG355:NGH355"/>
    <mergeCell ref="NGI355:NGJ355"/>
    <mergeCell ref="NGK355:NGL355"/>
    <mergeCell ref="NGM355:NGN355"/>
    <mergeCell ref="NHY355:NHZ355"/>
    <mergeCell ref="NIA355:NIB355"/>
    <mergeCell ref="NIC355:NID355"/>
    <mergeCell ref="NIE355:NIF355"/>
    <mergeCell ref="NIG355:NIH355"/>
    <mergeCell ref="NII355:NIJ355"/>
    <mergeCell ref="NIK355:NIL355"/>
    <mergeCell ref="NIM355:NIN355"/>
    <mergeCell ref="NIO355:NIP355"/>
    <mergeCell ref="NHG355:NHH355"/>
    <mergeCell ref="NHI355:NHJ355"/>
    <mergeCell ref="NHK355:NHL355"/>
    <mergeCell ref="NHM355:NHN355"/>
    <mergeCell ref="NHO355:NHP355"/>
    <mergeCell ref="NHQ355:NHR355"/>
    <mergeCell ref="NHS355:NHT355"/>
    <mergeCell ref="NHU355:NHV355"/>
    <mergeCell ref="NHW355:NHX355"/>
    <mergeCell ref="NJI355:NJJ355"/>
    <mergeCell ref="NJK355:NJL355"/>
    <mergeCell ref="NJM355:NJN355"/>
    <mergeCell ref="NJO355:NJP355"/>
    <mergeCell ref="NJQ355:NJR355"/>
    <mergeCell ref="NJS355:NJT355"/>
    <mergeCell ref="NJU355:NJV355"/>
    <mergeCell ref="NJW355:NJX355"/>
    <mergeCell ref="NJY355:NJZ355"/>
    <mergeCell ref="NIQ355:NIR355"/>
    <mergeCell ref="NIS355:NIT355"/>
    <mergeCell ref="NIU355:NIV355"/>
    <mergeCell ref="NIW355:NIX355"/>
    <mergeCell ref="NIY355:NIZ355"/>
    <mergeCell ref="NJA355:NJB355"/>
    <mergeCell ref="NJC355:NJD355"/>
    <mergeCell ref="NJE355:NJF355"/>
    <mergeCell ref="NJG355:NJH355"/>
    <mergeCell ref="NKS355:NKT355"/>
    <mergeCell ref="NKU355:NKV355"/>
    <mergeCell ref="NKW355:NKX355"/>
    <mergeCell ref="NKY355:NKZ355"/>
    <mergeCell ref="NLA355:NLB355"/>
    <mergeCell ref="NLC355:NLD355"/>
    <mergeCell ref="NLE355:NLF355"/>
    <mergeCell ref="NLG355:NLH355"/>
    <mergeCell ref="NLI355:NLJ355"/>
    <mergeCell ref="NKA355:NKB355"/>
    <mergeCell ref="NKC355:NKD355"/>
    <mergeCell ref="NKE355:NKF355"/>
    <mergeCell ref="NKG355:NKH355"/>
    <mergeCell ref="NKI355:NKJ355"/>
    <mergeCell ref="NKK355:NKL355"/>
    <mergeCell ref="NKM355:NKN355"/>
    <mergeCell ref="NKO355:NKP355"/>
    <mergeCell ref="NKQ355:NKR355"/>
    <mergeCell ref="NMC355:NMD355"/>
    <mergeCell ref="NME355:NMF355"/>
    <mergeCell ref="NMG355:NMH355"/>
    <mergeCell ref="NMI355:NMJ355"/>
    <mergeCell ref="NMK355:NML355"/>
    <mergeCell ref="NMM355:NMN355"/>
    <mergeCell ref="NMO355:NMP355"/>
    <mergeCell ref="NMQ355:NMR355"/>
    <mergeCell ref="NMS355:NMT355"/>
    <mergeCell ref="NLK355:NLL355"/>
    <mergeCell ref="NLM355:NLN355"/>
    <mergeCell ref="NLO355:NLP355"/>
    <mergeCell ref="NLQ355:NLR355"/>
    <mergeCell ref="NLS355:NLT355"/>
    <mergeCell ref="NLU355:NLV355"/>
    <mergeCell ref="NLW355:NLX355"/>
    <mergeCell ref="NLY355:NLZ355"/>
    <mergeCell ref="NMA355:NMB355"/>
    <mergeCell ref="NNM355:NNN355"/>
    <mergeCell ref="NNO355:NNP355"/>
    <mergeCell ref="NNQ355:NNR355"/>
    <mergeCell ref="NNS355:NNT355"/>
    <mergeCell ref="NNU355:NNV355"/>
    <mergeCell ref="NNW355:NNX355"/>
    <mergeCell ref="NNY355:NNZ355"/>
    <mergeCell ref="NOA355:NOB355"/>
    <mergeCell ref="NOC355:NOD355"/>
    <mergeCell ref="NMU355:NMV355"/>
    <mergeCell ref="NMW355:NMX355"/>
    <mergeCell ref="NMY355:NMZ355"/>
    <mergeCell ref="NNA355:NNB355"/>
    <mergeCell ref="NNC355:NND355"/>
    <mergeCell ref="NNE355:NNF355"/>
    <mergeCell ref="NNG355:NNH355"/>
    <mergeCell ref="NNI355:NNJ355"/>
    <mergeCell ref="NNK355:NNL355"/>
    <mergeCell ref="NOW355:NOX355"/>
    <mergeCell ref="NOY355:NOZ355"/>
    <mergeCell ref="NPA355:NPB355"/>
    <mergeCell ref="NPC355:NPD355"/>
    <mergeCell ref="NPE355:NPF355"/>
    <mergeCell ref="NPG355:NPH355"/>
    <mergeCell ref="NPI355:NPJ355"/>
    <mergeCell ref="NPK355:NPL355"/>
    <mergeCell ref="NPM355:NPN355"/>
    <mergeCell ref="NOE355:NOF355"/>
    <mergeCell ref="NOG355:NOH355"/>
    <mergeCell ref="NOI355:NOJ355"/>
    <mergeCell ref="NOK355:NOL355"/>
    <mergeCell ref="NOM355:NON355"/>
    <mergeCell ref="NOO355:NOP355"/>
    <mergeCell ref="NOQ355:NOR355"/>
    <mergeCell ref="NOS355:NOT355"/>
    <mergeCell ref="NOU355:NOV355"/>
    <mergeCell ref="NQG355:NQH355"/>
    <mergeCell ref="NQI355:NQJ355"/>
    <mergeCell ref="NQK355:NQL355"/>
    <mergeCell ref="NQM355:NQN355"/>
    <mergeCell ref="NQO355:NQP355"/>
    <mergeCell ref="NQQ355:NQR355"/>
    <mergeCell ref="NQS355:NQT355"/>
    <mergeCell ref="NQU355:NQV355"/>
    <mergeCell ref="NQW355:NQX355"/>
    <mergeCell ref="NPO355:NPP355"/>
    <mergeCell ref="NPQ355:NPR355"/>
    <mergeCell ref="NPS355:NPT355"/>
    <mergeCell ref="NPU355:NPV355"/>
    <mergeCell ref="NPW355:NPX355"/>
    <mergeCell ref="NPY355:NPZ355"/>
    <mergeCell ref="NQA355:NQB355"/>
    <mergeCell ref="NQC355:NQD355"/>
    <mergeCell ref="NQE355:NQF355"/>
    <mergeCell ref="NRQ355:NRR355"/>
    <mergeCell ref="NRS355:NRT355"/>
    <mergeCell ref="NRU355:NRV355"/>
    <mergeCell ref="NRW355:NRX355"/>
    <mergeCell ref="NRY355:NRZ355"/>
    <mergeCell ref="NSA355:NSB355"/>
    <mergeCell ref="NSC355:NSD355"/>
    <mergeCell ref="NSE355:NSF355"/>
    <mergeCell ref="NSG355:NSH355"/>
    <mergeCell ref="NQY355:NQZ355"/>
    <mergeCell ref="NRA355:NRB355"/>
    <mergeCell ref="NRC355:NRD355"/>
    <mergeCell ref="NRE355:NRF355"/>
    <mergeCell ref="NRG355:NRH355"/>
    <mergeCell ref="NRI355:NRJ355"/>
    <mergeCell ref="NRK355:NRL355"/>
    <mergeCell ref="NRM355:NRN355"/>
    <mergeCell ref="NRO355:NRP355"/>
    <mergeCell ref="NTA355:NTB355"/>
    <mergeCell ref="NTC355:NTD355"/>
    <mergeCell ref="NTE355:NTF355"/>
    <mergeCell ref="NTG355:NTH355"/>
    <mergeCell ref="NTI355:NTJ355"/>
    <mergeCell ref="NTK355:NTL355"/>
    <mergeCell ref="NTM355:NTN355"/>
    <mergeCell ref="NTO355:NTP355"/>
    <mergeCell ref="NTQ355:NTR355"/>
    <mergeCell ref="NSI355:NSJ355"/>
    <mergeCell ref="NSK355:NSL355"/>
    <mergeCell ref="NSM355:NSN355"/>
    <mergeCell ref="NSO355:NSP355"/>
    <mergeCell ref="NSQ355:NSR355"/>
    <mergeCell ref="NSS355:NST355"/>
    <mergeCell ref="NSU355:NSV355"/>
    <mergeCell ref="NSW355:NSX355"/>
    <mergeCell ref="NSY355:NSZ355"/>
    <mergeCell ref="NUK355:NUL355"/>
    <mergeCell ref="NUM355:NUN355"/>
    <mergeCell ref="NUO355:NUP355"/>
    <mergeCell ref="NUQ355:NUR355"/>
    <mergeCell ref="NUS355:NUT355"/>
    <mergeCell ref="NUU355:NUV355"/>
    <mergeCell ref="NUW355:NUX355"/>
    <mergeCell ref="NUY355:NUZ355"/>
    <mergeCell ref="NVA355:NVB355"/>
    <mergeCell ref="NTS355:NTT355"/>
    <mergeCell ref="NTU355:NTV355"/>
    <mergeCell ref="NTW355:NTX355"/>
    <mergeCell ref="NTY355:NTZ355"/>
    <mergeCell ref="NUA355:NUB355"/>
    <mergeCell ref="NUC355:NUD355"/>
    <mergeCell ref="NUE355:NUF355"/>
    <mergeCell ref="NUG355:NUH355"/>
    <mergeCell ref="NUI355:NUJ355"/>
    <mergeCell ref="NVU355:NVV355"/>
    <mergeCell ref="NVW355:NVX355"/>
    <mergeCell ref="NVY355:NVZ355"/>
    <mergeCell ref="NWA355:NWB355"/>
    <mergeCell ref="NWC355:NWD355"/>
    <mergeCell ref="NWE355:NWF355"/>
    <mergeCell ref="NWG355:NWH355"/>
    <mergeCell ref="NWI355:NWJ355"/>
    <mergeCell ref="NWK355:NWL355"/>
    <mergeCell ref="NVC355:NVD355"/>
    <mergeCell ref="NVE355:NVF355"/>
    <mergeCell ref="NVG355:NVH355"/>
    <mergeCell ref="NVI355:NVJ355"/>
    <mergeCell ref="NVK355:NVL355"/>
    <mergeCell ref="NVM355:NVN355"/>
    <mergeCell ref="NVO355:NVP355"/>
    <mergeCell ref="NVQ355:NVR355"/>
    <mergeCell ref="NVS355:NVT355"/>
    <mergeCell ref="NXE355:NXF355"/>
    <mergeCell ref="NXG355:NXH355"/>
    <mergeCell ref="NXI355:NXJ355"/>
    <mergeCell ref="NXK355:NXL355"/>
    <mergeCell ref="NXM355:NXN355"/>
    <mergeCell ref="NXO355:NXP355"/>
    <mergeCell ref="NXQ355:NXR355"/>
    <mergeCell ref="NXS355:NXT355"/>
    <mergeCell ref="NXU355:NXV355"/>
    <mergeCell ref="NWM355:NWN355"/>
    <mergeCell ref="NWO355:NWP355"/>
    <mergeCell ref="NWQ355:NWR355"/>
    <mergeCell ref="NWS355:NWT355"/>
    <mergeCell ref="NWU355:NWV355"/>
    <mergeCell ref="NWW355:NWX355"/>
    <mergeCell ref="NWY355:NWZ355"/>
    <mergeCell ref="NXA355:NXB355"/>
    <mergeCell ref="NXC355:NXD355"/>
    <mergeCell ref="NYO355:NYP355"/>
    <mergeCell ref="NYQ355:NYR355"/>
    <mergeCell ref="NYS355:NYT355"/>
    <mergeCell ref="NYU355:NYV355"/>
    <mergeCell ref="NYW355:NYX355"/>
    <mergeCell ref="NYY355:NYZ355"/>
    <mergeCell ref="NZA355:NZB355"/>
    <mergeCell ref="NZC355:NZD355"/>
    <mergeCell ref="NZE355:NZF355"/>
    <mergeCell ref="NXW355:NXX355"/>
    <mergeCell ref="NXY355:NXZ355"/>
    <mergeCell ref="NYA355:NYB355"/>
    <mergeCell ref="NYC355:NYD355"/>
    <mergeCell ref="NYE355:NYF355"/>
    <mergeCell ref="NYG355:NYH355"/>
    <mergeCell ref="NYI355:NYJ355"/>
    <mergeCell ref="NYK355:NYL355"/>
    <mergeCell ref="NYM355:NYN355"/>
    <mergeCell ref="NZY355:NZZ355"/>
    <mergeCell ref="OAA355:OAB355"/>
    <mergeCell ref="OAC355:OAD355"/>
    <mergeCell ref="OAE355:OAF355"/>
    <mergeCell ref="OAG355:OAH355"/>
    <mergeCell ref="OAI355:OAJ355"/>
    <mergeCell ref="OAK355:OAL355"/>
    <mergeCell ref="OAM355:OAN355"/>
    <mergeCell ref="OAO355:OAP355"/>
    <mergeCell ref="NZG355:NZH355"/>
    <mergeCell ref="NZI355:NZJ355"/>
    <mergeCell ref="NZK355:NZL355"/>
    <mergeCell ref="NZM355:NZN355"/>
    <mergeCell ref="NZO355:NZP355"/>
    <mergeCell ref="NZQ355:NZR355"/>
    <mergeCell ref="NZS355:NZT355"/>
    <mergeCell ref="NZU355:NZV355"/>
    <mergeCell ref="NZW355:NZX355"/>
    <mergeCell ref="OBI355:OBJ355"/>
    <mergeCell ref="OBK355:OBL355"/>
    <mergeCell ref="OBM355:OBN355"/>
    <mergeCell ref="OBO355:OBP355"/>
    <mergeCell ref="OBQ355:OBR355"/>
    <mergeCell ref="OBS355:OBT355"/>
    <mergeCell ref="OBU355:OBV355"/>
    <mergeCell ref="OBW355:OBX355"/>
    <mergeCell ref="OBY355:OBZ355"/>
    <mergeCell ref="OAQ355:OAR355"/>
    <mergeCell ref="OAS355:OAT355"/>
    <mergeCell ref="OAU355:OAV355"/>
    <mergeCell ref="OAW355:OAX355"/>
    <mergeCell ref="OAY355:OAZ355"/>
    <mergeCell ref="OBA355:OBB355"/>
    <mergeCell ref="OBC355:OBD355"/>
    <mergeCell ref="OBE355:OBF355"/>
    <mergeCell ref="OBG355:OBH355"/>
    <mergeCell ref="OCS355:OCT355"/>
    <mergeCell ref="OCU355:OCV355"/>
    <mergeCell ref="OCW355:OCX355"/>
    <mergeCell ref="OCY355:OCZ355"/>
    <mergeCell ref="ODA355:ODB355"/>
    <mergeCell ref="ODC355:ODD355"/>
    <mergeCell ref="ODE355:ODF355"/>
    <mergeCell ref="ODG355:ODH355"/>
    <mergeCell ref="ODI355:ODJ355"/>
    <mergeCell ref="OCA355:OCB355"/>
    <mergeCell ref="OCC355:OCD355"/>
    <mergeCell ref="OCE355:OCF355"/>
    <mergeCell ref="OCG355:OCH355"/>
    <mergeCell ref="OCI355:OCJ355"/>
    <mergeCell ref="OCK355:OCL355"/>
    <mergeCell ref="OCM355:OCN355"/>
    <mergeCell ref="OCO355:OCP355"/>
    <mergeCell ref="OCQ355:OCR355"/>
    <mergeCell ref="OEC355:OED355"/>
    <mergeCell ref="OEE355:OEF355"/>
    <mergeCell ref="OEG355:OEH355"/>
    <mergeCell ref="OEI355:OEJ355"/>
    <mergeCell ref="OEK355:OEL355"/>
    <mergeCell ref="OEM355:OEN355"/>
    <mergeCell ref="OEO355:OEP355"/>
    <mergeCell ref="OEQ355:OER355"/>
    <mergeCell ref="OES355:OET355"/>
    <mergeCell ref="ODK355:ODL355"/>
    <mergeCell ref="ODM355:ODN355"/>
    <mergeCell ref="ODO355:ODP355"/>
    <mergeCell ref="ODQ355:ODR355"/>
    <mergeCell ref="ODS355:ODT355"/>
    <mergeCell ref="ODU355:ODV355"/>
    <mergeCell ref="ODW355:ODX355"/>
    <mergeCell ref="ODY355:ODZ355"/>
    <mergeCell ref="OEA355:OEB355"/>
    <mergeCell ref="OFM355:OFN355"/>
    <mergeCell ref="OFO355:OFP355"/>
    <mergeCell ref="OFQ355:OFR355"/>
    <mergeCell ref="OFS355:OFT355"/>
    <mergeCell ref="OFU355:OFV355"/>
    <mergeCell ref="OFW355:OFX355"/>
    <mergeCell ref="OFY355:OFZ355"/>
    <mergeCell ref="OGA355:OGB355"/>
    <mergeCell ref="OGC355:OGD355"/>
    <mergeCell ref="OEU355:OEV355"/>
    <mergeCell ref="OEW355:OEX355"/>
    <mergeCell ref="OEY355:OEZ355"/>
    <mergeCell ref="OFA355:OFB355"/>
    <mergeCell ref="OFC355:OFD355"/>
    <mergeCell ref="OFE355:OFF355"/>
    <mergeCell ref="OFG355:OFH355"/>
    <mergeCell ref="OFI355:OFJ355"/>
    <mergeCell ref="OFK355:OFL355"/>
    <mergeCell ref="OGW355:OGX355"/>
    <mergeCell ref="OGY355:OGZ355"/>
    <mergeCell ref="OHA355:OHB355"/>
    <mergeCell ref="OHC355:OHD355"/>
    <mergeCell ref="OHE355:OHF355"/>
    <mergeCell ref="OHG355:OHH355"/>
    <mergeCell ref="OHI355:OHJ355"/>
    <mergeCell ref="OHK355:OHL355"/>
    <mergeCell ref="OHM355:OHN355"/>
    <mergeCell ref="OGE355:OGF355"/>
    <mergeCell ref="OGG355:OGH355"/>
    <mergeCell ref="OGI355:OGJ355"/>
    <mergeCell ref="OGK355:OGL355"/>
    <mergeCell ref="OGM355:OGN355"/>
    <mergeCell ref="OGO355:OGP355"/>
    <mergeCell ref="OGQ355:OGR355"/>
    <mergeCell ref="OGS355:OGT355"/>
    <mergeCell ref="OGU355:OGV355"/>
    <mergeCell ref="OIG355:OIH355"/>
    <mergeCell ref="OII355:OIJ355"/>
    <mergeCell ref="OIK355:OIL355"/>
    <mergeCell ref="OIM355:OIN355"/>
    <mergeCell ref="OIO355:OIP355"/>
    <mergeCell ref="OIQ355:OIR355"/>
    <mergeCell ref="OIS355:OIT355"/>
    <mergeCell ref="OIU355:OIV355"/>
    <mergeCell ref="OIW355:OIX355"/>
    <mergeCell ref="OHO355:OHP355"/>
    <mergeCell ref="OHQ355:OHR355"/>
    <mergeCell ref="OHS355:OHT355"/>
    <mergeCell ref="OHU355:OHV355"/>
    <mergeCell ref="OHW355:OHX355"/>
    <mergeCell ref="OHY355:OHZ355"/>
    <mergeCell ref="OIA355:OIB355"/>
    <mergeCell ref="OIC355:OID355"/>
    <mergeCell ref="OIE355:OIF355"/>
    <mergeCell ref="OJQ355:OJR355"/>
    <mergeCell ref="OJS355:OJT355"/>
    <mergeCell ref="OJU355:OJV355"/>
    <mergeCell ref="OJW355:OJX355"/>
    <mergeCell ref="OJY355:OJZ355"/>
    <mergeCell ref="OKA355:OKB355"/>
    <mergeCell ref="OKC355:OKD355"/>
    <mergeCell ref="OKE355:OKF355"/>
    <mergeCell ref="OKG355:OKH355"/>
    <mergeCell ref="OIY355:OIZ355"/>
    <mergeCell ref="OJA355:OJB355"/>
    <mergeCell ref="OJC355:OJD355"/>
    <mergeCell ref="OJE355:OJF355"/>
    <mergeCell ref="OJG355:OJH355"/>
    <mergeCell ref="OJI355:OJJ355"/>
    <mergeCell ref="OJK355:OJL355"/>
    <mergeCell ref="OJM355:OJN355"/>
    <mergeCell ref="OJO355:OJP355"/>
    <mergeCell ref="OLA355:OLB355"/>
    <mergeCell ref="OLC355:OLD355"/>
    <mergeCell ref="OLE355:OLF355"/>
    <mergeCell ref="OLG355:OLH355"/>
    <mergeCell ref="OLI355:OLJ355"/>
    <mergeCell ref="OLK355:OLL355"/>
    <mergeCell ref="OLM355:OLN355"/>
    <mergeCell ref="OLO355:OLP355"/>
    <mergeCell ref="OLQ355:OLR355"/>
    <mergeCell ref="OKI355:OKJ355"/>
    <mergeCell ref="OKK355:OKL355"/>
    <mergeCell ref="OKM355:OKN355"/>
    <mergeCell ref="OKO355:OKP355"/>
    <mergeCell ref="OKQ355:OKR355"/>
    <mergeCell ref="OKS355:OKT355"/>
    <mergeCell ref="OKU355:OKV355"/>
    <mergeCell ref="OKW355:OKX355"/>
    <mergeCell ref="OKY355:OKZ355"/>
    <mergeCell ref="OMK355:OML355"/>
    <mergeCell ref="OMM355:OMN355"/>
    <mergeCell ref="OMO355:OMP355"/>
    <mergeCell ref="OMQ355:OMR355"/>
    <mergeCell ref="OMS355:OMT355"/>
    <mergeCell ref="OMU355:OMV355"/>
    <mergeCell ref="OMW355:OMX355"/>
    <mergeCell ref="OMY355:OMZ355"/>
    <mergeCell ref="ONA355:ONB355"/>
    <mergeCell ref="OLS355:OLT355"/>
    <mergeCell ref="OLU355:OLV355"/>
    <mergeCell ref="OLW355:OLX355"/>
    <mergeCell ref="OLY355:OLZ355"/>
    <mergeCell ref="OMA355:OMB355"/>
    <mergeCell ref="OMC355:OMD355"/>
    <mergeCell ref="OME355:OMF355"/>
    <mergeCell ref="OMG355:OMH355"/>
    <mergeCell ref="OMI355:OMJ355"/>
    <mergeCell ref="ONU355:ONV355"/>
    <mergeCell ref="ONW355:ONX355"/>
    <mergeCell ref="ONY355:ONZ355"/>
    <mergeCell ref="OOA355:OOB355"/>
    <mergeCell ref="OOC355:OOD355"/>
    <mergeCell ref="OOE355:OOF355"/>
    <mergeCell ref="OOG355:OOH355"/>
    <mergeCell ref="OOI355:OOJ355"/>
    <mergeCell ref="OOK355:OOL355"/>
    <mergeCell ref="ONC355:OND355"/>
    <mergeCell ref="ONE355:ONF355"/>
    <mergeCell ref="ONG355:ONH355"/>
    <mergeCell ref="ONI355:ONJ355"/>
    <mergeCell ref="ONK355:ONL355"/>
    <mergeCell ref="ONM355:ONN355"/>
    <mergeCell ref="ONO355:ONP355"/>
    <mergeCell ref="ONQ355:ONR355"/>
    <mergeCell ref="ONS355:ONT355"/>
    <mergeCell ref="OPE355:OPF355"/>
    <mergeCell ref="OPG355:OPH355"/>
    <mergeCell ref="OPI355:OPJ355"/>
    <mergeCell ref="OPK355:OPL355"/>
    <mergeCell ref="OPM355:OPN355"/>
    <mergeCell ref="OPO355:OPP355"/>
    <mergeCell ref="OPQ355:OPR355"/>
    <mergeCell ref="OPS355:OPT355"/>
    <mergeCell ref="OPU355:OPV355"/>
    <mergeCell ref="OOM355:OON355"/>
    <mergeCell ref="OOO355:OOP355"/>
    <mergeCell ref="OOQ355:OOR355"/>
    <mergeCell ref="OOS355:OOT355"/>
    <mergeCell ref="OOU355:OOV355"/>
    <mergeCell ref="OOW355:OOX355"/>
    <mergeCell ref="OOY355:OOZ355"/>
    <mergeCell ref="OPA355:OPB355"/>
    <mergeCell ref="OPC355:OPD355"/>
    <mergeCell ref="OQO355:OQP355"/>
    <mergeCell ref="OQQ355:OQR355"/>
    <mergeCell ref="OQS355:OQT355"/>
    <mergeCell ref="OQU355:OQV355"/>
    <mergeCell ref="OQW355:OQX355"/>
    <mergeCell ref="OQY355:OQZ355"/>
    <mergeCell ref="ORA355:ORB355"/>
    <mergeCell ref="ORC355:ORD355"/>
    <mergeCell ref="ORE355:ORF355"/>
    <mergeCell ref="OPW355:OPX355"/>
    <mergeCell ref="OPY355:OPZ355"/>
    <mergeCell ref="OQA355:OQB355"/>
    <mergeCell ref="OQC355:OQD355"/>
    <mergeCell ref="OQE355:OQF355"/>
    <mergeCell ref="OQG355:OQH355"/>
    <mergeCell ref="OQI355:OQJ355"/>
    <mergeCell ref="OQK355:OQL355"/>
    <mergeCell ref="OQM355:OQN355"/>
    <mergeCell ref="ORY355:ORZ355"/>
    <mergeCell ref="OSA355:OSB355"/>
    <mergeCell ref="OSC355:OSD355"/>
    <mergeCell ref="OSE355:OSF355"/>
    <mergeCell ref="OSG355:OSH355"/>
    <mergeCell ref="OSI355:OSJ355"/>
    <mergeCell ref="OSK355:OSL355"/>
    <mergeCell ref="OSM355:OSN355"/>
    <mergeCell ref="OSO355:OSP355"/>
    <mergeCell ref="ORG355:ORH355"/>
    <mergeCell ref="ORI355:ORJ355"/>
    <mergeCell ref="ORK355:ORL355"/>
    <mergeCell ref="ORM355:ORN355"/>
    <mergeCell ref="ORO355:ORP355"/>
    <mergeCell ref="ORQ355:ORR355"/>
    <mergeCell ref="ORS355:ORT355"/>
    <mergeCell ref="ORU355:ORV355"/>
    <mergeCell ref="ORW355:ORX355"/>
    <mergeCell ref="OTI355:OTJ355"/>
    <mergeCell ref="OTK355:OTL355"/>
    <mergeCell ref="OTM355:OTN355"/>
    <mergeCell ref="OTO355:OTP355"/>
    <mergeCell ref="OTQ355:OTR355"/>
    <mergeCell ref="OTS355:OTT355"/>
    <mergeCell ref="OTU355:OTV355"/>
    <mergeCell ref="OTW355:OTX355"/>
    <mergeCell ref="OTY355:OTZ355"/>
    <mergeCell ref="OSQ355:OSR355"/>
    <mergeCell ref="OSS355:OST355"/>
    <mergeCell ref="OSU355:OSV355"/>
    <mergeCell ref="OSW355:OSX355"/>
    <mergeCell ref="OSY355:OSZ355"/>
    <mergeCell ref="OTA355:OTB355"/>
    <mergeCell ref="OTC355:OTD355"/>
    <mergeCell ref="OTE355:OTF355"/>
    <mergeCell ref="OTG355:OTH355"/>
    <mergeCell ref="OUS355:OUT355"/>
    <mergeCell ref="OUU355:OUV355"/>
    <mergeCell ref="OUW355:OUX355"/>
    <mergeCell ref="OUY355:OUZ355"/>
    <mergeCell ref="OVA355:OVB355"/>
    <mergeCell ref="OVC355:OVD355"/>
    <mergeCell ref="OVE355:OVF355"/>
    <mergeCell ref="OVG355:OVH355"/>
    <mergeCell ref="OVI355:OVJ355"/>
    <mergeCell ref="OUA355:OUB355"/>
    <mergeCell ref="OUC355:OUD355"/>
    <mergeCell ref="OUE355:OUF355"/>
    <mergeCell ref="OUG355:OUH355"/>
    <mergeCell ref="OUI355:OUJ355"/>
    <mergeCell ref="OUK355:OUL355"/>
    <mergeCell ref="OUM355:OUN355"/>
    <mergeCell ref="OUO355:OUP355"/>
    <mergeCell ref="OUQ355:OUR355"/>
    <mergeCell ref="OWC355:OWD355"/>
    <mergeCell ref="OWE355:OWF355"/>
    <mergeCell ref="OWG355:OWH355"/>
    <mergeCell ref="OWI355:OWJ355"/>
    <mergeCell ref="OWK355:OWL355"/>
    <mergeCell ref="OWM355:OWN355"/>
    <mergeCell ref="OWO355:OWP355"/>
    <mergeCell ref="OWQ355:OWR355"/>
    <mergeCell ref="OWS355:OWT355"/>
    <mergeCell ref="OVK355:OVL355"/>
    <mergeCell ref="OVM355:OVN355"/>
    <mergeCell ref="OVO355:OVP355"/>
    <mergeCell ref="OVQ355:OVR355"/>
    <mergeCell ref="OVS355:OVT355"/>
    <mergeCell ref="OVU355:OVV355"/>
    <mergeCell ref="OVW355:OVX355"/>
    <mergeCell ref="OVY355:OVZ355"/>
    <mergeCell ref="OWA355:OWB355"/>
    <mergeCell ref="OXM355:OXN355"/>
    <mergeCell ref="OXO355:OXP355"/>
    <mergeCell ref="OXQ355:OXR355"/>
    <mergeCell ref="OXS355:OXT355"/>
    <mergeCell ref="OXU355:OXV355"/>
    <mergeCell ref="OXW355:OXX355"/>
    <mergeCell ref="OXY355:OXZ355"/>
    <mergeCell ref="OYA355:OYB355"/>
    <mergeCell ref="OYC355:OYD355"/>
    <mergeCell ref="OWU355:OWV355"/>
    <mergeCell ref="OWW355:OWX355"/>
    <mergeCell ref="OWY355:OWZ355"/>
    <mergeCell ref="OXA355:OXB355"/>
    <mergeCell ref="OXC355:OXD355"/>
    <mergeCell ref="OXE355:OXF355"/>
    <mergeCell ref="OXG355:OXH355"/>
    <mergeCell ref="OXI355:OXJ355"/>
    <mergeCell ref="OXK355:OXL355"/>
    <mergeCell ref="OYW355:OYX355"/>
    <mergeCell ref="OYY355:OYZ355"/>
    <mergeCell ref="OZA355:OZB355"/>
    <mergeCell ref="OZC355:OZD355"/>
    <mergeCell ref="OZE355:OZF355"/>
    <mergeCell ref="OZG355:OZH355"/>
    <mergeCell ref="OZI355:OZJ355"/>
    <mergeCell ref="OZK355:OZL355"/>
    <mergeCell ref="OZM355:OZN355"/>
    <mergeCell ref="OYE355:OYF355"/>
    <mergeCell ref="OYG355:OYH355"/>
    <mergeCell ref="OYI355:OYJ355"/>
    <mergeCell ref="OYK355:OYL355"/>
    <mergeCell ref="OYM355:OYN355"/>
    <mergeCell ref="OYO355:OYP355"/>
    <mergeCell ref="OYQ355:OYR355"/>
    <mergeCell ref="OYS355:OYT355"/>
    <mergeCell ref="OYU355:OYV355"/>
    <mergeCell ref="PAG355:PAH355"/>
    <mergeCell ref="PAI355:PAJ355"/>
    <mergeCell ref="PAK355:PAL355"/>
    <mergeCell ref="PAM355:PAN355"/>
    <mergeCell ref="PAO355:PAP355"/>
    <mergeCell ref="PAQ355:PAR355"/>
    <mergeCell ref="PAS355:PAT355"/>
    <mergeCell ref="PAU355:PAV355"/>
    <mergeCell ref="PAW355:PAX355"/>
    <mergeCell ref="OZO355:OZP355"/>
    <mergeCell ref="OZQ355:OZR355"/>
    <mergeCell ref="OZS355:OZT355"/>
    <mergeCell ref="OZU355:OZV355"/>
    <mergeCell ref="OZW355:OZX355"/>
    <mergeCell ref="OZY355:OZZ355"/>
    <mergeCell ref="PAA355:PAB355"/>
    <mergeCell ref="PAC355:PAD355"/>
    <mergeCell ref="PAE355:PAF355"/>
    <mergeCell ref="PBQ355:PBR355"/>
    <mergeCell ref="PBS355:PBT355"/>
    <mergeCell ref="PBU355:PBV355"/>
    <mergeCell ref="PBW355:PBX355"/>
    <mergeCell ref="PBY355:PBZ355"/>
    <mergeCell ref="PCA355:PCB355"/>
    <mergeCell ref="PCC355:PCD355"/>
    <mergeCell ref="PCE355:PCF355"/>
    <mergeCell ref="PCG355:PCH355"/>
    <mergeCell ref="PAY355:PAZ355"/>
    <mergeCell ref="PBA355:PBB355"/>
    <mergeCell ref="PBC355:PBD355"/>
    <mergeCell ref="PBE355:PBF355"/>
    <mergeCell ref="PBG355:PBH355"/>
    <mergeCell ref="PBI355:PBJ355"/>
    <mergeCell ref="PBK355:PBL355"/>
    <mergeCell ref="PBM355:PBN355"/>
    <mergeCell ref="PBO355:PBP355"/>
    <mergeCell ref="PDA355:PDB355"/>
    <mergeCell ref="PDC355:PDD355"/>
    <mergeCell ref="PDE355:PDF355"/>
    <mergeCell ref="PDG355:PDH355"/>
    <mergeCell ref="PDI355:PDJ355"/>
    <mergeCell ref="PDK355:PDL355"/>
    <mergeCell ref="PDM355:PDN355"/>
    <mergeCell ref="PDO355:PDP355"/>
    <mergeCell ref="PDQ355:PDR355"/>
    <mergeCell ref="PCI355:PCJ355"/>
    <mergeCell ref="PCK355:PCL355"/>
    <mergeCell ref="PCM355:PCN355"/>
    <mergeCell ref="PCO355:PCP355"/>
    <mergeCell ref="PCQ355:PCR355"/>
    <mergeCell ref="PCS355:PCT355"/>
    <mergeCell ref="PCU355:PCV355"/>
    <mergeCell ref="PCW355:PCX355"/>
    <mergeCell ref="PCY355:PCZ355"/>
    <mergeCell ref="PEK355:PEL355"/>
    <mergeCell ref="PEM355:PEN355"/>
    <mergeCell ref="PEO355:PEP355"/>
    <mergeCell ref="PEQ355:PER355"/>
    <mergeCell ref="PES355:PET355"/>
    <mergeCell ref="PEU355:PEV355"/>
    <mergeCell ref="PEW355:PEX355"/>
    <mergeCell ref="PEY355:PEZ355"/>
    <mergeCell ref="PFA355:PFB355"/>
    <mergeCell ref="PDS355:PDT355"/>
    <mergeCell ref="PDU355:PDV355"/>
    <mergeCell ref="PDW355:PDX355"/>
    <mergeCell ref="PDY355:PDZ355"/>
    <mergeCell ref="PEA355:PEB355"/>
    <mergeCell ref="PEC355:PED355"/>
    <mergeCell ref="PEE355:PEF355"/>
    <mergeCell ref="PEG355:PEH355"/>
    <mergeCell ref="PEI355:PEJ355"/>
    <mergeCell ref="PFU355:PFV355"/>
    <mergeCell ref="PFW355:PFX355"/>
    <mergeCell ref="PFY355:PFZ355"/>
    <mergeCell ref="PGA355:PGB355"/>
    <mergeCell ref="PGC355:PGD355"/>
    <mergeCell ref="PGE355:PGF355"/>
    <mergeCell ref="PGG355:PGH355"/>
    <mergeCell ref="PGI355:PGJ355"/>
    <mergeCell ref="PGK355:PGL355"/>
    <mergeCell ref="PFC355:PFD355"/>
    <mergeCell ref="PFE355:PFF355"/>
    <mergeCell ref="PFG355:PFH355"/>
    <mergeCell ref="PFI355:PFJ355"/>
    <mergeCell ref="PFK355:PFL355"/>
    <mergeCell ref="PFM355:PFN355"/>
    <mergeCell ref="PFO355:PFP355"/>
    <mergeCell ref="PFQ355:PFR355"/>
    <mergeCell ref="PFS355:PFT355"/>
    <mergeCell ref="PHE355:PHF355"/>
    <mergeCell ref="PHG355:PHH355"/>
    <mergeCell ref="PHI355:PHJ355"/>
    <mergeCell ref="PHK355:PHL355"/>
    <mergeCell ref="PHM355:PHN355"/>
    <mergeCell ref="PHO355:PHP355"/>
    <mergeCell ref="PHQ355:PHR355"/>
    <mergeCell ref="PHS355:PHT355"/>
    <mergeCell ref="PHU355:PHV355"/>
    <mergeCell ref="PGM355:PGN355"/>
    <mergeCell ref="PGO355:PGP355"/>
    <mergeCell ref="PGQ355:PGR355"/>
    <mergeCell ref="PGS355:PGT355"/>
    <mergeCell ref="PGU355:PGV355"/>
    <mergeCell ref="PGW355:PGX355"/>
    <mergeCell ref="PGY355:PGZ355"/>
    <mergeCell ref="PHA355:PHB355"/>
    <mergeCell ref="PHC355:PHD355"/>
    <mergeCell ref="PIO355:PIP355"/>
    <mergeCell ref="PIQ355:PIR355"/>
    <mergeCell ref="PIS355:PIT355"/>
    <mergeCell ref="PIU355:PIV355"/>
    <mergeCell ref="PIW355:PIX355"/>
    <mergeCell ref="PIY355:PIZ355"/>
    <mergeCell ref="PJA355:PJB355"/>
    <mergeCell ref="PJC355:PJD355"/>
    <mergeCell ref="PJE355:PJF355"/>
    <mergeCell ref="PHW355:PHX355"/>
    <mergeCell ref="PHY355:PHZ355"/>
    <mergeCell ref="PIA355:PIB355"/>
    <mergeCell ref="PIC355:PID355"/>
    <mergeCell ref="PIE355:PIF355"/>
    <mergeCell ref="PIG355:PIH355"/>
    <mergeCell ref="PII355:PIJ355"/>
    <mergeCell ref="PIK355:PIL355"/>
    <mergeCell ref="PIM355:PIN355"/>
    <mergeCell ref="PJY355:PJZ355"/>
    <mergeCell ref="PKA355:PKB355"/>
    <mergeCell ref="PKC355:PKD355"/>
    <mergeCell ref="PKE355:PKF355"/>
    <mergeCell ref="PKG355:PKH355"/>
    <mergeCell ref="PKI355:PKJ355"/>
    <mergeCell ref="PKK355:PKL355"/>
    <mergeCell ref="PKM355:PKN355"/>
    <mergeCell ref="PKO355:PKP355"/>
    <mergeCell ref="PJG355:PJH355"/>
    <mergeCell ref="PJI355:PJJ355"/>
    <mergeCell ref="PJK355:PJL355"/>
    <mergeCell ref="PJM355:PJN355"/>
    <mergeCell ref="PJO355:PJP355"/>
    <mergeCell ref="PJQ355:PJR355"/>
    <mergeCell ref="PJS355:PJT355"/>
    <mergeCell ref="PJU355:PJV355"/>
    <mergeCell ref="PJW355:PJX355"/>
    <mergeCell ref="PLI355:PLJ355"/>
    <mergeCell ref="PLK355:PLL355"/>
    <mergeCell ref="PLM355:PLN355"/>
    <mergeCell ref="PLO355:PLP355"/>
    <mergeCell ref="PLQ355:PLR355"/>
    <mergeCell ref="PLS355:PLT355"/>
    <mergeCell ref="PLU355:PLV355"/>
    <mergeCell ref="PLW355:PLX355"/>
    <mergeCell ref="PLY355:PLZ355"/>
    <mergeCell ref="PKQ355:PKR355"/>
    <mergeCell ref="PKS355:PKT355"/>
    <mergeCell ref="PKU355:PKV355"/>
    <mergeCell ref="PKW355:PKX355"/>
    <mergeCell ref="PKY355:PKZ355"/>
    <mergeCell ref="PLA355:PLB355"/>
    <mergeCell ref="PLC355:PLD355"/>
    <mergeCell ref="PLE355:PLF355"/>
    <mergeCell ref="PLG355:PLH355"/>
    <mergeCell ref="PMS355:PMT355"/>
    <mergeCell ref="PMU355:PMV355"/>
    <mergeCell ref="PMW355:PMX355"/>
    <mergeCell ref="PMY355:PMZ355"/>
    <mergeCell ref="PNA355:PNB355"/>
    <mergeCell ref="PNC355:PND355"/>
    <mergeCell ref="PNE355:PNF355"/>
    <mergeCell ref="PNG355:PNH355"/>
    <mergeCell ref="PNI355:PNJ355"/>
    <mergeCell ref="PMA355:PMB355"/>
    <mergeCell ref="PMC355:PMD355"/>
    <mergeCell ref="PME355:PMF355"/>
    <mergeCell ref="PMG355:PMH355"/>
    <mergeCell ref="PMI355:PMJ355"/>
    <mergeCell ref="PMK355:PML355"/>
    <mergeCell ref="PMM355:PMN355"/>
    <mergeCell ref="PMO355:PMP355"/>
    <mergeCell ref="PMQ355:PMR355"/>
    <mergeCell ref="POC355:POD355"/>
    <mergeCell ref="POE355:POF355"/>
    <mergeCell ref="POG355:POH355"/>
    <mergeCell ref="POI355:POJ355"/>
    <mergeCell ref="POK355:POL355"/>
    <mergeCell ref="POM355:PON355"/>
    <mergeCell ref="POO355:POP355"/>
    <mergeCell ref="POQ355:POR355"/>
    <mergeCell ref="POS355:POT355"/>
    <mergeCell ref="PNK355:PNL355"/>
    <mergeCell ref="PNM355:PNN355"/>
    <mergeCell ref="PNO355:PNP355"/>
    <mergeCell ref="PNQ355:PNR355"/>
    <mergeCell ref="PNS355:PNT355"/>
    <mergeCell ref="PNU355:PNV355"/>
    <mergeCell ref="PNW355:PNX355"/>
    <mergeCell ref="PNY355:PNZ355"/>
    <mergeCell ref="POA355:POB355"/>
    <mergeCell ref="PPM355:PPN355"/>
    <mergeCell ref="PPO355:PPP355"/>
    <mergeCell ref="PPQ355:PPR355"/>
    <mergeCell ref="PPS355:PPT355"/>
    <mergeCell ref="PPU355:PPV355"/>
    <mergeCell ref="PPW355:PPX355"/>
    <mergeCell ref="PPY355:PPZ355"/>
    <mergeCell ref="PQA355:PQB355"/>
    <mergeCell ref="PQC355:PQD355"/>
    <mergeCell ref="POU355:POV355"/>
    <mergeCell ref="POW355:POX355"/>
    <mergeCell ref="POY355:POZ355"/>
    <mergeCell ref="PPA355:PPB355"/>
    <mergeCell ref="PPC355:PPD355"/>
    <mergeCell ref="PPE355:PPF355"/>
    <mergeCell ref="PPG355:PPH355"/>
    <mergeCell ref="PPI355:PPJ355"/>
    <mergeCell ref="PPK355:PPL355"/>
    <mergeCell ref="PQW355:PQX355"/>
    <mergeCell ref="PQY355:PQZ355"/>
    <mergeCell ref="PRA355:PRB355"/>
    <mergeCell ref="PRC355:PRD355"/>
    <mergeCell ref="PRE355:PRF355"/>
    <mergeCell ref="PRG355:PRH355"/>
    <mergeCell ref="PRI355:PRJ355"/>
    <mergeCell ref="PRK355:PRL355"/>
    <mergeCell ref="PRM355:PRN355"/>
    <mergeCell ref="PQE355:PQF355"/>
    <mergeCell ref="PQG355:PQH355"/>
    <mergeCell ref="PQI355:PQJ355"/>
    <mergeCell ref="PQK355:PQL355"/>
    <mergeCell ref="PQM355:PQN355"/>
    <mergeCell ref="PQO355:PQP355"/>
    <mergeCell ref="PQQ355:PQR355"/>
    <mergeCell ref="PQS355:PQT355"/>
    <mergeCell ref="PQU355:PQV355"/>
    <mergeCell ref="PSG355:PSH355"/>
    <mergeCell ref="PSI355:PSJ355"/>
    <mergeCell ref="PSK355:PSL355"/>
    <mergeCell ref="PSM355:PSN355"/>
    <mergeCell ref="PSO355:PSP355"/>
    <mergeCell ref="PSQ355:PSR355"/>
    <mergeCell ref="PSS355:PST355"/>
    <mergeCell ref="PSU355:PSV355"/>
    <mergeCell ref="PSW355:PSX355"/>
    <mergeCell ref="PRO355:PRP355"/>
    <mergeCell ref="PRQ355:PRR355"/>
    <mergeCell ref="PRS355:PRT355"/>
    <mergeCell ref="PRU355:PRV355"/>
    <mergeCell ref="PRW355:PRX355"/>
    <mergeCell ref="PRY355:PRZ355"/>
    <mergeCell ref="PSA355:PSB355"/>
    <mergeCell ref="PSC355:PSD355"/>
    <mergeCell ref="PSE355:PSF355"/>
    <mergeCell ref="PTQ355:PTR355"/>
    <mergeCell ref="PTS355:PTT355"/>
    <mergeCell ref="PTU355:PTV355"/>
    <mergeCell ref="PTW355:PTX355"/>
    <mergeCell ref="PTY355:PTZ355"/>
    <mergeCell ref="PUA355:PUB355"/>
    <mergeCell ref="PUC355:PUD355"/>
    <mergeCell ref="PUE355:PUF355"/>
    <mergeCell ref="PUG355:PUH355"/>
    <mergeCell ref="PSY355:PSZ355"/>
    <mergeCell ref="PTA355:PTB355"/>
    <mergeCell ref="PTC355:PTD355"/>
    <mergeCell ref="PTE355:PTF355"/>
    <mergeCell ref="PTG355:PTH355"/>
    <mergeCell ref="PTI355:PTJ355"/>
    <mergeCell ref="PTK355:PTL355"/>
    <mergeCell ref="PTM355:PTN355"/>
    <mergeCell ref="PTO355:PTP355"/>
    <mergeCell ref="PVA355:PVB355"/>
    <mergeCell ref="PVC355:PVD355"/>
    <mergeCell ref="PVE355:PVF355"/>
    <mergeCell ref="PVG355:PVH355"/>
    <mergeCell ref="PVI355:PVJ355"/>
    <mergeCell ref="PVK355:PVL355"/>
    <mergeCell ref="PVM355:PVN355"/>
    <mergeCell ref="PVO355:PVP355"/>
    <mergeCell ref="PVQ355:PVR355"/>
    <mergeCell ref="PUI355:PUJ355"/>
    <mergeCell ref="PUK355:PUL355"/>
    <mergeCell ref="PUM355:PUN355"/>
    <mergeCell ref="PUO355:PUP355"/>
    <mergeCell ref="PUQ355:PUR355"/>
    <mergeCell ref="PUS355:PUT355"/>
    <mergeCell ref="PUU355:PUV355"/>
    <mergeCell ref="PUW355:PUX355"/>
    <mergeCell ref="PUY355:PUZ355"/>
    <mergeCell ref="PWK355:PWL355"/>
    <mergeCell ref="PWM355:PWN355"/>
    <mergeCell ref="PWO355:PWP355"/>
    <mergeCell ref="PWQ355:PWR355"/>
    <mergeCell ref="PWS355:PWT355"/>
    <mergeCell ref="PWU355:PWV355"/>
    <mergeCell ref="PWW355:PWX355"/>
    <mergeCell ref="PWY355:PWZ355"/>
    <mergeCell ref="PXA355:PXB355"/>
    <mergeCell ref="PVS355:PVT355"/>
    <mergeCell ref="PVU355:PVV355"/>
    <mergeCell ref="PVW355:PVX355"/>
    <mergeCell ref="PVY355:PVZ355"/>
    <mergeCell ref="PWA355:PWB355"/>
    <mergeCell ref="PWC355:PWD355"/>
    <mergeCell ref="PWE355:PWF355"/>
    <mergeCell ref="PWG355:PWH355"/>
    <mergeCell ref="PWI355:PWJ355"/>
    <mergeCell ref="PXU355:PXV355"/>
    <mergeCell ref="PXW355:PXX355"/>
    <mergeCell ref="PXY355:PXZ355"/>
    <mergeCell ref="PYA355:PYB355"/>
    <mergeCell ref="PYC355:PYD355"/>
    <mergeCell ref="PYE355:PYF355"/>
    <mergeCell ref="PYG355:PYH355"/>
    <mergeCell ref="PYI355:PYJ355"/>
    <mergeCell ref="PYK355:PYL355"/>
    <mergeCell ref="PXC355:PXD355"/>
    <mergeCell ref="PXE355:PXF355"/>
    <mergeCell ref="PXG355:PXH355"/>
    <mergeCell ref="PXI355:PXJ355"/>
    <mergeCell ref="PXK355:PXL355"/>
    <mergeCell ref="PXM355:PXN355"/>
    <mergeCell ref="PXO355:PXP355"/>
    <mergeCell ref="PXQ355:PXR355"/>
    <mergeCell ref="PXS355:PXT355"/>
    <mergeCell ref="PZE355:PZF355"/>
    <mergeCell ref="PZG355:PZH355"/>
    <mergeCell ref="PZI355:PZJ355"/>
    <mergeCell ref="PZK355:PZL355"/>
    <mergeCell ref="PZM355:PZN355"/>
    <mergeCell ref="PZO355:PZP355"/>
    <mergeCell ref="PZQ355:PZR355"/>
    <mergeCell ref="PZS355:PZT355"/>
    <mergeCell ref="PZU355:PZV355"/>
    <mergeCell ref="PYM355:PYN355"/>
    <mergeCell ref="PYO355:PYP355"/>
    <mergeCell ref="PYQ355:PYR355"/>
    <mergeCell ref="PYS355:PYT355"/>
    <mergeCell ref="PYU355:PYV355"/>
    <mergeCell ref="PYW355:PYX355"/>
    <mergeCell ref="PYY355:PYZ355"/>
    <mergeCell ref="PZA355:PZB355"/>
    <mergeCell ref="PZC355:PZD355"/>
    <mergeCell ref="QAO355:QAP355"/>
    <mergeCell ref="QAQ355:QAR355"/>
    <mergeCell ref="QAS355:QAT355"/>
    <mergeCell ref="QAU355:QAV355"/>
    <mergeCell ref="QAW355:QAX355"/>
    <mergeCell ref="QAY355:QAZ355"/>
    <mergeCell ref="QBA355:QBB355"/>
    <mergeCell ref="QBC355:QBD355"/>
    <mergeCell ref="QBE355:QBF355"/>
    <mergeCell ref="PZW355:PZX355"/>
    <mergeCell ref="PZY355:PZZ355"/>
    <mergeCell ref="QAA355:QAB355"/>
    <mergeCell ref="QAC355:QAD355"/>
    <mergeCell ref="QAE355:QAF355"/>
    <mergeCell ref="QAG355:QAH355"/>
    <mergeCell ref="QAI355:QAJ355"/>
    <mergeCell ref="QAK355:QAL355"/>
    <mergeCell ref="QAM355:QAN355"/>
    <mergeCell ref="QBY355:QBZ355"/>
    <mergeCell ref="QCA355:QCB355"/>
    <mergeCell ref="QCC355:QCD355"/>
    <mergeCell ref="QCE355:QCF355"/>
    <mergeCell ref="QCG355:QCH355"/>
    <mergeCell ref="QCI355:QCJ355"/>
    <mergeCell ref="QCK355:QCL355"/>
    <mergeCell ref="QCM355:QCN355"/>
    <mergeCell ref="QCO355:QCP355"/>
    <mergeCell ref="QBG355:QBH355"/>
    <mergeCell ref="QBI355:QBJ355"/>
    <mergeCell ref="QBK355:QBL355"/>
    <mergeCell ref="QBM355:QBN355"/>
    <mergeCell ref="QBO355:QBP355"/>
    <mergeCell ref="QBQ355:QBR355"/>
    <mergeCell ref="QBS355:QBT355"/>
    <mergeCell ref="QBU355:QBV355"/>
    <mergeCell ref="QBW355:QBX355"/>
    <mergeCell ref="QDI355:QDJ355"/>
    <mergeCell ref="QDK355:QDL355"/>
    <mergeCell ref="QDM355:QDN355"/>
    <mergeCell ref="QDO355:QDP355"/>
    <mergeCell ref="QDQ355:QDR355"/>
    <mergeCell ref="QDS355:QDT355"/>
    <mergeCell ref="QDU355:QDV355"/>
    <mergeCell ref="QDW355:QDX355"/>
    <mergeCell ref="QDY355:QDZ355"/>
    <mergeCell ref="QCQ355:QCR355"/>
    <mergeCell ref="QCS355:QCT355"/>
    <mergeCell ref="QCU355:QCV355"/>
    <mergeCell ref="QCW355:QCX355"/>
    <mergeCell ref="QCY355:QCZ355"/>
    <mergeCell ref="QDA355:QDB355"/>
    <mergeCell ref="QDC355:QDD355"/>
    <mergeCell ref="QDE355:QDF355"/>
    <mergeCell ref="QDG355:QDH355"/>
    <mergeCell ref="QES355:QET355"/>
    <mergeCell ref="QEU355:QEV355"/>
    <mergeCell ref="QEW355:QEX355"/>
    <mergeCell ref="QEY355:QEZ355"/>
    <mergeCell ref="QFA355:QFB355"/>
    <mergeCell ref="QFC355:QFD355"/>
    <mergeCell ref="QFE355:QFF355"/>
    <mergeCell ref="QFG355:QFH355"/>
    <mergeCell ref="QFI355:QFJ355"/>
    <mergeCell ref="QEA355:QEB355"/>
    <mergeCell ref="QEC355:QED355"/>
    <mergeCell ref="QEE355:QEF355"/>
    <mergeCell ref="QEG355:QEH355"/>
    <mergeCell ref="QEI355:QEJ355"/>
    <mergeCell ref="QEK355:QEL355"/>
    <mergeCell ref="QEM355:QEN355"/>
    <mergeCell ref="QEO355:QEP355"/>
    <mergeCell ref="QEQ355:QER355"/>
    <mergeCell ref="QGC355:QGD355"/>
    <mergeCell ref="QGE355:QGF355"/>
    <mergeCell ref="QGG355:QGH355"/>
    <mergeCell ref="QGI355:QGJ355"/>
    <mergeCell ref="QGK355:QGL355"/>
    <mergeCell ref="QGM355:QGN355"/>
    <mergeCell ref="QGO355:QGP355"/>
    <mergeCell ref="QGQ355:QGR355"/>
    <mergeCell ref="QGS355:QGT355"/>
    <mergeCell ref="QFK355:QFL355"/>
    <mergeCell ref="QFM355:QFN355"/>
    <mergeCell ref="QFO355:QFP355"/>
    <mergeCell ref="QFQ355:QFR355"/>
    <mergeCell ref="QFS355:QFT355"/>
    <mergeCell ref="QFU355:QFV355"/>
    <mergeCell ref="QFW355:QFX355"/>
    <mergeCell ref="QFY355:QFZ355"/>
    <mergeCell ref="QGA355:QGB355"/>
    <mergeCell ref="QHM355:QHN355"/>
    <mergeCell ref="QHO355:QHP355"/>
    <mergeCell ref="QHQ355:QHR355"/>
    <mergeCell ref="QHS355:QHT355"/>
    <mergeCell ref="QHU355:QHV355"/>
    <mergeCell ref="QHW355:QHX355"/>
    <mergeCell ref="QHY355:QHZ355"/>
    <mergeCell ref="QIA355:QIB355"/>
    <mergeCell ref="QIC355:QID355"/>
    <mergeCell ref="QGU355:QGV355"/>
    <mergeCell ref="QGW355:QGX355"/>
    <mergeCell ref="QGY355:QGZ355"/>
    <mergeCell ref="QHA355:QHB355"/>
    <mergeCell ref="QHC355:QHD355"/>
    <mergeCell ref="QHE355:QHF355"/>
    <mergeCell ref="QHG355:QHH355"/>
    <mergeCell ref="QHI355:QHJ355"/>
    <mergeCell ref="QHK355:QHL355"/>
    <mergeCell ref="QIW355:QIX355"/>
    <mergeCell ref="QIY355:QIZ355"/>
    <mergeCell ref="QJA355:QJB355"/>
    <mergeCell ref="QJC355:QJD355"/>
    <mergeCell ref="QJE355:QJF355"/>
    <mergeCell ref="QJG355:QJH355"/>
    <mergeCell ref="QJI355:QJJ355"/>
    <mergeCell ref="QJK355:QJL355"/>
    <mergeCell ref="QJM355:QJN355"/>
    <mergeCell ref="QIE355:QIF355"/>
    <mergeCell ref="QIG355:QIH355"/>
    <mergeCell ref="QII355:QIJ355"/>
    <mergeCell ref="QIK355:QIL355"/>
    <mergeCell ref="QIM355:QIN355"/>
    <mergeCell ref="QIO355:QIP355"/>
    <mergeCell ref="QIQ355:QIR355"/>
    <mergeCell ref="QIS355:QIT355"/>
    <mergeCell ref="QIU355:QIV355"/>
    <mergeCell ref="QKG355:QKH355"/>
    <mergeCell ref="QKI355:QKJ355"/>
    <mergeCell ref="QKK355:QKL355"/>
    <mergeCell ref="QKM355:QKN355"/>
    <mergeCell ref="QKO355:QKP355"/>
    <mergeCell ref="QKQ355:QKR355"/>
    <mergeCell ref="QKS355:QKT355"/>
    <mergeCell ref="QKU355:QKV355"/>
    <mergeCell ref="QKW355:QKX355"/>
    <mergeCell ref="QJO355:QJP355"/>
    <mergeCell ref="QJQ355:QJR355"/>
    <mergeCell ref="QJS355:QJT355"/>
    <mergeCell ref="QJU355:QJV355"/>
    <mergeCell ref="QJW355:QJX355"/>
    <mergeCell ref="QJY355:QJZ355"/>
    <mergeCell ref="QKA355:QKB355"/>
    <mergeCell ref="QKC355:QKD355"/>
    <mergeCell ref="QKE355:QKF355"/>
    <mergeCell ref="QLQ355:QLR355"/>
    <mergeCell ref="QLS355:QLT355"/>
    <mergeCell ref="QLU355:QLV355"/>
    <mergeCell ref="QLW355:QLX355"/>
    <mergeCell ref="QLY355:QLZ355"/>
    <mergeCell ref="QMA355:QMB355"/>
    <mergeCell ref="QMC355:QMD355"/>
    <mergeCell ref="QME355:QMF355"/>
    <mergeCell ref="QMG355:QMH355"/>
    <mergeCell ref="QKY355:QKZ355"/>
    <mergeCell ref="QLA355:QLB355"/>
    <mergeCell ref="QLC355:QLD355"/>
    <mergeCell ref="QLE355:QLF355"/>
    <mergeCell ref="QLG355:QLH355"/>
    <mergeCell ref="QLI355:QLJ355"/>
    <mergeCell ref="QLK355:QLL355"/>
    <mergeCell ref="QLM355:QLN355"/>
    <mergeCell ref="QLO355:QLP355"/>
    <mergeCell ref="QNA355:QNB355"/>
    <mergeCell ref="QNC355:QND355"/>
    <mergeCell ref="QNE355:QNF355"/>
    <mergeCell ref="QNG355:QNH355"/>
    <mergeCell ref="QNI355:QNJ355"/>
    <mergeCell ref="QNK355:QNL355"/>
    <mergeCell ref="QNM355:QNN355"/>
    <mergeCell ref="QNO355:QNP355"/>
    <mergeCell ref="QNQ355:QNR355"/>
    <mergeCell ref="QMI355:QMJ355"/>
    <mergeCell ref="QMK355:QML355"/>
    <mergeCell ref="QMM355:QMN355"/>
    <mergeCell ref="QMO355:QMP355"/>
    <mergeCell ref="QMQ355:QMR355"/>
    <mergeCell ref="QMS355:QMT355"/>
    <mergeCell ref="QMU355:QMV355"/>
    <mergeCell ref="QMW355:QMX355"/>
    <mergeCell ref="QMY355:QMZ355"/>
    <mergeCell ref="QOK355:QOL355"/>
    <mergeCell ref="QOM355:QON355"/>
    <mergeCell ref="QOO355:QOP355"/>
    <mergeCell ref="QOQ355:QOR355"/>
    <mergeCell ref="QOS355:QOT355"/>
    <mergeCell ref="QOU355:QOV355"/>
    <mergeCell ref="QOW355:QOX355"/>
    <mergeCell ref="QOY355:QOZ355"/>
    <mergeCell ref="QPA355:QPB355"/>
    <mergeCell ref="QNS355:QNT355"/>
    <mergeCell ref="QNU355:QNV355"/>
    <mergeCell ref="QNW355:QNX355"/>
    <mergeCell ref="QNY355:QNZ355"/>
    <mergeCell ref="QOA355:QOB355"/>
    <mergeCell ref="QOC355:QOD355"/>
    <mergeCell ref="QOE355:QOF355"/>
    <mergeCell ref="QOG355:QOH355"/>
    <mergeCell ref="QOI355:QOJ355"/>
    <mergeCell ref="QPU355:QPV355"/>
    <mergeCell ref="QPW355:QPX355"/>
    <mergeCell ref="QPY355:QPZ355"/>
    <mergeCell ref="QQA355:QQB355"/>
    <mergeCell ref="QQC355:QQD355"/>
    <mergeCell ref="QQE355:QQF355"/>
    <mergeCell ref="QQG355:QQH355"/>
    <mergeCell ref="QQI355:QQJ355"/>
    <mergeCell ref="QQK355:QQL355"/>
    <mergeCell ref="QPC355:QPD355"/>
    <mergeCell ref="QPE355:QPF355"/>
    <mergeCell ref="QPG355:QPH355"/>
    <mergeCell ref="QPI355:QPJ355"/>
    <mergeCell ref="QPK355:QPL355"/>
    <mergeCell ref="QPM355:QPN355"/>
    <mergeCell ref="QPO355:QPP355"/>
    <mergeCell ref="QPQ355:QPR355"/>
    <mergeCell ref="QPS355:QPT355"/>
    <mergeCell ref="QRE355:QRF355"/>
    <mergeCell ref="QRG355:QRH355"/>
    <mergeCell ref="QRI355:QRJ355"/>
    <mergeCell ref="QRK355:QRL355"/>
    <mergeCell ref="QRM355:QRN355"/>
    <mergeCell ref="QRO355:QRP355"/>
    <mergeCell ref="QRQ355:QRR355"/>
    <mergeCell ref="QRS355:QRT355"/>
    <mergeCell ref="QRU355:QRV355"/>
    <mergeCell ref="QQM355:QQN355"/>
    <mergeCell ref="QQO355:QQP355"/>
    <mergeCell ref="QQQ355:QQR355"/>
    <mergeCell ref="QQS355:QQT355"/>
    <mergeCell ref="QQU355:QQV355"/>
    <mergeCell ref="QQW355:QQX355"/>
    <mergeCell ref="QQY355:QQZ355"/>
    <mergeCell ref="QRA355:QRB355"/>
    <mergeCell ref="QRC355:QRD355"/>
    <mergeCell ref="QSO355:QSP355"/>
    <mergeCell ref="QSQ355:QSR355"/>
    <mergeCell ref="QSS355:QST355"/>
    <mergeCell ref="QSU355:QSV355"/>
    <mergeCell ref="QSW355:QSX355"/>
    <mergeCell ref="QSY355:QSZ355"/>
    <mergeCell ref="QTA355:QTB355"/>
    <mergeCell ref="QTC355:QTD355"/>
    <mergeCell ref="QTE355:QTF355"/>
    <mergeCell ref="QRW355:QRX355"/>
    <mergeCell ref="QRY355:QRZ355"/>
    <mergeCell ref="QSA355:QSB355"/>
    <mergeCell ref="QSC355:QSD355"/>
    <mergeCell ref="QSE355:QSF355"/>
    <mergeCell ref="QSG355:QSH355"/>
    <mergeCell ref="QSI355:QSJ355"/>
    <mergeCell ref="QSK355:QSL355"/>
    <mergeCell ref="QSM355:QSN355"/>
    <mergeCell ref="QTY355:QTZ355"/>
    <mergeCell ref="QUA355:QUB355"/>
    <mergeCell ref="QUC355:QUD355"/>
    <mergeCell ref="QUE355:QUF355"/>
    <mergeCell ref="QUG355:QUH355"/>
    <mergeCell ref="QUI355:QUJ355"/>
    <mergeCell ref="QUK355:QUL355"/>
    <mergeCell ref="QUM355:QUN355"/>
    <mergeCell ref="QUO355:QUP355"/>
    <mergeCell ref="QTG355:QTH355"/>
    <mergeCell ref="QTI355:QTJ355"/>
    <mergeCell ref="QTK355:QTL355"/>
    <mergeCell ref="QTM355:QTN355"/>
    <mergeCell ref="QTO355:QTP355"/>
    <mergeCell ref="QTQ355:QTR355"/>
    <mergeCell ref="QTS355:QTT355"/>
    <mergeCell ref="QTU355:QTV355"/>
    <mergeCell ref="QTW355:QTX355"/>
    <mergeCell ref="QVI355:QVJ355"/>
    <mergeCell ref="QVK355:QVL355"/>
    <mergeCell ref="QVM355:QVN355"/>
    <mergeCell ref="QVO355:QVP355"/>
    <mergeCell ref="QVQ355:QVR355"/>
    <mergeCell ref="QVS355:QVT355"/>
    <mergeCell ref="QVU355:QVV355"/>
    <mergeCell ref="QVW355:QVX355"/>
    <mergeCell ref="QVY355:QVZ355"/>
    <mergeCell ref="QUQ355:QUR355"/>
    <mergeCell ref="QUS355:QUT355"/>
    <mergeCell ref="QUU355:QUV355"/>
    <mergeCell ref="QUW355:QUX355"/>
    <mergeCell ref="QUY355:QUZ355"/>
    <mergeCell ref="QVA355:QVB355"/>
    <mergeCell ref="QVC355:QVD355"/>
    <mergeCell ref="QVE355:QVF355"/>
    <mergeCell ref="QVG355:QVH355"/>
    <mergeCell ref="QWS355:QWT355"/>
    <mergeCell ref="QWU355:QWV355"/>
    <mergeCell ref="QWW355:QWX355"/>
    <mergeCell ref="QWY355:QWZ355"/>
    <mergeCell ref="QXA355:QXB355"/>
    <mergeCell ref="QXC355:QXD355"/>
    <mergeCell ref="QXE355:QXF355"/>
    <mergeCell ref="QXG355:QXH355"/>
    <mergeCell ref="QXI355:QXJ355"/>
    <mergeCell ref="QWA355:QWB355"/>
    <mergeCell ref="QWC355:QWD355"/>
    <mergeCell ref="QWE355:QWF355"/>
    <mergeCell ref="QWG355:QWH355"/>
    <mergeCell ref="QWI355:QWJ355"/>
    <mergeCell ref="QWK355:QWL355"/>
    <mergeCell ref="QWM355:QWN355"/>
    <mergeCell ref="QWO355:QWP355"/>
    <mergeCell ref="QWQ355:QWR355"/>
    <mergeCell ref="QYC355:QYD355"/>
    <mergeCell ref="QYE355:QYF355"/>
    <mergeCell ref="QYG355:QYH355"/>
    <mergeCell ref="QYI355:QYJ355"/>
    <mergeCell ref="QYK355:QYL355"/>
    <mergeCell ref="QYM355:QYN355"/>
    <mergeCell ref="QYO355:QYP355"/>
    <mergeCell ref="QYQ355:QYR355"/>
    <mergeCell ref="QYS355:QYT355"/>
    <mergeCell ref="QXK355:QXL355"/>
    <mergeCell ref="QXM355:QXN355"/>
    <mergeCell ref="QXO355:QXP355"/>
    <mergeCell ref="QXQ355:QXR355"/>
    <mergeCell ref="QXS355:QXT355"/>
    <mergeCell ref="QXU355:QXV355"/>
    <mergeCell ref="QXW355:QXX355"/>
    <mergeCell ref="QXY355:QXZ355"/>
    <mergeCell ref="QYA355:QYB355"/>
    <mergeCell ref="QZM355:QZN355"/>
    <mergeCell ref="QZO355:QZP355"/>
    <mergeCell ref="QZQ355:QZR355"/>
    <mergeCell ref="QZS355:QZT355"/>
    <mergeCell ref="QZU355:QZV355"/>
    <mergeCell ref="QZW355:QZX355"/>
    <mergeCell ref="QZY355:QZZ355"/>
    <mergeCell ref="RAA355:RAB355"/>
    <mergeCell ref="RAC355:RAD355"/>
    <mergeCell ref="QYU355:QYV355"/>
    <mergeCell ref="QYW355:QYX355"/>
    <mergeCell ref="QYY355:QYZ355"/>
    <mergeCell ref="QZA355:QZB355"/>
    <mergeCell ref="QZC355:QZD355"/>
    <mergeCell ref="QZE355:QZF355"/>
    <mergeCell ref="QZG355:QZH355"/>
    <mergeCell ref="QZI355:QZJ355"/>
    <mergeCell ref="QZK355:QZL355"/>
    <mergeCell ref="RAW355:RAX355"/>
    <mergeCell ref="RAY355:RAZ355"/>
    <mergeCell ref="RBA355:RBB355"/>
    <mergeCell ref="RBC355:RBD355"/>
    <mergeCell ref="RBE355:RBF355"/>
    <mergeCell ref="RBG355:RBH355"/>
    <mergeCell ref="RBI355:RBJ355"/>
    <mergeCell ref="RBK355:RBL355"/>
    <mergeCell ref="RBM355:RBN355"/>
    <mergeCell ref="RAE355:RAF355"/>
    <mergeCell ref="RAG355:RAH355"/>
    <mergeCell ref="RAI355:RAJ355"/>
    <mergeCell ref="RAK355:RAL355"/>
    <mergeCell ref="RAM355:RAN355"/>
    <mergeCell ref="RAO355:RAP355"/>
    <mergeCell ref="RAQ355:RAR355"/>
    <mergeCell ref="RAS355:RAT355"/>
    <mergeCell ref="RAU355:RAV355"/>
    <mergeCell ref="RCG355:RCH355"/>
    <mergeCell ref="RCI355:RCJ355"/>
    <mergeCell ref="RCK355:RCL355"/>
    <mergeCell ref="RCM355:RCN355"/>
    <mergeCell ref="RCO355:RCP355"/>
    <mergeCell ref="RCQ355:RCR355"/>
    <mergeCell ref="RCS355:RCT355"/>
    <mergeCell ref="RCU355:RCV355"/>
    <mergeCell ref="RCW355:RCX355"/>
    <mergeCell ref="RBO355:RBP355"/>
    <mergeCell ref="RBQ355:RBR355"/>
    <mergeCell ref="RBS355:RBT355"/>
    <mergeCell ref="RBU355:RBV355"/>
    <mergeCell ref="RBW355:RBX355"/>
    <mergeCell ref="RBY355:RBZ355"/>
    <mergeCell ref="RCA355:RCB355"/>
    <mergeCell ref="RCC355:RCD355"/>
    <mergeCell ref="RCE355:RCF355"/>
    <mergeCell ref="RDQ355:RDR355"/>
    <mergeCell ref="RDS355:RDT355"/>
    <mergeCell ref="RDU355:RDV355"/>
    <mergeCell ref="RDW355:RDX355"/>
    <mergeCell ref="RDY355:RDZ355"/>
    <mergeCell ref="REA355:REB355"/>
    <mergeCell ref="REC355:RED355"/>
    <mergeCell ref="REE355:REF355"/>
    <mergeCell ref="REG355:REH355"/>
    <mergeCell ref="RCY355:RCZ355"/>
    <mergeCell ref="RDA355:RDB355"/>
    <mergeCell ref="RDC355:RDD355"/>
    <mergeCell ref="RDE355:RDF355"/>
    <mergeCell ref="RDG355:RDH355"/>
    <mergeCell ref="RDI355:RDJ355"/>
    <mergeCell ref="RDK355:RDL355"/>
    <mergeCell ref="RDM355:RDN355"/>
    <mergeCell ref="RDO355:RDP355"/>
    <mergeCell ref="RFA355:RFB355"/>
    <mergeCell ref="RFC355:RFD355"/>
    <mergeCell ref="RFE355:RFF355"/>
    <mergeCell ref="RFG355:RFH355"/>
    <mergeCell ref="RFI355:RFJ355"/>
    <mergeCell ref="RFK355:RFL355"/>
    <mergeCell ref="RFM355:RFN355"/>
    <mergeCell ref="RFO355:RFP355"/>
    <mergeCell ref="RFQ355:RFR355"/>
    <mergeCell ref="REI355:REJ355"/>
    <mergeCell ref="REK355:REL355"/>
    <mergeCell ref="REM355:REN355"/>
    <mergeCell ref="REO355:REP355"/>
    <mergeCell ref="REQ355:RER355"/>
    <mergeCell ref="RES355:RET355"/>
    <mergeCell ref="REU355:REV355"/>
    <mergeCell ref="REW355:REX355"/>
    <mergeCell ref="REY355:REZ355"/>
    <mergeCell ref="RGK355:RGL355"/>
    <mergeCell ref="RGM355:RGN355"/>
    <mergeCell ref="RGO355:RGP355"/>
    <mergeCell ref="RGQ355:RGR355"/>
    <mergeCell ref="RGS355:RGT355"/>
    <mergeCell ref="RGU355:RGV355"/>
    <mergeCell ref="RGW355:RGX355"/>
    <mergeCell ref="RGY355:RGZ355"/>
    <mergeCell ref="RHA355:RHB355"/>
    <mergeCell ref="RFS355:RFT355"/>
    <mergeCell ref="RFU355:RFV355"/>
    <mergeCell ref="RFW355:RFX355"/>
    <mergeCell ref="RFY355:RFZ355"/>
    <mergeCell ref="RGA355:RGB355"/>
    <mergeCell ref="RGC355:RGD355"/>
    <mergeCell ref="RGE355:RGF355"/>
    <mergeCell ref="RGG355:RGH355"/>
    <mergeCell ref="RGI355:RGJ355"/>
    <mergeCell ref="RHU355:RHV355"/>
    <mergeCell ref="RHW355:RHX355"/>
    <mergeCell ref="RHY355:RHZ355"/>
    <mergeCell ref="RIA355:RIB355"/>
    <mergeCell ref="RIC355:RID355"/>
    <mergeCell ref="RIE355:RIF355"/>
    <mergeCell ref="RIG355:RIH355"/>
    <mergeCell ref="RII355:RIJ355"/>
    <mergeCell ref="RIK355:RIL355"/>
    <mergeCell ref="RHC355:RHD355"/>
    <mergeCell ref="RHE355:RHF355"/>
    <mergeCell ref="RHG355:RHH355"/>
    <mergeCell ref="RHI355:RHJ355"/>
    <mergeCell ref="RHK355:RHL355"/>
    <mergeCell ref="RHM355:RHN355"/>
    <mergeCell ref="RHO355:RHP355"/>
    <mergeCell ref="RHQ355:RHR355"/>
    <mergeCell ref="RHS355:RHT355"/>
    <mergeCell ref="RJE355:RJF355"/>
    <mergeCell ref="RJG355:RJH355"/>
    <mergeCell ref="RJI355:RJJ355"/>
    <mergeCell ref="RJK355:RJL355"/>
    <mergeCell ref="RJM355:RJN355"/>
    <mergeCell ref="RJO355:RJP355"/>
    <mergeCell ref="RJQ355:RJR355"/>
    <mergeCell ref="RJS355:RJT355"/>
    <mergeCell ref="RJU355:RJV355"/>
    <mergeCell ref="RIM355:RIN355"/>
    <mergeCell ref="RIO355:RIP355"/>
    <mergeCell ref="RIQ355:RIR355"/>
    <mergeCell ref="RIS355:RIT355"/>
    <mergeCell ref="RIU355:RIV355"/>
    <mergeCell ref="RIW355:RIX355"/>
    <mergeCell ref="RIY355:RIZ355"/>
    <mergeCell ref="RJA355:RJB355"/>
    <mergeCell ref="RJC355:RJD355"/>
    <mergeCell ref="RKO355:RKP355"/>
    <mergeCell ref="RKQ355:RKR355"/>
    <mergeCell ref="RKS355:RKT355"/>
    <mergeCell ref="RKU355:RKV355"/>
    <mergeCell ref="RKW355:RKX355"/>
    <mergeCell ref="RKY355:RKZ355"/>
    <mergeCell ref="RLA355:RLB355"/>
    <mergeCell ref="RLC355:RLD355"/>
    <mergeCell ref="RLE355:RLF355"/>
    <mergeCell ref="RJW355:RJX355"/>
    <mergeCell ref="RJY355:RJZ355"/>
    <mergeCell ref="RKA355:RKB355"/>
    <mergeCell ref="RKC355:RKD355"/>
    <mergeCell ref="RKE355:RKF355"/>
    <mergeCell ref="RKG355:RKH355"/>
    <mergeCell ref="RKI355:RKJ355"/>
    <mergeCell ref="RKK355:RKL355"/>
    <mergeCell ref="RKM355:RKN355"/>
    <mergeCell ref="RLY355:RLZ355"/>
    <mergeCell ref="RMA355:RMB355"/>
    <mergeCell ref="RMC355:RMD355"/>
    <mergeCell ref="RME355:RMF355"/>
    <mergeCell ref="RMG355:RMH355"/>
    <mergeCell ref="RMI355:RMJ355"/>
    <mergeCell ref="RMK355:RML355"/>
    <mergeCell ref="RMM355:RMN355"/>
    <mergeCell ref="RMO355:RMP355"/>
    <mergeCell ref="RLG355:RLH355"/>
    <mergeCell ref="RLI355:RLJ355"/>
    <mergeCell ref="RLK355:RLL355"/>
    <mergeCell ref="RLM355:RLN355"/>
    <mergeCell ref="RLO355:RLP355"/>
    <mergeCell ref="RLQ355:RLR355"/>
    <mergeCell ref="RLS355:RLT355"/>
    <mergeCell ref="RLU355:RLV355"/>
    <mergeCell ref="RLW355:RLX355"/>
    <mergeCell ref="RNI355:RNJ355"/>
    <mergeCell ref="RNK355:RNL355"/>
    <mergeCell ref="RNM355:RNN355"/>
    <mergeCell ref="RNO355:RNP355"/>
    <mergeCell ref="RNQ355:RNR355"/>
    <mergeCell ref="RNS355:RNT355"/>
    <mergeCell ref="RNU355:RNV355"/>
    <mergeCell ref="RNW355:RNX355"/>
    <mergeCell ref="RNY355:RNZ355"/>
    <mergeCell ref="RMQ355:RMR355"/>
    <mergeCell ref="RMS355:RMT355"/>
    <mergeCell ref="RMU355:RMV355"/>
    <mergeCell ref="RMW355:RMX355"/>
    <mergeCell ref="RMY355:RMZ355"/>
    <mergeCell ref="RNA355:RNB355"/>
    <mergeCell ref="RNC355:RND355"/>
    <mergeCell ref="RNE355:RNF355"/>
    <mergeCell ref="RNG355:RNH355"/>
    <mergeCell ref="ROS355:ROT355"/>
    <mergeCell ref="ROU355:ROV355"/>
    <mergeCell ref="ROW355:ROX355"/>
    <mergeCell ref="ROY355:ROZ355"/>
    <mergeCell ref="RPA355:RPB355"/>
    <mergeCell ref="RPC355:RPD355"/>
    <mergeCell ref="RPE355:RPF355"/>
    <mergeCell ref="RPG355:RPH355"/>
    <mergeCell ref="RPI355:RPJ355"/>
    <mergeCell ref="ROA355:ROB355"/>
    <mergeCell ref="ROC355:ROD355"/>
    <mergeCell ref="ROE355:ROF355"/>
    <mergeCell ref="ROG355:ROH355"/>
    <mergeCell ref="ROI355:ROJ355"/>
    <mergeCell ref="ROK355:ROL355"/>
    <mergeCell ref="ROM355:RON355"/>
    <mergeCell ref="ROO355:ROP355"/>
    <mergeCell ref="ROQ355:ROR355"/>
    <mergeCell ref="RQC355:RQD355"/>
    <mergeCell ref="RQE355:RQF355"/>
    <mergeCell ref="RQG355:RQH355"/>
    <mergeCell ref="RQI355:RQJ355"/>
    <mergeCell ref="RQK355:RQL355"/>
    <mergeCell ref="RQM355:RQN355"/>
    <mergeCell ref="RQO355:RQP355"/>
    <mergeCell ref="RQQ355:RQR355"/>
    <mergeCell ref="RQS355:RQT355"/>
    <mergeCell ref="RPK355:RPL355"/>
    <mergeCell ref="RPM355:RPN355"/>
    <mergeCell ref="RPO355:RPP355"/>
    <mergeCell ref="RPQ355:RPR355"/>
    <mergeCell ref="RPS355:RPT355"/>
    <mergeCell ref="RPU355:RPV355"/>
    <mergeCell ref="RPW355:RPX355"/>
    <mergeCell ref="RPY355:RPZ355"/>
    <mergeCell ref="RQA355:RQB355"/>
    <mergeCell ref="RRM355:RRN355"/>
    <mergeCell ref="RRO355:RRP355"/>
    <mergeCell ref="RRQ355:RRR355"/>
    <mergeCell ref="RRS355:RRT355"/>
    <mergeCell ref="RRU355:RRV355"/>
    <mergeCell ref="RRW355:RRX355"/>
    <mergeCell ref="RRY355:RRZ355"/>
    <mergeCell ref="RSA355:RSB355"/>
    <mergeCell ref="RSC355:RSD355"/>
    <mergeCell ref="RQU355:RQV355"/>
    <mergeCell ref="RQW355:RQX355"/>
    <mergeCell ref="RQY355:RQZ355"/>
    <mergeCell ref="RRA355:RRB355"/>
    <mergeCell ref="RRC355:RRD355"/>
    <mergeCell ref="RRE355:RRF355"/>
    <mergeCell ref="RRG355:RRH355"/>
    <mergeCell ref="RRI355:RRJ355"/>
    <mergeCell ref="RRK355:RRL355"/>
    <mergeCell ref="RSW355:RSX355"/>
    <mergeCell ref="RSY355:RSZ355"/>
    <mergeCell ref="RTA355:RTB355"/>
    <mergeCell ref="RTC355:RTD355"/>
    <mergeCell ref="RTE355:RTF355"/>
    <mergeCell ref="RTG355:RTH355"/>
    <mergeCell ref="RTI355:RTJ355"/>
    <mergeCell ref="RTK355:RTL355"/>
    <mergeCell ref="RTM355:RTN355"/>
    <mergeCell ref="RSE355:RSF355"/>
    <mergeCell ref="RSG355:RSH355"/>
    <mergeCell ref="RSI355:RSJ355"/>
    <mergeCell ref="RSK355:RSL355"/>
    <mergeCell ref="RSM355:RSN355"/>
    <mergeCell ref="RSO355:RSP355"/>
    <mergeCell ref="RSQ355:RSR355"/>
    <mergeCell ref="RSS355:RST355"/>
    <mergeCell ref="RSU355:RSV355"/>
    <mergeCell ref="RUG355:RUH355"/>
    <mergeCell ref="RUI355:RUJ355"/>
    <mergeCell ref="RUK355:RUL355"/>
    <mergeCell ref="RUM355:RUN355"/>
    <mergeCell ref="RUO355:RUP355"/>
    <mergeCell ref="RUQ355:RUR355"/>
    <mergeCell ref="RUS355:RUT355"/>
    <mergeCell ref="RUU355:RUV355"/>
    <mergeCell ref="RUW355:RUX355"/>
    <mergeCell ref="RTO355:RTP355"/>
    <mergeCell ref="RTQ355:RTR355"/>
    <mergeCell ref="RTS355:RTT355"/>
    <mergeCell ref="RTU355:RTV355"/>
    <mergeCell ref="RTW355:RTX355"/>
    <mergeCell ref="RTY355:RTZ355"/>
    <mergeCell ref="RUA355:RUB355"/>
    <mergeCell ref="RUC355:RUD355"/>
    <mergeCell ref="RUE355:RUF355"/>
    <mergeCell ref="RVQ355:RVR355"/>
    <mergeCell ref="RVS355:RVT355"/>
    <mergeCell ref="RVU355:RVV355"/>
    <mergeCell ref="RVW355:RVX355"/>
    <mergeCell ref="RVY355:RVZ355"/>
    <mergeCell ref="RWA355:RWB355"/>
    <mergeCell ref="RWC355:RWD355"/>
    <mergeCell ref="RWE355:RWF355"/>
    <mergeCell ref="RWG355:RWH355"/>
    <mergeCell ref="RUY355:RUZ355"/>
    <mergeCell ref="RVA355:RVB355"/>
    <mergeCell ref="RVC355:RVD355"/>
    <mergeCell ref="RVE355:RVF355"/>
    <mergeCell ref="RVG355:RVH355"/>
    <mergeCell ref="RVI355:RVJ355"/>
    <mergeCell ref="RVK355:RVL355"/>
    <mergeCell ref="RVM355:RVN355"/>
    <mergeCell ref="RVO355:RVP355"/>
    <mergeCell ref="RXA355:RXB355"/>
    <mergeCell ref="RXC355:RXD355"/>
    <mergeCell ref="RXE355:RXF355"/>
    <mergeCell ref="RXG355:RXH355"/>
    <mergeCell ref="RXI355:RXJ355"/>
    <mergeCell ref="RXK355:RXL355"/>
    <mergeCell ref="RXM355:RXN355"/>
    <mergeCell ref="RXO355:RXP355"/>
    <mergeCell ref="RXQ355:RXR355"/>
    <mergeCell ref="RWI355:RWJ355"/>
    <mergeCell ref="RWK355:RWL355"/>
    <mergeCell ref="RWM355:RWN355"/>
    <mergeCell ref="RWO355:RWP355"/>
    <mergeCell ref="RWQ355:RWR355"/>
    <mergeCell ref="RWS355:RWT355"/>
    <mergeCell ref="RWU355:RWV355"/>
    <mergeCell ref="RWW355:RWX355"/>
    <mergeCell ref="RWY355:RWZ355"/>
    <mergeCell ref="RYK355:RYL355"/>
    <mergeCell ref="RYM355:RYN355"/>
    <mergeCell ref="RYO355:RYP355"/>
    <mergeCell ref="RYQ355:RYR355"/>
    <mergeCell ref="RYS355:RYT355"/>
    <mergeCell ref="RYU355:RYV355"/>
    <mergeCell ref="RYW355:RYX355"/>
    <mergeCell ref="RYY355:RYZ355"/>
    <mergeCell ref="RZA355:RZB355"/>
    <mergeCell ref="RXS355:RXT355"/>
    <mergeCell ref="RXU355:RXV355"/>
    <mergeCell ref="RXW355:RXX355"/>
    <mergeCell ref="RXY355:RXZ355"/>
    <mergeCell ref="RYA355:RYB355"/>
    <mergeCell ref="RYC355:RYD355"/>
    <mergeCell ref="RYE355:RYF355"/>
    <mergeCell ref="RYG355:RYH355"/>
    <mergeCell ref="RYI355:RYJ355"/>
    <mergeCell ref="RZU355:RZV355"/>
    <mergeCell ref="RZW355:RZX355"/>
    <mergeCell ref="RZY355:RZZ355"/>
    <mergeCell ref="SAA355:SAB355"/>
    <mergeCell ref="SAC355:SAD355"/>
    <mergeCell ref="SAE355:SAF355"/>
    <mergeCell ref="SAG355:SAH355"/>
    <mergeCell ref="SAI355:SAJ355"/>
    <mergeCell ref="SAK355:SAL355"/>
    <mergeCell ref="RZC355:RZD355"/>
    <mergeCell ref="RZE355:RZF355"/>
    <mergeCell ref="RZG355:RZH355"/>
    <mergeCell ref="RZI355:RZJ355"/>
    <mergeCell ref="RZK355:RZL355"/>
    <mergeCell ref="RZM355:RZN355"/>
    <mergeCell ref="RZO355:RZP355"/>
    <mergeCell ref="RZQ355:RZR355"/>
    <mergeCell ref="RZS355:RZT355"/>
    <mergeCell ref="SBE355:SBF355"/>
    <mergeCell ref="SBG355:SBH355"/>
    <mergeCell ref="SBI355:SBJ355"/>
    <mergeCell ref="SBK355:SBL355"/>
    <mergeCell ref="SBM355:SBN355"/>
    <mergeCell ref="SBO355:SBP355"/>
    <mergeCell ref="SBQ355:SBR355"/>
    <mergeCell ref="SBS355:SBT355"/>
    <mergeCell ref="SBU355:SBV355"/>
    <mergeCell ref="SAM355:SAN355"/>
    <mergeCell ref="SAO355:SAP355"/>
    <mergeCell ref="SAQ355:SAR355"/>
    <mergeCell ref="SAS355:SAT355"/>
    <mergeCell ref="SAU355:SAV355"/>
    <mergeCell ref="SAW355:SAX355"/>
    <mergeCell ref="SAY355:SAZ355"/>
    <mergeCell ref="SBA355:SBB355"/>
    <mergeCell ref="SBC355:SBD355"/>
    <mergeCell ref="SCO355:SCP355"/>
    <mergeCell ref="SCQ355:SCR355"/>
    <mergeCell ref="SCS355:SCT355"/>
    <mergeCell ref="SCU355:SCV355"/>
    <mergeCell ref="SCW355:SCX355"/>
    <mergeCell ref="SCY355:SCZ355"/>
    <mergeCell ref="SDA355:SDB355"/>
    <mergeCell ref="SDC355:SDD355"/>
    <mergeCell ref="SDE355:SDF355"/>
    <mergeCell ref="SBW355:SBX355"/>
    <mergeCell ref="SBY355:SBZ355"/>
    <mergeCell ref="SCA355:SCB355"/>
    <mergeCell ref="SCC355:SCD355"/>
    <mergeCell ref="SCE355:SCF355"/>
    <mergeCell ref="SCG355:SCH355"/>
    <mergeCell ref="SCI355:SCJ355"/>
    <mergeCell ref="SCK355:SCL355"/>
    <mergeCell ref="SCM355:SCN355"/>
    <mergeCell ref="SDY355:SDZ355"/>
    <mergeCell ref="SEA355:SEB355"/>
    <mergeCell ref="SEC355:SED355"/>
    <mergeCell ref="SEE355:SEF355"/>
    <mergeCell ref="SEG355:SEH355"/>
    <mergeCell ref="SEI355:SEJ355"/>
    <mergeCell ref="SEK355:SEL355"/>
    <mergeCell ref="SEM355:SEN355"/>
    <mergeCell ref="SEO355:SEP355"/>
    <mergeCell ref="SDG355:SDH355"/>
    <mergeCell ref="SDI355:SDJ355"/>
    <mergeCell ref="SDK355:SDL355"/>
    <mergeCell ref="SDM355:SDN355"/>
    <mergeCell ref="SDO355:SDP355"/>
    <mergeCell ref="SDQ355:SDR355"/>
    <mergeCell ref="SDS355:SDT355"/>
    <mergeCell ref="SDU355:SDV355"/>
    <mergeCell ref="SDW355:SDX355"/>
    <mergeCell ref="SFI355:SFJ355"/>
    <mergeCell ref="SFK355:SFL355"/>
    <mergeCell ref="SFM355:SFN355"/>
    <mergeCell ref="SFO355:SFP355"/>
    <mergeCell ref="SFQ355:SFR355"/>
    <mergeCell ref="SFS355:SFT355"/>
    <mergeCell ref="SFU355:SFV355"/>
    <mergeCell ref="SFW355:SFX355"/>
    <mergeCell ref="SFY355:SFZ355"/>
    <mergeCell ref="SEQ355:SER355"/>
    <mergeCell ref="SES355:SET355"/>
    <mergeCell ref="SEU355:SEV355"/>
    <mergeCell ref="SEW355:SEX355"/>
    <mergeCell ref="SEY355:SEZ355"/>
    <mergeCell ref="SFA355:SFB355"/>
    <mergeCell ref="SFC355:SFD355"/>
    <mergeCell ref="SFE355:SFF355"/>
    <mergeCell ref="SFG355:SFH355"/>
    <mergeCell ref="SGS355:SGT355"/>
    <mergeCell ref="SGU355:SGV355"/>
    <mergeCell ref="SGW355:SGX355"/>
    <mergeCell ref="SGY355:SGZ355"/>
    <mergeCell ref="SHA355:SHB355"/>
    <mergeCell ref="SHC355:SHD355"/>
    <mergeCell ref="SHE355:SHF355"/>
    <mergeCell ref="SHG355:SHH355"/>
    <mergeCell ref="SHI355:SHJ355"/>
    <mergeCell ref="SGA355:SGB355"/>
    <mergeCell ref="SGC355:SGD355"/>
    <mergeCell ref="SGE355:SGF355"/>
    <mergeCell ref="SGG355:SGH355"/>
    <mergeCell ref="SGI355:SGJ355"/>
    <mergeCell ref="SGK355:SGL355"/>
    <mergeCell ref="SGM355:SGN355"/>
    <mergeCell ref="SGO355:SGP355"/>
    <mergeCell ref="SGQ355:SGR355"/>
    <mergeCell ref="SIC355:SID355"/>
    <mergeCell ref="SIE355:SIF355"/>
    <mergeCell ref="SIG355:SIH355"/>
    <mergeCell ref="SII355:SIJ355"/>
    <mergeCell ref="SIK355:SIL355"/>
    <mergeCell ref="SIM355:SIN355"/>
    <mergeCell ref="SIO355:SIP355"/>
    <mergeCell ref="SIQ355:SIR355"/>
    <mergeCell ref="SIS355:SIT355"/>
    <mergeCell ref="SHK355:SHL355"/>
    <mergeCell ref="SHM355:SHN355"/>
    <mergeCell ref="SHO355:SHP355"/>
    <mergeCell ref="SHQ355:SHR355"/>
    <mergeCell ref="SHS355:SHT355"/>
    <mergeCell ref="SHU355:SHV355"/>
    <mergeCell ref="SHW355:SHX355"/>
    <mergeCell ref="SHY355:SHZ355"/>
    <mergeCell ref="SIA355:SIB355"/>
    <mergeCell ref="SJM355:SJN355"/>
    <mergeCell ref="SJO355:SJP355"/>
    <mergeCell ref="SJQ355:SJR355"/>
    <mergeCell ref="SJS355:SJT355"/>
    <mergeCell ref="SJU355:SJV355"/>
    <mergeCell ref="SJW355:SJX355"/>
    <mergeCell ref="SJY355:SJZ355"/>
    <mergeCell ref="SKA355:SKB355"/>
    <mergeCell ref="SKC355:SKD355"/>
    <mergeCell ref="SIU355:SIV355"/>
    <mergeCell ref="SIW355:SIX355"/>
    <mergeCell ref="SIY355:SIZ355"/>
    <mergeCell ref="SJA355:SJB355"/>
    <mergeCell ref="SJC355:SJD355"/>
    <mergeCell ref="SJE355:SJF355"/>
    <mergeCell ref="SJG355:SJH355"/>
    <mergeCell ref="SJI355:SJJ355"/>
    <mergeCell ref="SJK355:SJL355"/>
    <mergeCell ref="SKW355:SKX355"/>
    <mergeCell ref="SKY355:SKZ355"/>
    <mergeCell ref="SLA355:SLB355"/>
    <mergeCell ref="SLC355:SLD355"/>
    <mergeCell ref="SLE355:SLF355"/>
    <mergeCell ref="SLG355:SLH355"/>
    <mergeCell ref="SLI355:SLJ355"/>
    <mergeCell ref="SLK355:SLL355"/>
    <mergeCell ref="SLM355:SLN355"/>
    <mergeCell ref="SKE355:SKF355"/>
    <mergeCell ref="SKG355:SKH355"/>
    <mergeCell ref="SKI355:SKJ355"/>
    <mergeCell ref="SKK355:SKL355"/>
    <mergeCell ref="SKM355:SKN355"/>
    <mergeCell ref="SKO355:SKP355"/>
    <mergeCell ref="SKQ355:SKR355"/>
    <mergeCell ref="SKS355:SKT355"/>
    <mergeCell ref="SKU355:SKV355"/>
    <mergeCell ref="SMG355:SMH355"/>
    <mergeCell ref="SMI355:SMJ355"/>
    <mergeCell ref="SMK355:SML355"/>
    <mergeCell ref="SMM355:SMN355"/>
    <mergeCell ref="SMO355:SMP355"/>
    <mergeCell ref="SMQ355:SMR355"/>
    <mergeCell ref="SMS355:SMT355"/>
    <mergeCell ref="SMU355:SMV355"/>
    <mergeCell ref="SMW355:SMX355"/>
    <mergeCell ref="SLO355:SLP355"/>
    <mergeCell ref="SLQ355:SLR355"/>
    <mergeCell ref="SLS355:SLT355"/>
    <mergeCell ref="SLU355:SLV355"/>
    <mergeCell ref="SLW355:SLX355"/>
    <mergeCell ref="SLY355:SLZ355"/>
    <mergeCell ref="SMA355:SMB355"/>
    <mergeCell ref="SMC355:SMD355"/>
    <mergeCell ref="SME355:SMF355"/>
    <mergeCell ref="SNQ355:SNR355"/>
    <mergeCell ref="SNS355:SNT355"/>
    <mergeCell ref="SNU355:SNV355"/>
    <mergeCell ref="SNW355:SNX355"/>
    <mergeCell ref="SNY355:SNZ355"/>
    <mergeCell ref="SOA355:SOB355"/>
    <mergeCell ref="SOC355:SOD355"/>
    <mergeCell ref="SOE355:SOF355"/>
    <mergeCell ref="SOG355:SOH355"/>
    <mergeCell ref="SMY355:SMZ355"/>
    <mergeCell ref="SNA355:SNB355"/>
    <mergeCell ref="SNC355:SND355"/>
    <mergeCell ref="SNE355:SNF355"/>
    <mergeCell ref="SNG355:SNH355"/>
    <mergeCell ref="SNI355:SNJ355"/>
    <mergeCell ref="SNK355:SNL355"/>
    <mergeCell ref="SNM355:SNN355"/>
    <mergeCell ref="SNO355:SNP355"/>
    <mergeCell ref="SPA355:SPB355"/>
    <mergeCell ref="SPC355:SPD355"/>
    <mergeCell ref="SPE355:SPF355"/>
    <mergeCell ref="SPG355:SPH355"/>
    <mergeCell ref="SPI355:SPJ355"/>
    <mergeCell ref="SPK355:SPL355"/>
    <mergeCell ref="SPM355:SPN355"/>
    <mergeCell ref="SPO355:SPP355"/>
    <mergeCell ref="SPQ355:SPR355"/>
    <mergeCell ref="SOI355:SOJ355"/>
    <mergeCell ref="SOK355:SOL355"/>
    <mergeCell ref="SOM355:SON355"/>
    <mergeCell ref="SOO355:SOP355"/>
    <mergeCell ref="SOQ355:SOR355"/>
    <mergeCell ref="SOS355:SOT355"/>
    <mergeCell ref="SOU355:SOV355"/>
    <mergeCell ref="SOW355:SOX355"/>
    <mergeCell ref="SOY355:SOZ355"/>
    <mergeCell ref="SQK355:SQL355"/>
    <mergeCell ref="SQM355:SQN355"/>
    <mergeCell ref="SQO355:SQP355"/>
    <mergeCell ref="SQQ355:SQR355"/>
    <mergeCell ref="SQS355:SQT355"/>
    <mergeCell ref="SQU355:SQV355"/>
    <mergeCell ref="SQW355:SQX355"/>
    <mergeCell ref="SQY355:SQZ355"/>
    <mergeCell ref="SRA355:SRB355"/>
    <mergeCell ref="SPS355:SPT355"/>
    <mergeCell ref="SPU355:SPV355"/>
    <mergeCell ref="SPW355:SPX355"/>
    <mergeCell ref="SPY355:SPZ355"/>
    <mergeCell ref="SQA355:SQB355"/>
    <mergeCell ref="SQC355:SQD355"/>
    <mergeCell ref="SQE355:SQF355"/>
    <mergeCell ref="SQG355:SQH355"/>
    <mergeCell ref="SQI355:SQJ355"/>
    <mergeCell ref="SRU355:SRV355"/>
    <mergeCell ref="SRW355:SRX355"/>
    <mergeCell ref="SRY355:SRZ355"/>
    <mergeCell ref="SSA355:SSB355"/>
    <mergeCell ref="SSC355:SSD355"/>
    <mergeCell ref="SSE355:SSF355"/>
    <mergeCell ref="SSG355:SSH355"/>
    <mergeCell ref="SSI355:SSJ355"/>
    <mergeCell ref="SSK355:SSL355"/>
    <mergeCell ref="SRC355:SRD355"/>
    <mergeCell ref="SRE355:SRF355"/>
    <mergeCell ref="SRG355:SRH355"/>
    <mergeCell ref="SRI355:SRJ355"/>
    <mergeCell ref="SRK355:SRL355"/>
    <mergeCell ref="SRM355:SRN355"/>
    <mergeCell ref="SRO355:SRP355"/>
    <mergeCell ref="SRQ355:SRR355"/>
    <mergeCell ref="SRS355:SRT355"/>
    <mergeCell ref="STE355:STF355"/>
    <mergeCell ref="STG355:STH355"/>
    <mergeCell ref="STI355:STJ355"/>
    <mergeCell ref="STK355:STL355"/>
    <mergeCell ref="STM355:STN355"/>
    <mergeCell ref="STO355:STP355"/>
    <mergeCell ref="STQ355:STR355"/>
    <mergeCell ref="STS355:STT355"/>
    <mergeCell ref="STU355:STV355"/>
    <mergeCell ref="SSM355:SSN355"/>
    <mergeCell ref="SSO355:SSP355"/>
    <mergeCell ref="SSQ355:SSR355"/>
    <mergeCell ref="SSS355:SST355"/>
    <mergeCell ref="SSU355:SSV355"/>
    <mergeCell ref="SSW355:SSX355"/>
    <mergeCell ref="SSY355:SSZ355"/>
    <mergeCell ref="STA355:STB355"/>
    <mergeCell ref="STC355:STD355"/>
    <mergeCell ref="SUO355:SUP355"/>
    <mergeCell ref="SUQ355:SUR355"/>
    <mergeCell ref="SUS355:SUT355"/>
    <mergeCell ref="SUU355:SUV355"/>
    <mergeCell ref="SUW355:SUX355"/>
    <mergeCell ref="SUY355:SUZ355"/>
    <mergeCell ref="SVA355:SVB355"/>
    <mergeCell ref="SVC355:SVD355"/>
    <mergeCell ref="SVE355:SVF355"/>
    <mergeCell ref="STW355:STX355"/>
    <mergeCell ref="STY355:STZ355"/>
    <mergeCell ref="SUA355:SUB355"/>
    <mergeCell ref="SUC355:SUD355"/>
    <mergeCell ref="SUE355:SUF355"/>
    <mergeCell ref="SUG355:SUH355"/>
    <mergeCell ref="SUI355:SUJ355"/>
    <mergeCell ref="SUK355:SUL355"/>
    <mergeCell ref="SUM355:SUN355"/>
    <mergeCell ref="SVY355:SVZ355"/>
    <mergeCell ref="SWA355:SWB355"/>
    <mergeCell ref="SWC355:SWD355"/>
    <mergeCell ref="SWE355:SWF355"/>
    <mergeCell ref="SWG355:SWH355"/>
    <mergeCell ref="SWI355:SWJ355"/>
    <mergeCell ref="SWK355:SWL355"/>
    <mergeCell ref="SWM355:SWN355"/>
    <mergeCell ref="SWO355:SWP355"/>
    <mergeCell ref="SVG355:SVH355"/>
    <mergeCell ref="SVI355:SVJ355"/>
    <mergeCell ref="SVK355:SVL355"/>
    <mergeCell ref="SVM355:SVN355"/>
    <mergeCell ref="SVO355:SVP355"/>
    <mergeCell ref="SVQ355:SVR355"/>
    <mergeCell ref="SVS355:SVT355"/>
    <mergeCell ref="SVU355:SVV355"/>
    <mergeCell ref="SVW355:SVX355"/>
    <mergeCell ref="SXI355:SXJ355"/>
    <mergeCell ref="SXK355:SXL355"/>
    <mergeCell ref="SXM355:SXN355"/>
    <mergeCell ref="SXO355:SXP355"/>
    <mergeCell ref="SXQ355:SXR355"/>
    <mergeCell ref="SXS355:SXT355"/>
    <mergeCell ref="SXU355:SXV355"/>
    <mergeCell ref="SXW355:SXX355"/>
    <mergeCell ref="SXY355:SXZ355"/>
    <mergeCell ref="SWQ355:SWR355"/>
    <mergeCell ref="SWS355:SWT355"/>
    <mergeCell ref="SWU355:SWV355"/>
    <mergeCell ref="SWW355:SWX355"/>
    <mergeCell ref="SWY355:SWZ355"/>
    <mergeCell ref="SXA355:SXB355"/>
    <mergeCell ref="SXC355:SXD355"/>
    <mergeCell ref="SXE355:SXF355"/>
    <mergeCell ref="SXG355:SXH355"/>
    <mergeCell ref="SYS355:SYT355"/>
    <mergeCell ref="SYU355:SYV355"/>
    <mergeCell ref="SYW355:SYX355"/>
    <mergeCell ref="SYY355:SYZ355"/>
    <mergeCell ref="SZA355:SZB355"/>
    <mergeCell ref="SZC355:SZD355"/>
    <mergeCell ref="SZE355:SZF355"/>
    <mergeCell ref="SZG355:SZH355"/>
    <mergeCell ref="SZI355:SZJ355"/>
    <mergeCell ref="SYA355:SYB355"/>
    <mergeCell ref="SYC355:SYD355"/>
    <mergeCell ref="SYE355:SYF355"/>
    <mergeCell ref="SYG355:SYH355"/>
    <mergeCell ref="SYI355:SYJ355"/>
    <mergeCell ref="SYK355:SYL355"/>
    <mergeCell ref="SYM355:SYN355"/>
    <mergeCell ref="SYO355:SYP355"/>
    <mergeCell ref="SYQ355:SYR355"/>
    <mergeCell ref="TAC355:TAD355"/>
    <mergeCell ref="TAE355:TAF355"/>
    <mergeCell ref="TAG355:TAH355"/>
    <mergeCell ref="TAI355:TAJ355"/>
    <mergeCell ref="TAK355:TAL355"/>
    <mergeCell ref="TAM355:TAN355"/>
    <mergeCell ref="TAO355:TAP355"/>
    <mergeCell ref="TAQ355:TAR355"/>
    <mergeCell ref="TAS355:TAT355"/>
    <mergeCell ref="SZK355:SZL355"/>
    <mergeCell ref="SZM355:SZN355"/>
    <mergeCell ref="SZO355:SZP355"/>
    <mergeCell ref="SZQ355:SZR355"/>
    <mergeCell ref="SZS355:SZT355"/>
    <mergeCell ref="SZU355:SZV355"/>
    <mergeCell ref="SZW355:SZX355"/>
    <mergeCell ref="SZY355:SZZ355"/>
    <mergeCell ref="TAA355:TAB355"/>
    <mergeCell ref="TBM355:TBN355"/>
    <mergeCell ref="TBO355:TBP355"/>
    <mergeCell ref="TBQ355:TBR355"/>
    <mergeCell ref="TBS355:TBT355"/>
    <mergeCell ref="TBU355:TBV355"/>
    <mergeCell ref="TBW355:TBX355"/>
    <mergeCell ref="TBY355:TBZ355"/>
    <mergeCell ref="TCA355:TCB355"/>
    <mergeCell ref="TCC355:TCD355"/>
    <mergeCell ref="TAU355:TAV355"/>
    <mergeCell ref="TAW355:TAX355"/>
    <mergeCell ref="TAY355:TAZ355"/>
    <mergeCell ref="TBA355:TBB355"/>
    <mergeCell ref="TBC355:TBD355"/>
    <mergeCell ref="TBE355:TBF355"/>
    <mergeCell ref="TBG355:TBH355"/>
    <mergeCell ref="TBI355:TBJ355"/>
    <mergeCell ref="TBK355:TBL355"/>
    <mergeCell ref="TCW355:TCX355"/>
    <mergeCell ref="TCY355:TCZ355"/>
    <mergeCell ref="TDA355:TDB355"/>
    <mergeCell ref="TDC355:TDD355"/>
    <mergeCell ref="TDE355:TDF355"/>
    <mergeCell ref="TDG355:TDH355"/>
    <mergeCell ref="TDI355:TDJ355"/>
    <mergeCell ref="TDK355:TDL355"/>
    <mergeCell ref="TDM355:TDN355"/>
    <mergeCell ref="TCE355:TCF355"/>
    <mergeCell ref="TCG355:TCH355"/>
    <mergeCell ref="TCI355:TCJ355"/>
    <mergeCell ref="TCK355:TCL355"/>
    <mergeCell ref="TCM355:TCN355"/>
    <mergeCell ref="TCO355:TCP355"/>
    <mergeCell ref="TCQ355:TCR355"/>
    <mergeCell ref="TCS355:TCT355"/>
    <mergeCell ref="TCU355:TCV355"/>
    <mergeCell ref="TEG355:TEH355"/>
    <mergeCell ref="TEI355:TEJ355"/>
    <mergeCell ref="TEK355:TEL355"/>
    <mergeCell ref="TEM355:TEN355"/>
    <mergeCell ref="TEO355:TEP355"/>
    <mergeCell ref="TEQ355:TER355"/>
    <mergeCell ref="TES355:TET355"/>
    <mergeCell ref="TEU355:TEV355"/>
    <mergeCell ref="TEW355:TEX355"/>
    <mergeCell ref="TDO355:TDP355"/>
    <mergeCell ref="TDQ355:TDR355"/>
    <mergeCell ref="TDS355:TDT355"/>
    <mergeCell ref="TDU355:TDV355"/>
    <mergeCell ref="TDW355:TDX355"/>
    <mergeCell ref="TDY355:TDZ355"/>
    <mergeCell ref="TEA355:TEB355"/>
    <mergeCell ref="TEC355:TED355"/>
    <mergeCell ref="TEE355:TEF355"/>
    <mergeCell ref="TFQ355:TFR355"/>
    <mergeCell ref="TFS355:TFT355"/>
    <mergeCell ref="TFU355:TFV355"/>
    <mergeCell ref="TFW355:TFX355"/>
    <mergeCell ref="TFY355:TFZ355"/>
    <mergeCell ref="TGA355:TGB355"/>
    <mergeCell ref="TGC355:TGD355"/>
    <mergeCell ref="TGE355:TGF355"/>
    <mergeCell ref="TGG355:TGH355"/>
    <mergeCell ref="TEY355:TEZ355"/>
    <mergeCell ref="TFA355:TFB355"/>
    <mergeCell ref="TFC355:TFD355"/>
    <mergeCell ref="TFE355:TFF355"/>
    <mergeCell ref="TFG355:TFH355"/>
    <mergeCell ref="TFI355:TFJ355"/>
    <mergeCell ref="TFK355:TFL355"/>
    <mergeCell ref="TFM355:TFN355"/>
    <mergeCell ref="TFO355:TFP355"/>
    <mergeCell ref="THA355:THB355"/>
    <mergeCell ref="THC355:THD355"/>
    <mergeCell ref="THE355:THF355"/>
    <mergeCell ref="THG355:THH355"/>
    <mergeCell ref="THI355:THJ355"/>
    <mergeCell ref="THK355:THL355"/>
    <mergeCell ref="THM355:THN355"/>
    <mergeCell ref="THO355:THP355"/>
    <mergeCell ref="THQ355:THR355"/>
    <mergeCell ref="TGI355:TGJ355"/>
    <mergeCell ref="TGK355:TGL355"/>
    <mergeCell ref="TGM355:TGN355"/>
    <mergeCell ref="TGO355:TGP355"/>
    <mergeCell ref="TGQ355:TGR355"/>
    <mergeCell ref="TGS355:TGT355"/>
    <mergeCell ref="TGU355:TGV355"/>
    <mergeCell ref="TGW355:TGX355"/>
    <mergeCell ref="TGY355:TGZ355"/>
    <mergeCell ref="TIK355:TIL355"/>
    <mergeCell ref="TIM355:TIN355"/>
    <mergeCell ref="TIO355:TIP355"/>
    <mergeCell ref="TIQ355:TIR355"/>
    <mergeCell ref="TIS355:TIT355"/>
    <mergeCell ref="TIU355:TIV355"/>
    <mergeCell ref="TIW355:TIX355"/>
    <mergeCell ref="TIY355:TIZ355"/>
    <mergeCell ref="TJA355:TJB355"/>
    <mergeCell ref="THS355:THT355"/>
    <mergeCell ref="THU355:THV355"/>
    <mergeCell ref="THW355:THX355"/>
    <mergeCell ref="THY355:THZ355"/>
    <mergeCell ref="TIA355:TIB355"/>
    <mergeCell ref="TIC355:TID355"/>
    <mergeCell ref="TIE355:TIF355"/>
    <mergeCell ref="TIG355:TIH355"/>
    <mergeCell ref="TII355:TIJ355"/>
    <mergeCell ref="TJU355:TJV355"/>
    <mergeCell ref="TJW355:TJX355"/>
    <mergeCell ref="TJY355:TJZ355"/>
    <mergeCell ref="TKA355:TKB355"/>
    <mergeCell ref="TKC355:TKD355"/>
    <mergeCell ref="TKE355:TKF355"/>
    <mergeCell ref="TKG355:TKH355"/>
    <mergeCell ref="TKI355:TKJ355"/>
    <mergeCell ref="TKK355:TKL355"/>
    <mergeCell ref="TJC355:TJD355"/>
    <mergeCell ref="TJE355:TJF355"/>
    <mergeCell ref="TJG355:TJH355"/>
    <mergeCell ref="TJI355:TJJ355"/>
    <mergeCell ref="TJK355:TJL355"/>
    <mergeCell ref="TJM355:TJN355"/>
    <mergeCell ref="TJO355:TJP355"/>
    <mergeCell ref="TJQ355:TJR355"/>
    <mergeCell ref="TJS355:TJT355"/>
    <mergeCell ref="TLE355:TLF355"/>
    <mergeCell ref="TLG355:TLH355"/>
    <mergeCell ref="TLI355:TLJ355"/>
    <mergeCell ref="TLK355:TLL355"/>
    <mergeCell ref="TLM355:TLN355"/>
    <mergeCell ref="TLO355:TLP355"/>
    <mergeCell ref="TLQ355:TLR355"/>
    <mergeCell ref="TLS355:TLT355"/>
    <mergeCell ref="TLU355:TLV355"/>
    <mergeCell ref="TKM355:TKN355"/>
    <mergeCell ref="TKO355:TKP355"/>
    <mergeCell ref="TKQ355:TKR355"/>
    <mergeCell ref="TKS355:TKT355"/>
    <mergeCell ref="TKU355:TKV355"/>
    <mergeCell ref="TKW355:TKX355"/>
    <mergeCell ref="TKY355:TKZ355"/>
    <mergeCell ref="TLA355:TLB355"/>
    <mergeCell ref="TLC355:TLD355"/>
    <mergeCell ref="TMO355:TMP355"/>
    <mergeCell ref="TMQ355:TMR355"/>
    <mergeCell ref="TMS355:TMT355"/>
    <mergeCell ref="TMU355:TMV355"/>
    <mergeCell ref="TMW355:TMX355"/>
    <mergeCell ref="TMY355:TMZ355"/>
    <mergeCell ref="TNA355:TNB355"/>
    <mergeCell ref="TNC355:TND355"/>
    <mergeCell ref="TNE355:TNF355"/>
    <mergeCell ref="TLW355:TLX355"/>
    <mergeCell ref="TLY355:TLZ355"/>
    <mergeCell ref="TMA355:TMB355"/>
    <mergeCell ref="TMC355:TMD355"/>
    <mergeCell ref="TME355:TMF355"/>
    <mergeCell ref="TMG355:TMH355"/>
    <mergeCell ref="TMI355:TMJ355"/>
    <mergeCell ref="TMK355:TML355"/>
    <mergeCell ref="TMM355:TMN355"/>
    <mergeCell ref="TNY355:TNZ355"/>
    <mergeCell ref="TOA355:TOB355"/>
    <mergeCell ref="TOC355:TOD355"/>
    <mergeCell ref="TOE355:TOF355"/>
    <mergeCell ref="TOG355:TOH355"/>
    <mergeCell ref="TOI355:TOJ355"/>
    <mergeCell ref="TOK355:TOL355"/>
    <mergeCell ref="TOM355:TON355"/>
    <mergeCell ref="TOO355:TOP355"/>
    <mergeCell ref="TNG355:TNH355"/>
    <mergeCell ref="TNI355:TNJ355"/>
    <mergeCell ref="TNK355:TNL355"/>
    <mergeCell ref="TNM355:TNN355"/>
    <mergeCell ref="TNO355:TNP355"/>
    <mergeCell ref="TNQ355:TNR355"/>
    <mergeCell ref="TNS355:TNT355"/>
    <mergeCell ref="TNU355:TNV355"/>
    <mergeCell ref="TNW355:TNX355"/>
    <mergeCell ref="TPI355:TPJ355"/>
    <mergeCell ref="TPK355:TPL355"/>
    <mergeCell ref="TPM355:TPN355"/>
    <mergeCell ref="TPO355:TPP355"/>
    <mergeCell ref="TPQ355:TPR355"/>
    <mergeCell ref="TPS355:TPT355"/>
    <mergeCell ref="TPU355:TPV355"/>
    <mergeCell ref="TPW355:TPX355"/>
    <mergeCell ref="TPY355:TPZ355"/>
    <mergeCell ref="TOQ355:TOR355"/>
    <mergeCell ref="TOS355:TOT355"/>
    <mergeCell ref="TOU355:TOV355"/>
    <mergeCell ref="TOW355:TOX355"/>
    <mergeCell ref="TOY355:TOZ355"/>
    <mergeCell ref="TPA355:TPB355"/>
    <mergeCell ref="TPC355:TPD355"/>
    <mergeCell ref="TPE355:TPF355"/>
    <mergeCell ref="TPG355:TPH355"/>
    <mergeCell ref="TQS355:TQT355"/>
    <mergeCell ref="TQU355:TQV355"/>
    <mergeCell ref="TQW355:TQX355"/>
    <mergeCell ref="TQY355:TQZ355"/>
    <mergeCell ref="TRA355:TRB355"/>
    <mergeCell ref="TRC355:TRD355"/>
    <mergeCell ref="TRE355:TRF355"/>
    <mergeCell ref="TRG355:TRH355"/>
    <mergeCell ref="TRI355:TRJ355"/>
    <mergeCell ref="TQA355:TQB355"/>
    <mergeCell ref="TQC355:TQD355"/>
    <mergeCell ref="TQE355:TQF355"/>
    <mergeCell ref="TQG355:TQH355"/>
    <mergeCell ref="TQI355:TQJ355"/>
    <mergeCell ref="TQK355:TQL355"/>
    <mergeCell ref="TQM355:TQN355"/>
    <mergeCell ref="TQO355:TQP355"/>
    <mergeCell ref="TQQ355:TQR355"/>
    <mergeCell ref="TSC355:TSD355"/>
    <mergeCell ref="TSE355:TSF355"/>
    <mergeCell ref="TSG355:TSH355"/>
    <mergeCell ref="TSI355:TSJ355"/>
    <mergeCell ref="TSK355:TSL355"/>
    <mergeCell ref="TSM355:TSN355"/>
    <mergeCell ref="TSO355:TSP355"/>
    <mergeCell ref="TSQ355:TSR355"/>
    <mergeCell ref="TSS355:TST355"/>
    <mergeCell ref="TRK355:TRL355"/>
    <mergeCell ref="TRM355:TRN355"/>
    <mergeCell ref="TRO355:TRP355"/>
    <mergeCell ref="TRQ355:TRR355"/>
    <mergeCell ref="TRS355:TRT355"/>
    <mergeCell ref="TRU355:TRV355"/>
    <mergeCell ref="TRW355:TRX355"/>
    <mergeCell ref="TRY355:TRZ355"/>
    <mergeCell ref="TSA355:TSB355"/>
    <mergeCell ref="TTM355:TTN355"/>
    <mergeCell ref="TTO355:TTP355"/>
    <mergeCell ref="TTQ355:TTR355"/>
    <mergeCell ref="TTS355:TTT355"/>
    <mergeCell ref="TTU355:TTV355"/>
    <mergeCell ref="TTW355:TTX355"/>
    <mergeCell ref="TTY355:TTZ355"/>
    <mergeCell ref="TUA355:TUB355"/>
    <mergeCell ref="TUC355:TUD355"/>
    <mergeCell ref="TSU355:TSV355"/>
    <mergeCell ref="TSW355:TSX355"/>
    <mergeCell ref="TSY355:TSZ355"/>
    <mergeCell ref="TTA355:TTB355"/>
    <mergeCell ref="TTC355:TTD355"/>
    <mergeCell ref="TTE355:TTF355"/>
    <mergeCell ref="TTG355:TTH355"/>
    <mergeCell ref="TTI355:TTJ355"/>
    <mergeCell ref="TTK355:TTL355"/>
    <mergeCell ref="TUW355:TUX355"/>
    <mergeCell ref="TUY355:TUZ355"/>
    <mergeCell ref="TVA355:TVB355"/>
    <mergeCell ref="TVC355:TVD355"/>
    <mergeCell ref="TVE355:TVF355"/>
    <mergeCell ref="TVG355:TVH355"/>
    <mergeCell ref="TVI355:TVJ355"/>
    <mergeCell ref="TVK355:TVL355"/>
    <mergeCell ref="TVM355:TVN355"/>
    <mergeCell ref="TUE355:TUF355"/>
    <mergeCell ref="TUG355:TUH355"/>
    <mergeCell ref="TUI355:TUJ355"/>
    <mergeCell ref="TUK355:TUL355"/>
    <mergeCell ref="TUM355:TUN355"/>
    <mergeCell ref="TUO355:TUP355"/>
    <mergeCell ref="TUQ355:TUR355"/>
    <mergeCell ref="TUS355:TUT355"/>
    <mergeCell ref="TUU355:TUV355"/>
    <mergeCell ref="TWG355:TWH355"/>
    <mergeCell ref="TWI355:TWJ355"/>
    <mergeCell ref="TWK355:TWL355"/>
    <mergeCell ref="TWM355:TWN355"/>
    <mergeCell ref="TWO355:TWP355"/>
    <mergeCell ref="TWQ355:TWR355"/>
    <mergeCell ref="TWS355:TWT355"/>
    <mergeCell ref="TWU355:TWV355"/>
    <mergeCell ref="TWW355:TWX355"/>
    <mergeCell ref="TVO355:TVP355"/>
    <mergeCell ref="TVQ355:TVR355"/>
    <mergeCell ref="TVS355:TVT355"/>
    <mergeCell ref="TVU355:TVV355"/>
    <mergeCell ref="TVW355:TVX355"/>
    <mergeCell ref="TVY355:TVZ355"/>
    <mergeCell ref="TWA355:TWB355"/>
    <mergeCell ref="TWC355:TWD355"/>
    <mergeCell ref="TWE355:TWF355"/>
    <mergeCell ref="TXQ355:TXR355"/>
    <mergeCell ref="TXS355:TXT355"/>
    <mergeCell ref="TXU355:TXV355"/>
    <mergeCell ref="TXW355:TXX355"/>
    <mergeCell ref="TXY355:TXZ355"/>
    <mergeCell ref="TYA355:TYB355"/>
    <mergeCell ref="TYC355:TYD355"/>
    <mergeCell ref="TYE355:TYF355"/>
    <mergeCell ref="TYG355:TYH355"/>
    <mergeCell ref="TWY355:TWZ355"/>
    <mergeCell ref="TXA355:TXB355"/>
    <mergeCell ref="TXC355:TXD355"/>
    <mergeCell ref="TXE355:TXF355"/>
    <mergeCell ref="TXG355:TXH355"/>
    <mergeCell ref="TXI355:TXJ355"/>
    <mergeCell ref="TXK355:TXL355"/>
    <mergeCell ref="TXM355:TXN355"/>
    <mergeCell ref="TXO355:TXP355"/>
    <mergeCell ref="TZA355:TZB355"/>
    <mergeCell ref="TZC355:TZD355"/>
    <mergeCell ref="TZE355:TZF355"/>
    <mergeCell ref="TZG355:TZH355"/>
    <mergeCell ref="TZI355:TZJ355"/>
    <mergeCell ref="TZK355:TZL355"/>
    <mergeCell ref="TZM355:TZN355"/>
    <mergeCell ref="TZO355:TZP355"/>
    <mergeCell ref="TZQ355:TZR355"/>
    <mergeCell ref="TYI355:TYJ355"/>
    <mergeCell ref="TYK355:TYL355"/>
    <mergeCell ref="TYM355:TYN355"/>
    <mergeCell ref="TYO355:TYP355"/>
    <mergeCell ref="TYQ355:TYR355"/>
    <mergeCell ref="TYS355:TYT355"/>
    <mergeCell ref="TYU355:TYV355"/>
    <mergeCell ref="TYW355:TYX355"/>
    <mergeCell ref="TYY355:TYZ355"/>
    <mergeCell ref="UAK355:UAL355"/>
    <mergeCell ref="UAM355:UAN355"/>
    <mergeCell ref="UAO355:UAP355"/>
    <mergeCell ref="UAQ355:UAR355"/>
    <mergeCell ref="UAS355:UAT355"/>
    <mergeCell ref="UAU355:UAV355"/>
    <mergeCell ref="UAW355:UAX355"/>
    <mergeCell ref="UAY355:UAZ355"/>
    <mergeCell ref="UBA355:UBB355"/>
    <mergeCell ref="TZS355:TZT355"/>
    <mergeCell ref="TZU355:TZV355"/>
    <mergeCell ref="TZW355:TZX355"/>
    <mergeCell ref="TZY355:TZZ355"/>
    <mergeCell ref="UAA355:UAB355"/>
    <mergeCell ref="UAC355:UAD355"/>
    <mergeCell ref="UAE355:UAF355"/>
    <mergeCell ref="UAG355:UAH355"/>
    <mergeCell ref="UAI355:UAJ355"/>
    <mergeCell ref="UBU355:UBV355"/>
    <mergeCell ref="UBW355:UBX355"/>
    <mergeCell ref="UBY355:UBZ355"/>
    <mergeCell ref="UCA355:UCB355"/>
    <mergeCell ref="UCC355:UCD355"/>
    <mergeCell ref="UCE355:UCF355"/>
    <mergeCell ref="UCG355:UCH355"/>
    <mergeCell ref="UCI355:UCJ355"/>
    <mergeCell ref="UCK355:UCL355"/>
    <mergeCell ref="UBC355:UBD355"/>
    <mergeCell ref="UBE355:UBF355"/>
    <mergeCell ref="UBG355:UBH355"/>
    <mergeCell ref="UBI355:UBJ355"/>
    <mergeCell ref="UBK355:UBL355"/>
    <mergeCell ref="UBM355:UBN355"/>
    <mergeCell ref="UBO355:UBP355"/>
    <mergeCell ref="UBQ355:UBR355"/>
    <mergeCell ref="UBS355:UBT355"/>
    <mergeCell ref="UDE355:UDF355"/>
    <mergeCell ref="UDG355:UDH355"/>
    <mergeCell ref="UDI355:UDJ355"/>
    <mergeCell ref="UDK355:UDL355"/>
    <mergeCell ref="UDM355:UDN355"/>
    <mergeCell ref="UDO355:UDP355"/>
    <mergeCell ref="UDQ355:UDR355"/>
    <mergeCell ref="UDS355:UDT355"/>
    <mergeCell ref="UDU355:UDV355"/>
    <mergeCell ref="UCM355:UCN355"/>
    <mergeCell ref="UCO355:UCP355"/>
    <mergeCell ref="UCQ355:UCR355"/>
    <mergeCell ref="UCS355:UCT355"/>
    <mergeCell ref="UCU355:UCV355"/>
    <mergeCell ref="UCW355:UCX355"/>
    <mergeCell ref="UCY355:UCZ355"/>
    <mergeCell ref="UDA355:UDB355"/>
    <mergeCell ref="UDC355:UDD355"/>
    <mergeCell ref="UEO355:UEP355"/>
    <mergeCell ref="UEQ355:UER355"/>
    <mergeCell ref="UES355:UET355"/>
    <mergeCell ref="UEU355:UEV355"/>
    <mergeCell ref="UEW355:UEX355"/>
    <mergeCell ref="UEY355:UEZ355"/>
    <mergeCell ref="UFA355:UFB355"/>
    <mergeCell ref="UFC355:UFD355"/>
    <mergeCell ref="UFE355:UFF355"/>
    <mergeCell ref="UDW355:UDX355"/>
    <mergeCell ref="UDY355:UDZ355"/>
    <mergeCell ref="UEA355:UEB355"/>
    <mergeCell ref="UEC355:UED355"/>
    <mergeCell ref="UEE355:UEF355"/>
    <mergeCell ref="UEG355:UEH355"/>
    <mergeCell ref="UEI355:UEJ355"/>
    <mergeCell ref="UEK355:UEL355"/>
    <mergeCell ref="UEM355:UEN355"/>
    <mergeCell ref="UFY355:UFZ355"/>
    <mergeCell ref="UGA355:UGB355"/>
    <mergeCell ref="UGC355:UGD355"/>
    <mergeCell ref="UGE355:UGF355"/>
    <mergeCell ref="UGG355:UGH355"/>
    <mergeCell ref="UGI355:UGJ355"/>
    <mergeCell ref="UGK355:UGL355"/>
    <mergeCell ref="UGM355:UGN355"/>
    <mergeCell ref="UGO355:UGP355"/>
    <mergeCell ref="UFG355:UFH355"/>
    <mergeCell ref="UFI355:UFJ355"/>
    <mergeCell ref="UFK355:UFL355"/>
    <mergeCell ref="UFM355:UFN355"/>
    <mergeCell ref="UFO355:UFP355"/>
    <mergeCell ref="UFQ355:UFR355"/>
    <mergeCell ref="UFS355:UFT355"/>
    <mergeCell ref="UFU355:UFV355"/>
    <mergeCell ref="UFW355:UFX355"/>
    <mergeCell ref="UHI355:UHJ355"/>
    <mergeCell ref="UHK355:UHL355"/>
    <mergeCell ref="UHM355:UHN355"/>
    <mergeCell ref="UHO355:UHP355"/>
    <mergeCell ref="UHQ355:UHR355"/>
    <mergeCell ref="UHS355:UHT355"/>
    <mergeCell ref="UHU355:UHV355"/>
    <mergeCell ref="UHW355:UHX355"/>
    <mergeCell ref="UHY355:UHZ355"/>
    <mergeCell ref="UGQ355:UGR355"/>
    <mergeCell ref="UGS355:UGT355"/>
    <mergeCell ref="UGU355:UGV355"/>
    <mergeCell ref="UGW355:UGX355"/>
    <mergeCell ref="UGY355:UGZ355"/>
    <mergeCell ref="UHA355:UHB355"/>
    <mergeCell ref="UHC355:UHD355"/>
    <mergeCell ref="UHE355:UHF355"/>
    <mergeCell ref="UHG355:UHH355"/>
    <mergeCell ref="UIS355:UIT355"/>
    <mergeCell ref="UIU355:UIV355"/>
    <mergeCell ref="UIW355:UIX355"/>
    <mergeCell ref="UIY355:UIZ355"/>
    <mergeCell ref="UJA355:UJB355"/>
    <mergeCell ref="UJC355:UJD355"/>
    <mergeCell ref="UJE355:UJF355"/>
    <mergeCell ref="UJG355:UJH355"/>
    <mergeCell ref="UJI355:UJJ355"/>
    <mergeCell ref="UIA355:UIB355"/>
    <mergeCell ref="UIC355:UID355"/>
    <mergeCell ref="UIE355:UIF355"/>
    <mergeCell ref="UIG355:UIH355"/>
    <mergeCell ref="UII355:UIJ355"/>
    <mergeCell ref="UIK355:UIL355"/>
    <mergeCell ref="UIM355:UIN355"/>
    <mergeCell ref="UIO355:UIP355"/>
    <mergeCell ref="UIQ355:UIR355"/>
    <mergeCell ref="UKC355:UKD355"/>
    <mergeCell ref="UKE355:UKF355"/>
    <mergeCell ref="UKG355:UKH355"/>
    <mergeCell ref="UKI355:UKJ355"/>
    <mergeCell ref="UKK355:UKL355"/>
    <mergeCell ref="UKM355:UKN355"/>
    <mergeCell ref="UKO355:UKP355"/>
    <mergeCell ref="UKQ355:UKR355"/>
    <mergeCell ref="UKS355:UKT355"/>
    <mergeCell ref="UJK355:UJL355"/>
    <mergeCell ref="UJM355:UJN355"/>
    <mergeCell ref="UJO355:UJP355"/>
    <mergeCell ref="UJQ355:UJR355"/>
    <mergeCell ref="UJS355:UJT355"/>
    <mergeCell ref="UJU355:UJV355"/>
    <mergeCell ref="UJW355:UJX355"/>
    <mergeCell ref="UJY355:UJZ355"/>
    <mergeCell ref="UKA355:UKB355"/>
    <mergeCell ref="ULM355:ULN355"/>
    <mergeCell ref="ULO355:ULP355"/>
    <mergeCell ref="ULQ355:ULR355"/>
    <mergeCell ref="ULS355:ULT355"/>
    <mergeCell ref="ULU355:ULV355"/>
    <mergeCell ref="ULW355:ULX355"/>
    <mergeCell ref="ULY355:ULZ355"/>
    <mergeCell ref="UMA355:UMB355"/>
    <mergeCell ref="UMC355:UMD355"/>
    <mergeCell ref="UKU355:UKV355"/>
    <mergeCell ref="UKW355:UKX355"/>
    <mergeCell ref="UKY355:UKZ355"/>
    <mergeCell ref="ULA355:ULB355"/>
    <mergeCell ref="ULC355:ULD355"/>
    <mergeCell ref="ULE355:ULF355"/>
    <mergeCell ref="ULG355:ULH355"/>
    <mergeCell ref="ULI355:ULJ355"/>
    <mergeCell ref="ULK355:ULL355"/>
    <mergeCell ref="UMW355:UMX355"/>
    <mergeCell ref="UMY355:UMZ355"/>
    <mergeCell ref="UNA355:UNB355"/>
    <mergeCell ref="UNC355:UND355"/>
    <mergeCell ref="UNE355:UNF355"/>
    <mergeCell ref="UNG355:UNH355"/>
    <mergeCell ref="UNI355:UNJ355"/>
    <mergeCell ref="UNK355:UNL355"/>
    <mergeCell ref="UNM355:UNN355"/>
    <mergeCell ref="UME355:UMF355"/>
    <mergeCell ref="UMG355:UMH355"/>
    <mergeCell ref="UMI355:UMJ355"/>
    <mergeCell ref="UMK355:UML355"/>
    <mergeCell ref="UMM355:UMN355"/>
    <mergeCell ref="UMO355:UMP355"/>
    <mergeCell ref="UMQ355:UMR355"/>
    <mergeCell ref="UMS355:UMT355"/>
    <mergeCell ref="UMU355:UMV355"/>
    <mergeCell ref="UOG355:UOH355"/>
    <mergeCell ref="UOI355:UOJ355"/>
    <mergeCell ref="UOK355:UOL355"/>
    <mergeCell ref="UOM355:UON355"/>
    <mergeCell ref="UOO355:UOP355"/>
    <mergeCell ref="UOQ355:UOR355"/>
    <mergeCell ref="UOS355:UOT355"/>
    <mergeCell ref="UOU355:UOV355"/>
    <mergeCell ref="UOW355:UOX355"/>
    <mergeCell ref="UNO355:UNP355"/>
    <mergeCell ref="UNQ355:UNR355"/>
    <mergeCell ref="UNS355:UNT355"/>
    <mergeCell ref="UNU355:UNV355"/>
    <mergeCell ref="UNW355:UNX355"/>
    <mergeCell ref="UNY355:UNZ355"/>
    <mergeCell ref="UOA355:UOB355"/>
    <mergeCell ref="UOC355:UOD355"/>
    <mergeCell ref="UOE355:UOF355"/>
    <mergeCell ref="UPQ355:UPR355"/>
    <mergeCell ref="UPS355:UPT355"/>
    <mergeCell ref="UPU355:UPV355"/>
    <mergeCell ref="UPW355:UPX355"/>
    <mergeCell ref="UPY355:UPZ355"/>
    <mergeCell ref="UQA355:UQB355"/>
    <mergeCell ref="UQC355:UQD355"/>
    <mergeCell ref="UQE355:UQF355"/>
    <mergeCell ref="UQG355:UQH355"/>
    <mergeCell ref="UOY355:UOZ355"/>
    <mergeCell ref="UPA355:UPB355"/>
    <mergeCell ref="UPC355:UPD355"/>
    <mergeCell ref="UPE355:UPF355"/>
    <mergeCell ref="UPG355:UPH355"/>
    <mergeCell ref="UPI355:UPJ355"/>
    <mergeCell ref="UPK355:UPL355"/>
    <mergeCell ref="UPM355:UPN355"/>
    <mergeCell ref="UPO355:UPP355"/>
    <mergeCell ref="URA355:URB355"/>
    <mergeCell ref="URC355:URD355"/>
    <mergeCell ref="URE355:URF355"/>
    <mergeCell ref="URG355:URH355"/>
    <mergeCell ref="URI355:URJ355"/>
    <mergeCell ref="URK355:URL355"/>
    <mergeCell ref="URM355:URN355"/>
    <mergeCell ref="URO355:URP355"/>
    <mergeCell ref="URQ355:URR355"/>
    <mergeCell ref="UQI355:UQJ355"/>
    <mergeCell ref="UQK355:UQL355"/>
    <mergeCell ref="UQM355:UQN355"/>
    <mergeCell ref="UQO355:UQP355"/>
    <mergeCell ref="UQQ355:UQR355"/>
    <mergeCell ref="UQS355:UQT355"/>
    <mergeCell ref="UQU355:UQV355"/>
    <mergeCell ref="UQW355:UQX355"/>
    <mergeCell ref="UQY355:UQZ355"/>
    <mergeCell ref="USK355:USL355"/>
    <mergeCell ref="USM355:USN355"/>
    <mergeCell ref="USO355:USP355"/>
    <mergeCell ref="USQ355:USR355"/>
    <mergeCell ref="USS355:UST355"/>
    <mergeCell ref="USU355:USV355"/>
    <mergeCell ref="USW355:USX355"/>
    <mergeCell ref="USY355:USZ355"/>
    <mergeCell ref="UTA355:UTB355"/>
    <mergeCell ref="URS355:URT355"/>
    <mergeCell ref="URU355:URV355"/>
    <mergeCell ref="URW355:URX355"/>
    <mergeCell ref="URY355:URZ355"/>
    <mergeCell ref="USA355:USB355"/>
    <mergeCell ref="USC355:USD355"/>
    <mergeCell ref="USE355:USF355"/>
    <mergeCell ref="USG355:USH355"/>
    <mergeCell ref="USI355:USJ355"/>
    <mergeCell ref="UTU355:UTV355"/>
    <mergeCell ref="UTW355:UTX355"/>
    <mergeCell ref="UTY355:UTZ355"/>
    <mergeCell ref="UUA355:UUB355"/>
    <mergeCell ref="UUC355:UUD355"/>
    <mergeCell ref="UUE355:UUF355"/>
    <mergeCell ref="UUG355:UUH355"/>
    <mergeCell ref="UUI355:UUJ355"/>
    <mergeCell ref="UUK355:UUL355"/>
    <mergeCell ref="UTC355:UTD355"/>
    <mergeCell ref="UTE355:UTF355"/>
    <mergeCell ref="UTG355:UTH355"/>
    <mergeCell ref="UTI355:UTJ355"/>
    <mergeCell ref="UTK355:UTL355"/>
    <mergeCell ref="UTM355:UTN355"/>
    <mergeCell ref="UTO355:UTP355"/>
    <mergeCell ref="UTQ355:UTR355"/>
    <mergeCell ref="UTS355:UTT355"/>
    <mergeCell ref="UVE355:UVF355"/>
    <mergeCell ref="UVG355:UVH355"/>
    <mergeCell ref="UVI355:UVJ355"/>
    <mergeCell ref="UVK355:UVL355"/>
    <mergeCell ref="UVM355:UVN355"/>
    <mergeCell ref="UVO355:UVP355"/>
    <mergeCell ref="UVQ355:UVR355"/>
    <mergeCell ref="UVS355:UVT355"/>
    <mergeCell ref="UVU355:UVV355"/>
    <mergeCell ref="UUM355:UUN355"/>
    <mergeCell ref="UUO355:UUP355"/>
    <mergeCell ref="UUQ355:UUR355"/>
    <mergeCell ref="UUS355:UUT355"/>
    <mergeCell ref="UUU355:UUV355"/>
    <mergeCell ref="UUW355:UUX355"/>
    <mergeCell ref="UUY355:UUZ355"/>
    <mergeCell ref="UVA355:UVB355"/>
    <mergeCell ref="UVC355:UVD355"/>
    <mergeCell ref="UWO355:UWP355"/>
    <mergeCell ref="UWQ355:UWR355"/>
    <mergeCell ref="UWS355:UWT355"/>
    <mergeCell ref="UWU355:UWV355"/>
    <mergeCell ref="UWW355:UWX355"/>
    <mergeCell ref="UWY355:UWZ355"/>
    <mergeCell ref="UXA355:UXB355"/>
    <mergeCell ref="UXC355:UXD355"/>
    <mergeCell ref="UXE355:UXF355"/>
    <mergeCell ref="UVW355:UVX355"/>
    <mergeCell ref="UVY355:UVZ355"/>
    <mergeCell ref="UWA355:UWB355"/>
    <mergeCell ref="UWC355:UWD355"/>
    <mergeCell ref="UWE355:UWF355"/>
    <mergeCell ref="UWG355:UWH355"/>
    <mergeCell ref="UWI355:UWJ355"/>
    <mergeCell ref="UWK355:UWL355"/>
    <mergeCell ref="UWM355:UWN355"/>
    <mergeCell ref="UXY355:UXZ355"/>
    <mergeCell ref="UYA355:UYB355"/>
    <mergeCell ref="UYC355:UYD355"/>
    <mergeCell ref="UYE355:UYF355"/>
    <mergeCell ref="UYG355:UYH355"/>
    <mergeCell ref="UYI355:UYJ355"/>
    <mergeCell ref="UYK355:UYL355"/>
    <mergeCell ref="UYM355:UYN355"/>
    <mergeCell ref="UYO355:UYP355"/>
    <mergeCell ref="UXG355:UXH355"/>
    <mergeCell ref="UXI355:UXJ355"/>
    <mergeCell ref="UXK355:UXL355"/>
    <mergeCell ref="UXM355:UXN355"/>
    <mergeCell ref="UXO355:UXP355"/>
    <mergeCell ref="UXQ355:UXR355"/>
    <mergeCell ref="UXS355:UXT355"/>
    <mergeCell ref="UXU355:UXV355"/>
    <mergeCell ref="UXW355:UXX355"/>
    <mergeCell ref="UZI355:UZJ355"/>
    <mergeCell ref="UZK355:UZL355"/>
    <mergeCell ref="UZM355:UZN355"/>
    <mergeCell ref="UZO355:UZP355"/>
    <mergeCell ref="UZQ355:UZR355"/>
    <mergeCell ref="UZS355:UZT355"/>
    <mergeCell ref="UZU355:UZV355"/>
    <mergeCell ref="UZW355:UZX355"/>
    <mergeCell ref="UZY355:UZZ355"/>
    <mergeCell ref="UYQ355:UYR355"/>
    <mergeCell ref="UYS355:UYT355"/>
    <mergeCell ref="UYU355:UYV355"/>
    <mergeCell ref="UYW355:UYX355"/>
    <mergeCell ref="UYY355:UYZ355"/>
    <mergeCell ref="UZA355:UZB355"/>
    <mergeCell ref="UZC355:UZD355"/>
    <mergeCell ref="UZE355:UZF355"/>
    <mergeCell ref="UZG355:UZH355"/>
    <mergeCell ref="VAS355:VAT355"/>
    <mergeCell ref="VAU355:VAV355"/>
    <mergeCell ref="VAW355:VAX355"/>
    <mergeCell ref="VAY355:VAZ355"/>
    <mergeCell ref="VBA355:VBB355"/>
    <mergeCell ref="VBC355:VBD355"/>
    <mergeCell ref="VBE355:VBF355"/>
    <mergeCell ref="VBG355:VBH355"/>
    <mergeCell ref="VBI355:VBJ355"/>
    <mergeCell ref="VAA355:VAB355"/>
    <mergeCell ref="VAC355:VAD355"/>
    <mergeCell ref="VAE355:VAF355"/>
    <mergeCell ref="VAG355:VAH355"/>
    <mergeCell ref="VAI355:VAJ355"/>
    <mergeCell ref="VAK355:VAL355"/>
    <mergeCell ref="VAM355:VAN355"/>
    <mergeCell ref="VAO355:VAP355"/>
    <mergeCell ref="VAQ355:VAR355"/>
    <mergeCell ref="VCC355:VCD355"/>
    <mergeCell ref="VCE355:VCF355"/>
    <mergeCell ref="VCG355:VCH355"/>
    <mergeCell ref="VCI355:VCJ355"/>
    <mergeCell ref="VCK355:VCL355"/>
    <mergeCell ref="VCM355:VCN355"/>
    <mergeCell ref="VCO355:VCP355"/>
    <mergeCell ref="VCQ355:VCR355"/>
    <mergeCell ref="VCS355:VCT355"/>
    <mergeCell ref="VBK355:VBL355"/>
    <mergeCell ref="VBM355:VBN355"/>
    <mergeCell ref="VBO355:VBP355"/>
    <mergeCell ref="VBQ355:VBR355"/>
    <mergeCell ref="VBS355:VBT355"/>
    <mergeCell ref="VBU355:VBV355"/>
    <mergeCell ref="VBW355:VBX355"/>
    <mergeCell ref="VBY355:VBZ355"/>
    <mergeCell ref="VCA355:VCB355"/>
    <mergeCell ref="VDM355:VDN355"/>
    <mergeCell ref="VDO355:VDP355"/>
    <mergeCell ref="VDQ355:VDR355"/>
    <mergeCell ref="VDS355:VDT355"/>
    <mergeCell ref="VDU355:VDV355"/>
    <mergeCell ref="VDW355:VDX355"/>
    <mergeCell ref="VDY355:VDZ355"/>
    <mergeCell ref="VEA355:VEB355"/>
    <mergeCell ref="VEC355:VED355"/>
    <mergeCell ref="VCU355:VCV355"/>
    <mergeCell ref="VCW355:VCX355"/>
    <mergeCell ref="VCY355:VCZ355"/>
    <mergeCell ref="VDA355:VDB355"/>
    <mergeCell ref="VDC355:VDD355"/>
    <mergeCell ref="VDE355:VDF355"/>
    <mergeCell ref="VDG355:VDH355"/>
    <mergeCell ref="VDI355:VDJ355"/>
    <mergeCell ref="VDK355:VDL355"/>
    <mergeCell ref="VEW355:VEX355"/>
    <mergeCell ref="VEY355:VEZ355"/>
    <mergeCell ref="VFA355:VFB355"/>
    <mergeCell ref="VFC355:VFD355"/>
    <mergeCell ref="VFE355:VFF355"/>
    <mergeCell ref="VFG355:VFH355"/>
    <mergeCell ref="VFI355:VFJ355"/>
    <mergeCell ref="VFK355:VFL355"/>
    <mergeCell ref="VFM355:VFN355"/>
    <mergeCell ref="VEE355:VEF355"/>
    <mergeCell ref="VEG355:VEH355"/>
    <mergeCell ref="VEI355:VEJ355"/>
    <mergeCell ref="VEK355:VEL355"/>
    <mergeCell ref="VEM355:VEN355"/>
    <mergeCell ref="VEO355:VEP355"/>
    <mergeCell ref="VEQ355:VER355"/>
    <mergeCell ref="VES355:VET355"/>
    <mergeCell ref="VEU355:VEV355"/>
    <mergeCell ref="VGG355:VGH355"/>
    <mergeCell ref="VGI355:VGJ355"/>
    <mergeCell ref="VGK355:VGL355"/>
    <mergeCell ref="VGM355:VGN355"/>
    <mergeCell ref="VGO355:VGP355"/>
    <mergeCell ref="VGQ355:VGR355"/>
    <mergeCell ref="VGS355:VGT355"/>
    <mergeCell ref="VGU355:VGV355"/>
    <mergeCell ref="VGW355:VGX355"/>
    <mergeCell ref="VFO355:VFP355"/>
    <mergeCell ref="VFQ355:VFR355"/>
    <mergeCell ref="VFS355:VFT355"/>
    <mergeCell ref="VFU355:VFV355"/>
    <mergeCell ref="VFW355:VFX355"/>
    <mergeCell ref="VFY355:VFZ355"/>
    <mergeCell ref="VGA355:VGB355"/>
    <mergeCell ref="VGC355:VGD355"/>
    <mergeCell ref="VGE355:VGF355"/>
    <mergeCell ref="VHQ355:VHR355"/>
    <mergeCell ref="VHS355:VHT355"/>
    <mergeCell ref="VHU355:VHV355"/>
    <mergeCell ref="VHW355:VHX355"/>
    <mergeCell ref="VHY355:VHZ355"/>
    <mergeCell ref="VIA355:VIB355"/>
    <mergeCell ref="VIC355:VID355"/>
    <mergeCell ref="VIE355:VIF355"/>
    <mergeCell ref="VIG355:VIH355"/>
    <mergeCell ref="VGY355:VGZ355"/>
    <mergeCell ref="VHA355:VHB355"/>
    <mergeCell ref="VHC355:VHD355"/>
    <mergeCell ref="VHE355:VHF355"/>
    <mergeCell ref="VHG355:VHH355"/>
    <mergeCell ref="VHI355:VHJ355"/>
    <mergeCell ref="VHK355:VHL355"/>
    <mergeCell ref="VHM355:VHN355"/>
    <mergeCell ref="VHO355:VHP355"/>
    <mergeCell ref="VJA355:VJB355"/>
    <mergeCell ref="VJC355:VJD355"/>
    <mergeCell ref="VJE355:VJF355"/>
    <mergeCell ref="VJG355:VJH355"/>
    <mergeCell ref="VJI355:VJJ355"/>
    <mergeCell ref="VJK355:VJL355"/>
    <mergeCell ref="VJM355:VJN355"/>
    <mergeCell ref="VJO355:VJP355"/>
    <mergeCell ref="VJQ355:VJR355"/>
    <mergeCell ref="VII355:VIJ355"/>
    <mergeCell ref="VIK355:VIL355"/>
    <mergeCell ref="VIM355:VIN355"/>
    <mergeCell ref="VIO355:VIP355"/>
    <mergeCell ref="VIQ355:VIR355"/>
    <mergeCell ref="VIS355:VIT355"/>
    <mergeCell ref="VIU355:VIV355"/>
    <mergeCell ref="VIW355:VIX355"/>
    <mergeCell ref="VIY355:VIZ355"/>
    <mergeCell ref="VKK355:VKL355"/>
    <mergeCell ref="VKM355:VKN355"/>
    <mergeCell ref="VKO355:VKP355"/>
    <mergeCell ref="VKQ355:VKR355"/>
    <mergeCell ref="VKS355:VKT355"/>
    <mergeCell ref="VKU355:VKV355"/>
    <mergeCell ref="VKW355:VKX355"/>
    <mergeCell ref="VKY355:VKZ355"/>
    <mergeCell ref="VLA355:VLB355"/>
    <mergeCell ref="VJS355:VJT355"/>
    <mergeCell ref="VJU355:VJV355"/>
    <mergeCell ref="VJW355:VJX355"/>
    <mergeCell ref="VJY355:VJZ355"/>
    <mergeCell ref="VKA355:VKB355"/>
    <mergeCell ref="VKC355:VKD355"/>
    <mergeCell ref="VKE355:VKF355"/>
    <mergeCell ref="VKG355:VKH355"/>
    <mergeCell ref="VKI355:VKJ355"/>
    <mergeCell ref="VLU355:VLV355"/>
    <mergeCell ref="VLW355:VLX355"/>
    <mergeCell ref="VLY355:VLZ355"/>
    <mergeCell ref="VMA355:VMB355"/>
    <mergeCell ref="VMC355:VMD355"/>
    <mergeCell ref="VME355:VMF355"/>
    <mergeCell ref="VMG355:VMH355"/>
    <mergeCell ref="VMI355:VMJ355"/>
    <mergeCell ref="VMK355:VML355"/>
    <mergeCell ref="VLC355:VLD355"/>
    <mergeCell ref="VLE355:VLF355"/>
    <mergeCell ref="VLG355:VLH355"/>
    <mergeCell ref="VLI355:VLJ355"/>
    <mergeCell ref="VLK355:VLL355"/>
    <mergeCell ref="VLM355:VLN355"/>
    <mergeCell ref="VLO355:VLP355"/>
    <mergeCell ref="VLQ355:VLR355"/>
    <mergeCell ref="VLS355:VLT355"/>
    <mergeCell ref="VNE355:VNF355"/>
    <mergeCell ref="VNG355:VNH355"/>
    <mergeCell ref="VNI355:VNJ355"/>
    <mergeCell ref="VNK355:VNL355"/>
    <mergeCell ref="VNM355:VNN355"/>
    <mergeCell ref="VNO355:VNP355"/>
    <mergeCell ref="VNQ355:VNR355"/>
    <mergeCell ref="VNS355:VNT355"/>
    <mergeCell ref="VNU355:VNV355"/>
    <mergeCell ref="VMM355:VMN355"/>
    <mergeCell ref="VMO355:VMP355"/>
    <mergeCell ref="VMQ355:VMR355"/>
    <mergeCell ref="VMS355:VMT355"/>
    <mergeCell ref="VMU355:VMV355"/>
    <mergeCell ref="VMW355:VMX355"/>
    <mergeCell ref="VMY355:VMZ355"/>
    <mergeCell ref="VNA355:VNB355"/>
    <mergeCell ref="VNC355:VND355"/>
    <mergeCell ref="VOO355:VOP355"/>
    <mergeCell ref="VOQ355:VOR355"/>
    <mergeCell ref="VOS355:VOT355"/>
    <mergeCell ref="VOU355:VOV355"/>
    <mergeCell ref="VOW355:VOX355"/>
    <mergeCell ref="VOY355:VOZ355"/>
    <mergeCell ref="VPA355:VPB355"/>
    <mergeCell ref="VPC355:VPD355"/>
    <mergeCell ref="VPE355:VPF355"/>
    <mergeCell ref="VNW355:VNX355"/>
    <mergeCell ref="VNY355:VNZ355"/>
    <mergeCell ref="VOA355:VOB355"/>
    <mergeCell ref="VOC355:VOD355"/>
    <mergeCell ref="VOE355:VOF355"/>
    <mergeCell ref="VOG355:VOH355"/>
    <mergeCell ref="VOI355:VOJ355"/>
    <mergeCell ref="VOK355:VOL355"/>
    <mergeCell ref="VOM355:VON355"/>
    <mergeCell ref="VPY355:VPZ355"/>
    <mergeCell ref="VQA355:VQB355"/>
    <mergeCell ref="VQC355:VQD355"/>
    <mergeCell ref="VQE355:VQF355"/>
    <mergeCell ref="VQG355:VQH355"/>
    <mergeCell ref="VQI355:VQJ355"/>
    <mergeCell ref="VQK355:VQL355"/>
    <mergeCell ref="VQM355:VQN355"/>
    <mergeCell ref="VQO355:VQP355"/>
    <mergeCell ref="VPG355:VPH355"/>
    <mergeCell ref="VPI355:VPJ355"/>
    <mergeCell ref="VPK355:VPL355"/>
    <mergeCell ref="VPM355:VPN355"/>
    <mergeCell ref="VPO355:VPP355"/>
    <mergeCell ref="VPQ355:VPR355"/>
    <mergeCell ref="VPS355:VPT355"/>
    <mergeCell ref="VPU355:VPV355"/>
    <mergeCell ref="VPW355:VPX355"/>
    <mergeCell ref="VRI355:VRJ355"/>
    <mergeCell ref="VRK355:VRL355"/>
    <mergeCell ref="VRM355:VRN355"/>
    <mergeCell ref="VRO355:VRP355"/>
    <mergeCell ref="VRQ355:VRR355"/>
    <mergeCell ref="VRS355:VRT355"/>
    <mergeCell ref="VRU355:VRV355"/>
    <mergeCell ref="VRW355:VRX355"/>
    <mergeCell ref="VRY355:VRZ355"/>
    <mergeCell ref="VQQ355:VQR355"/>
    <mergeCell ref="VQS355:VQT355"/>
    <mergeCell ref="VQU355:VQV355"/>
    <mergeCell ref="VQW355:VQX355"/>
    <mergeCell ref="VQY355:VQZ355"/>
    <mergeCell ref="VRA355:VRB355"/>
    <mergeCell ref="VRC355:VRD355"/>
    <mergeCell ref="VRE355:VRF355"/>
    <mergeCell ref="VRG355:VRH355"/>
    <mergeCell ref="VSS355:VST355"/>
    <mergeCell ref="VSU355:VSV355"/>
    <mergeCell ref="VSW355:VSX355"/>
    <mergeCell ref="VSY355:VSZ355"/>
    <mergeCell ref="VTA355:VTB355"/>
    <mergeCell ref="VTC355:VTD355"/>
    <mergeCell ref="VTE355:VTF355"/>
    <mergeCell ref="VTG355:VTH355"/>
    <mergeCell ref="VTI355:VTJ355"/>
    <mergeCell ref="VSA355:VSB355"/>
    <mergeCell ref="VSC355:VSD355"/>
    <mergeCell ref="VSE355:VSF355"/>
    <mergeCell ref="VSG355:VSH355"/>
    <mergeCell ref="VSI355:VSJ355"/>
    <mergeCell ref="VSK355:VSL355"/>
    <mergeCell ref="VSM355:VSN355"/>
    <mergeCell ref="VSO355:VSP355"/>
    <mergeCell ref="VSQ355:VSR355"/>
    <mergeCell ref="VUC355:VUD355"/>
    <mergeCell ref="VUE355:VUF355"/>
    <mergeCell ref="VUG355:VUH355"/>
    <mergeCell ref="VUI355:VUJ355"/>
    <mergeCell ref="VUK355:VUL355"/>
    <mergeCell ref="VUM355:VUN355"/>
    <mergeCell ref="VUO355:VUP355"/>
    <mergeCell ref="VUQ355:VUR355"/>
    <mergeCell ref="VUS355:VUT355"/>
    <mergeCell ref="VTK355:VTL355"/>
    <mergeCell ref="VTM355:VTN355"/>
    <mergeCell ref="VTO355:VTP355"/>
    <mergeCell ref="VTQ355:VTR355"/>
    <mergeCell ref="VTS355:VTT355"/>
    <mergeCell ref="VTU355:VTV355"/>
    <mergeCell ref="VTW355:VTX355"/>
    <mergeCell ref="VTY355:VTZ355"/>
    <mergeCell ref="VUA355:VUB355"/>
    <mergeCell ref="VVM355:VVN355"/>
    <mergeCell ref="VVO355:VVP355"/>
    <mergeCell ref="VVQ355:VVR355"/>
    <mergeCell ref="VVS355:VVT355"/>
    <mergeCell ref="VVU355:VVV355"/>
    <mergeCell ref="VVW355:VVX355"/>
    <mergeCell ref="VVY355:VVZ355"/>
    <mergeCell ref="VWA355:VWB355"/>
    <mergeCell ref="VWC355:VWD355"/>
    <mergeCell ref="VUU355:VUV355"/>
    <mergeCell ref="VUW355:VUX355"/>
    <mergeCell ref="VUY355:VUZ355"/>
    <mergeCell ref="VVA355:VVB355"/>
    <mergeCell ref="VVC355:VVD355"/>
    <mergeCell ref="VVE355:VVF355"/>
    <mergeCell ref="VVG355:VVH355"/>
    <mergeCell ref="VVI355:VVJ355"/>
    <mergeCell ref="VVK355:VVL355"/>
    <mergeCell ref="VWW355:VWX355"/>
    <mergeCell ref="VWY355:VWZ355"/>
    <mergeCell ref="VXA355:VXB355"/>
    <mergeCell ref="VXC355:VXD355"/>
    <mergeCell ref="VXE355:VXF355"/>
    <mergeCell ref="VXG355:VXH355"/>
    <mergeCell ref="VXI355:VXJ355"/>
    <mergeCell ref="VXK355:VXL355"/>
    <mergeCell ref="VXM355:VXN355"/>
    <mergeCell ref="VWE355:VWF355"/>
    <mergeCell ref="VWG355:VWH355"/>
    <mergeCell ref="VWI355:VWJ355"/>
    <mergeCell ref="VWK355:VWL355"/>
    <mergeCell ref="VWM355:VWN355"/>
    <mergeCell ref="VWO355:VWP355"/>
    <mergeCell ref="VWQ355:VWR355"/>
    <mergeCell ref="VWS355:VWT355"/>
    <mergeCell ref="VWU355:VWV355"/>
    <mergeCell ref="VYG355:VYH355"/>
    <mergeCell ref="VYI355:VYJ355"/>
    <mergeCell ref="VYK355:VYL355"/>
    <mergeCell ref="VYM355:VYN355"/>
    <mergeCell ref="VYO355:VYP355"/>
    <mergeCell ref="VYQ355:VYR355"/>
    <mergeCell ref="VYS355:VYT355"/>
    <mergeCell ref="VYU355:VYV355"/>
    <mergeCell ref="VYW355:VYX355"/>
    <mergeCell ref="VXO355:VXP355"/>
    <mergeCell ref="VXQ355:VXR355"/>
    <mergeCell ref="VXS355:VXT355"/>
    <mergeCell ref="VXU355:VXV355"/>
    <mergeCell ref="VXW355:VXX355"/>
    <mergeCell ref="VXY355:VXZ355"/>
    <mergeCell ref="VYA355:VYB355"/>
    <mergeCell ref="VYC355:VYD355"/>
    <mergeCell ref="VYE355:VYF355"/>
    <mergeCell ref="VZQ355:VZR355"/>
    <mergeCell ref="VZS355:VZT355"/>
    <mergeCell ref="VZU355:VZV355"/>
    <mergeCell ref="VZW355:VZX355"/>
    <mergeCell ref="VZY355:VZZ355"/>
    <mergeCell ref="WAA355:WAB355"/>
    <mergeCell ref="WAC355:WAD355"/>
    <mergeCell ref="WAE355:WAF355"/>
    <mergeCell ref="WAG355:WAH355"/>
    <mergeCell ref="VYY355:VYZ355"/>
    <mergeCell ref="VZA355:VZB355"/>
    <mergeCell ref="VZC355:VZD355"/>
    <mergeCell ref="VZE355:VZF355"/>
    <mergeCell ref="VZG355:VZH355"/>
    <mergeCell ref="VZI355:VZJ355"/>
    <mergeCell ref="VZK355:VZL355"/>
    <mergeCell ref="VZM355:VZN355"/>
    <mergeCell ref="VZO355:VZP355"/>
    <mergeCell ref="WBA355:WBB355"/>
    <mergeCell ref="WBC355:WBD355"/>
    <mergeCell ref="WBE355:WBF355"/>
    <mergeCell ref="WBG355:WBH355"/>
    <mergeCell ref="WBI355:WBJ355"/>
    <mergeCell ref="WBK355:WBL355"/>
    <mergeCell ref="WBM355:WBN355"/>
    <mergeCell ref="WBO355:WBP355"/>
    <mergeCell ref="WBQ355:WBR355"/>
    <mergeCell ref="WAI355:WAJ355"/>
    <mergeCell ref="WAK355:WAL355"/>
    <mergeCell ref="WAM355:WAN355"/>
    <mergeCell ref="WAO355:WAP355"/>
    <mergeCell ref="WAQ355:WAR355"/>
    <mergeCell ref="WAS355:WAT355"/>
    <mergeCell ref="WAU355:WAV355"/>
    <mergeCell ref="WAW355:WAX355"/>
    <mergeCell ref="WAY355:WAZ355"/>
    <mergeCell ref="WCK355:WCL355"/>
    <mergeCell ref="WCM355:WCN355"/>
    <mergeCell ref="WCO355:WCP355"/>
    <mergeCell ref="WCQ355:WCR355"/>
    <mergeCell ref="WCS355:WCT355"/>
    <mergeCell ref="WCU355:WCV355"/>
    <mergeCell ref="WCW355:WCX355"/>
    <mergeCell ref="WCY355:WCZ355"/>
    <mergeCell ref="WDA355:WDB355"/>
    <mergeCell ref="WBS355:WBT355"/>
    <mergeCell ref="WBU355:WBV355"/>
    <mergeCell ref="WBW355:WBX355"/>
    <mergeCell ref="WBY355:WBZ355"/>
    <mergeCell ref="WCA355:WCB355"/>
    <mergeCell ref="WCC355:WCD355"/>
    <mergeCell ref="WCE355:WCF355"/>
    <mergeCell ref="WCG355:WCH355"/>
    <mergeCell ref="WCI355:WCJ355"/>
    <mergeCell ref="WDU355:WDV355"/>
    <mergeCell ref="WDW355:WDX355"/>
    <mergeCell ref="WDY355:WDZ355"/>
    <mergeCell ref="WEA355:WEB355"/>
    <mergeCell ref="WEC355:WED355"/>
    <mergeCell ref="WEE355:WEF355"/>
    <mergeCell ref="WEG355:WEH355"/>
    <mergeCell ref="WEI355:WEJ355"/>
    <mergeCell ref="WEK355:WEL355"/>
    <mergeCell ref="WDC355:WDD355"/>
    <mergeCell ref="WDE355:WDF355"/>
    <mergeCell ref="WDG355:WDH355"/>
    <mergeCell ref="WDI355:WDJ355"/>
    <mergeCell ref="WDK355:WDL355"/>
    <mergeCell ref="WDM355:WDN355"/>
    <mergeCell ref="WDO355:WDP355"/>
    <mergeCell ref="WDQ355:WDR355"/>
    <mergeCell ref="WDS355:WDT355"/>
    <mergeCell ref="WFE355:WFF355"/>
    <mergeCell ref="WFG355:WFH355"/>
    <mergeCell ref="WFI355:WFJ355"/>
    <mergeCell ref="WFK355:WFL355"/>
    <mergeCell ref="WFM355:WFN355"/>
    <mergeCell ref="WFO355:WFP355"/>
    <mergeCell ref="WFQ355:WFR355"/>
    <mergeCell ref="WFS355:WFT355"/>
    <mergeCell ref="WFU355:WFV355"/>
    <mergeCell ref="WEM355:WEN355"/>
    <mergeCell ref="WEO355:WEP355"/>
    <mergeCell ref="WEQ355:WER355"/>
    <mergeCell ref="WES355:WET355"/>
    <mergeCell ref="WEU355:WEV355"/>
    <mergeCell ref="WEW355:WEX355"/>
    <mergeCell ref="WEY355:WEZ355"/>
    <mergeCell ref="WFA355:WFB355"/>
    <mergeCell ref="WFC355:WFD355"/>
    <mergeCell ref="WGO355:WGP355"/>
    <mergeCell ref="WGQ355:WGR355"/>
    <mergeCell ref="WGS355:WGT355"/>
    <mergeCell ref="WGU355:WGV355"/>
    <mergeCell ref="WGW355:WGX355"/>
    <mergeCell ref="WGY355:WGZ355"/>
    <mergeCell ref="WHA355:WHB355"/>
    <mergeCell ref="WHC355:WHD355"/>
    <mergeCell ref="WHE355:WHF355"/>
    <mergeCell ref="WFW355:WFX355"/>
    <mergeCell ref="WFY355:WFZ355"/>
    <mergeCell ref="WGA355:WGB355"/>
    <mergeCell ref="WGC355:WGD355"/>
    <mergeCell ref="WGE355:WGF355"/>
    <mergeCell ref="WGG355:WGH355"/>
    <mergeCell ref="WGI355:WGJ355"/>
    <mergeCell ref="WGK355:WGL355"/>
    <mergeCell ref="WGM355:WGN355"/>
    <mergeCell ref="WHY355:WHZ355"/>
    <mergeCell ref="WIA355:WIB355"/>
    <mergeCell ref="WIC355:WID355"/>
    <mergeCell ref="WIE355:WIF355"/>
    <mergeCell ref="WIG355:WIH355"/>
    <mergeCell ref="WII355:WIJ355"/>
    <mergeCell ref="WIK355:WIL355"/>
    <mergeCell ref="WIM355:WIN355"/>
    <mergeCell ref="WIO355:WIP355"/>
    <mergeCell ref="WHG355:WHH355"/>
    <mergeCell ref="WHI355:WHJ355"/>
    <mergeCell ref="WHK355:WHL355"/>
    <mergeCell ref="WHM355:WHN355"/>
    <mergeCell ref="WHO355:WHP355"/>
    <mergeCell ref="WHQ355:WHR355"/>
    <mergeCell ref="WHS355:WHT355"/>
    <mergeCell ref="WHU355:WHV355"/>
    <mergeCell ref="WHW355:WHX355"/>
    <mergeCell ref="WJI355:WJJ355"/>
    <mergeCell ref="WJK355:WJL355"/>
    <mergeCell ref="WJM355:WJN355"/>
    <mergeCell ref="WJO355:WJP355"/>
    <mergeCell ref="WJQ355:WJR355"/>
    <mergeCell ref="WJS355:WJT355"/>
    <mergeCell ref="WJU355:WJV355"/>
    <mergeCell ref="WJW355:WJX355"/>
    <mergeCell ref="WJY355:WJZ355"/>
    <mergeCell ref="WIQ355:WIR355"/>
    <mergeCell ref="WIS355:WIT355"/>
    <mergeCell ref="WIU355:WIV355"/>
    <mergeCell ref="WIW355:WIX355"/>
    <mergeCell ref="WIY355:WIZ355"/>
    <mergeCell ref="WJA355:WJB355"/>
    <mergeCell ref="WJC355:WJD355"/>
    <mergeCell ref="WJE355:WJF355"/>
    <mergeCell ref="WJG355:WJH355"/>
    <mergeCell ref="WKS355:WKT355"/>
    <mergeCell ref="WKU355:WKV355"/>
    <mergeCell ref="WKW355:WKX355"/>
    <mergeCell ref="WKY355:WKZ355"/>
    <mergeCell ref="WLA355:WLB355"/>
    <mergeCell ref="WLC355:WLD355"/>
    <mergeCell ref="WLE355:WLF355"/>
    <mergeCell ref="WLG355:WLH355"/>
    <mergeCell ref="WLI355:WLJ355"/>
    <mergeCell ref="WKA355:WKB355"/>
    <mergeCell ref="WKC355:WKD355"/>
    <mergeCell ref="WKE355:WKF355"/>
    <mergeCell ref="WKG355:WKH355"/>
    <mergeCell ref="WKI355:WKJ355"/>
    <mergeCell ref="WKK355:WKL355"/>
    <mergeCell ref="WKM355:WKN355"/>
    <mergeCell ref="WKO355:WKP355"/>
    <mergeCell ref="WKQ355:WKR355"/>
    <mergeCell ref="WMC355:WMD355"/>
    <mergeCell ref="WME355:WMF355"/>
    <mergeCell ref="WMG355:WMH355"/>
    <mergeCell ref="WMI355:WMJ355"/>
    <mergeCell ref="WMK355:WML355"/>
    <mergeCell ref="WMM355:WMN355"/>
    <mergeCell ref="WMO355:WMP355"/>
    <mergeCell ref="WMQ355:WMR355"/>
    <mergeCell ref="WMS355:WMT355"/>
    <mergeCell ref="WLK355:WLL355"/>
    <mergeCell ref="WLM355:WLN355"/>
    <mergeCell ref="WLO355:WLP355"/>
    <mergeCell ref="WLQ355:WLR355"/>
    <mergeCell ref="WLS355:WLT355"/>
    <mergeCell ref="WLU355:WLV355"/>
    <mergeCell ref="WLW355:WLX355"/>
    <mergeCell ref="WLY355:WLZ355"/>
    <mergeCell ref="WMA355:WMB355"/>
    <mergeCell ref="WNM355:WNN355"/>
    <mergeCell ref="WNO355:WNP355"/>
    <mergeCell ref="WNQ355:WNR355"/>
    <mergeCell ref="WNS355:WNT355"/>
    <mergeCell ref="WNU355:WNV355"/>
    <mergeCell ref="WNW355:WNX355"/>
    <mergeCell ref="WNY355:WNZ355"/>
    <mergeCell ref="WOA355:WOB355"/>
    <mergeCell ref="WOC355:WOD355"/>
    <mergeCell ref="WMU355:WMV355"/>
    <mergeCell ref="WMW355:WMX355"/>
    <mergeCell ref="WMY355:WMZ355"/>
    <mergeCell ref="WNA355:WNB355"/>
    <mergeCell ref="WNC355:WND355"/>
    <mergeCell ref="WNE355:WNF355"/>
    <mergeCell ref="WNG355:WNH355"/>
    <mergeCell ref="WNI355:WNJ355"/>
    <mergeCell ref="WNK355:WNL355"/>
    <mergeCell ref="WOW355:WOX355"/>
    <mergeCell ref="WOY355:WOZ355"/>
    <mergeCell ref="WPA355:WPB355"/>
    <mergeCell ref="WPC355:WPD355"/>
    <mergeCell ref="WPE355:WPF355"/>
    <mergeCell ref="WPG355:WPH355"/>
    <mergeCell ref="WPI355:WPJ355"/>
    <mergeCell ref="WPK355:WPL355"/>
    <mergeCell ref="WPM355:WPN355"/>
    <mergeCell ref="WOE355:WOF355"/>
    <mergeCell ref="WOG355:WOH355"/>
    <mergeCell ref="WOI355:WOJ355"/>
    <mergeCell ref="WOK355:WOL355"/>
    <mergeCell ref="WOM355:WON355"/>
    <mergeCell ref="WOO355:WOP355"/>
    <mergeCell ref="WOQ355:WOR355"/>
    <mergeCell ref="WOS355:WOT355"/>
    <mergeCell ref="WOU355:WOV355"/>
    <mergeCell ref="WQG355:WQH355"/>
    <mergeCell ref="WQI355:WQJ355"/>
    <mergeCell ref="WQK355:WQL355"/>
    <mergeCell ref="WQM355:WQN355"/>
    <mergeCell ref="WQO355:WQP355"/>
    <mergeCell ref="WQQ355:WQR355"/>
    <mergeCell ref="WQS355:WQT355"/>
    <mergeCell ref="WQU355:WQV355"/>
    <mergeCell ref="WQW355:WQX355"/>
    <mergeCell ref="WPO355:WPP355"/>
    <mergeCell ref="WPQ355:WPR355"/>
    <mergeCell ref="WPS355:WPT355"/>
    <mergeCell ref="WPU355:WPV355"/>
    <mergeCell ref="WPW355:WPX355"/>
    <mergeCell ref="WPY355:WPZ355"/>
    <mergeCell ref="WQA355:WQB355"/>
    <mergeCell ref="WQC355:WQD355"/>
    <mergeCell ref="WQE355:WQF355"/>
    <mergeCell ref="WRQ355:WRR355"/>
    <mergeCell ref="WRS355:WRT355"/>
    <mergeCell ref="WRU355:WRV355"/>
    <mergeCell ref="WRW355:WRX355"/>
    <mergeCell ref="WRY355:WRZ355"/>
    <mergeCell ref="WSA355:WSB355"/>
    <mergeCell ref="WSC355:WSD355"/>
    <mergeCell ref="WSE355:WSF355"/>
    <mergeCell ref="WSG355:WSH355"/>
    <mergeCell ref="WQY355:WQZ355"/>
    <mergeCell ref="WRA355:WRB355"/>
    <mergeCell ref="WRC355:WRD355"/>
    <mergeCell ref="WRE355:WRF355"/>
    <mergeCell ref="WRG355:WRH355"/>
    <mergeCell ref="WRI355:WRJ355"/>
    <mergeCell ref="WRK355:WRL355"/>
    <mergeCell ref="WRM355:WRN355"/>
    <mergeCell ref="WRO355:WRP355"/>
    <mergeCell ref="WTA355:WTB355"/>
    <mergeCell ref="WTC355:WTD355"/>
    <mergeCell ref="WTE355:WTF355"/>
    <mergeCell ref="WTG355:WTH355"/>
    <mergeCell ref="WTI355:WTJ355"/>
    <mergeCell ref="WTK355:WTL355"/>
    <mergeCell ref="WTM355:WTN355"/>
    <mergeCell ref="WTO355:WTP355"/>
    <mergeCell ref="WTQ355:WTR355"/>
    <mergeCell ref="WSI355:WSJ355"/>
    <mergeCell ref="WSK355:WSL355"/>
    <mergeCell ref="WSM355:WSN355"/>
    <mergeCell ref="WSO355:WSP355"/>
    <mergeCell ref="WSQ355:WSR355"/>
    <mergeCell ref="WSS355:WST355"/>
    <mergeCell ref="WSU355:WSV355"/>
    <mergeCell ref="WSW355:WSX355"/>
    <mergeCell ref="WSY355:WSZ355"/>
    <mergeCell ref="WUK355:WUL355"/>
    <mergeCell ref="WUM355:WUN355"/>
    <mergeCell ref="WUO355:WUP355"/>
    <mergeCell ref="WUQ355:WUR355"/>
    <mergeCell ref="WUS355:WUT355"/>
    <mergeCell ref="WUU355:WUV355"/>
    <mergeCell ref="WUW355:WUX355"/>
    <mergeCell ref="WUY355:WUZ355"/>
    <mergeCell ref="WVA355:WVB355"/>
    <mergeCell ref="WTS355:WTT355"/>
    <mergeCell ref="WTU355:WTV355"/>
    <mergeCell ref="WTW355:WTX355"/>
    <mergeCell ref="WTY355:WTZ355"/>
    <mergeCell ref="WUA355:WUB355"/>
    <mergeCell ref="WUC355:WUD355"/>
    <mergeCell ref="WUE355:WUF355"/>
    <mergeCell ref="WUG355:WUH355"/>
    <mergeCell ref="WUI355:WUJ355"/>
    <mergeCell ref="WVU355:WVV355"/>
    <mergeCell ref="WVW355:WVX355"/>
    <mergeCell ref="WVY355:WVZ355"/>
    <mergeCell ref="WWA355:WWB355"/>
    <mergeCell ref="WWC355:WWD355"/>
    <mergeCell ref="WWE355:WWF355"/>
    <mergeCell ref="WWG355:WWH355"/>
    <mergeCell ref="WWI355:WWJ355"/>
    <mergeCell ref="WWK355:WWL355"/>
    <mergeCell ref="WVC355:WVD355"/>
    <mergeCell ref="WVE355:WVF355"/>
    <mergeCell ref="WVG355:WVH355"/>
    <mergeCell ref="WVI355:WVJ355"/>
    <mergeCell ref="WVK355:WVL355"/>
    <mergeCell ref="WVM355:WVN355"/>
    <mergeCell ref="WVO355:WVP355"/>
    <mergeCell ref="WVQ355:WVR355"/>
    <mergeCell ref="WVS355:WVT355"/>
    <mergeCell ref="WXE355:WXF355"/>
    <mergeCell ref="WXG355:WXH355"/>
    <mergeCell ref="WXI355:WXJ355"/>
    <mergeCell ref="WXK355:WXL355"/>
    <mergeCell ref="WXM355:WXN355"/>
    <mergeCell ref="WXO355:WXP355"/>
    <mergeCell ref="WXQ355:WXR355"/>
    <mergeCell ref="WXS355:WXT355"/>
    <mergeCell ref="WXU355:WXV355"/>
    <mergeCell ref="WWM355:WWN355"/>
    <mergeCell ref="WWO355:WWP355"/>
    <mergeCell ref="WWQ355:WWR355"/>
    <mergeCell ref="WWS355:WWT355"/>
    <mergeCell ref="WWU355:WWV355"/>
    <mergeCell ref="WWW355:WWX355"/>
    <mergeCell ref="WWY355:WWZ355"/>
    <mergeCell ref="WXA355:WXB355"/>
    <mergeCell ref="WXC355:WXD355"/>
    <mergeCell ref="WYO355:WYP355"/>
    <mergeCell ref="WYQ355:WYR355"/>
    <mergeCell ref="WYS355:WYT355"/>
    <mergeCell ref="WYU355:WYV355"/>
    <mergeCell ref="WYW355:WYX355"/>
    <mergeCell ref="WYY355:WYZ355"/>
    <mergeCell ref="WZA355:WZB355"/>
    <mergeCell ref="WZC355:WZD355"/>
    <mergeCell ref="WZE355:WZF355"/>
    <mergeCell ref="WXW355:WXX355"/>
    <mergeCell ref="WXY355:WXZ355"/>
    <mergeCell ref="WYA355:WYB355"/>
    <mergeCell ref="WYC355:WYD355"/>
    <mergeCell ref="WYE355:WYF355"/>
    <mergeCell ref="WYG355:WYH355"/>
    <mergeCell ref="WYI355:WYJ355"/>
    <mergeCell ref="WYK355:WYL355"/>
    <mergeCell ref="WYM355:WYN355"/>
    <mergeCell ref="WZY355:WZZ355"/>
    <mergeCell ref="XAA355:XAB355"/>
    <mergeCell ref="XAC355:XAD355"/>
    <mergeCell ref="XAE355:XAF355"/>
    <mergeCell ref="XAG355:XAH355"/>
    <mergeCell ref="XAI355:XAJ355"/>
    <mergeCell ref="XAK355:XAL355"/>
    <mergeCell ref="XAM355:XAN355"/>
    <mergeCell ref="XAO355:XAP355"/>
    <mergeCell ref="WZG355:WZH355"/>
    <mergeCell ref="WZI355:WZJ355"/>
    <mergeCell ref="WZK355:WZL355"/>
    <mergeCell ref="WZM355:WZN355"/>
    <mergeCell ref="WZO355:WZP355"/>
    <mergeCell ref="WZQ355:WZR355"/>
    <mergeCell ref="WZS355:WZT355"/>
    <mergeCell ref="WZU355:WZV355"/>
    <mergeCell ref="WZW355:WZX355"/>
    <mergeCell ref="XBI355:XBJ355"/>
    <mergeCell ref="XBK355:XBL355"/>
    <mergeCell ref="XBM355:XBN355"/>
    <mergeCell ref="XBO355:XBP355"/>
    <mergeCell ref="XBQ355:XBR355"/>
    <mergeCell ref="XBS355:XBT355"/>
    <mergeCell ref="XBU355:XBV355"/>
    <mergeCell ref="XBW355:XBX355"/>
    <mergeCell ref="XBY355:XBZ355"/>
    <mergeCell ref="XAQ355:XAR355"/>
    <mergeCell ref="XAS355:XAT355"/>
    <mergeCell ref="XAU355:XAV355"/>
    <mergeCell ref="XAW355:XAX355"/>
    <mergeCell ref="XAY355:XAZ355"/>
    <mergeCell ref="XBA355:XBB355"/>
    <mergeCell ref="XBC355:XBD355"/>
    <mergeCell ref="XBE355:XBF355"/>
    <mergeCell ref="XBG355:XBH355"/>
    <mergeCell ref="XDY355:XDZ355"/>
    <mergeCell ref="XEA355:XEB355"/>
    <mergeCell ref="XCS355:XCT355"/>
    <mergeCell ref="XCU355:XCV355"/>
    <mergeCell ref="XCW355:XCX355"/>
    <mergeCell ref="XCY355:XCZ355"/>
    <mergeCell ref="XDA355:XDB355"/>
    <mergeCell ref="XDC355:XDD355"/>
    <mergeCell ref="XDE355:XDF355"/>
    <mergeCell ref="XDG355:XDH355"/>
    <mergeCell ref="XDI355:XDJ355"/>
    <mergeCell ref="XCA355:XCB355"/>
    <mergeCell ref="XCC355:XCD355"/>
    <mergeCell ref="XCE355:XCF355"/>
    <mergeCell ref="XCG355:XCH355"/>
    <mergeCell ref="XCI355:XCJ355"/>
    <mergeCell ref="XCK355:XCL355"/>
    <mergeCell ref="XCM355:XCN355"/>
    <mergeCell ref="XCO355:XCP355"/>
    <mergeCell ref="XCQ355:XCR355"/>
    <mergeCell ref="A358:F358"/>
    <mergeCell ref="A359:F359"/>
    <mergeCell ref="A361:F361"/>
    <mergeCell ref="A362:F362"/>
    <mergeCell ref="A147:B147"/>
    <mergeCell ref="A151:B151"/>
    <mergeCell ref="A155:B155"/>
    <mergeCell ref="XEU355:XEV355"/>
    <mergeCell ref="XEW355:XEX355"/>
    <mergeCell ref="XEY355:XEZ355"/>
    <mergeCell ref="XFA355:XFB355"/>
    <mergeCell ref="XFC355:XFD355"/>
    <mergeCell ref="A243:B243"/>
    <mergeCell ref="A245:B245"/>
    <mergeCell ref="A247:B247"/>
    <mergeCell ref="A249:B249"/>
    <mergeCell ref="XEC355:XED355"/>
    <mergeCell ref="XEE355:XEF355"/>
    <mergeCell ref="XEG355:XEH355"/>
    <mergeCell ref="XEI355:XEJ355"/>
    <mergeCell ref="XEK355:XEL355"/>
    <mergeCell ref="XEM355:XEN355"/>
    <mergeCell ref="XEO355:XEP355"/>
    <mergeCell ref="XEQ355:XER355"/>
    <mergeCell ref="XES355:XET355"/>
    <mergeCell ref="XDK355:XDL355"/>
    <mergeCell ref="XDM355:XDN355"/>
    <mergeCell ref="XDO355:XDP355"/>
    <mergeCell ref="XDQ355:XDR355"/>
    <mergeCell ref="XDS355:XDT355"/>
    <mergeCell ref="XDU355:XDV355"/>
    <mergeCell ref="XDW355:XDX355"/>
  </mergeCells>
  <printOptions horizontalCentered="1"/>
  <pageMargins left="0.35433070866141736" right="0.27559055118110237" top="0.34" bottom="0.32" header="0.31496062992125984" footer="0.15748031496062992"/>
  <pageSetup scale="10" fitToHeight="0"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920"/>
  <sheetViews>
    <sheetView topLeftCell="A904" workbookViewId="0">
      <selection activeCell="G908" sqref="G908"/>
    </sheetView>
  </sheetViews>
  <sheetFormatPr baseColWidth="10" defaultRowHeight="14.25" x14ac:dyDescent="0.2"/>
  <cols>
    <col min="1" max="1" width="17" style="56" customWidth="1"/>
    <col min="2" max="2" width="52" style="8" customWidth="1"/>
    <col min="3" max="3" width="29.140625" style="8" customWidth="1"/>
    <col min="4" max="4" width="27.140625" style="8" bestFit="1" customWidth="1"/>
    <col min="5" max="16384" width="11.42578125" style="8"/>
  </cols>
  <sheetData>
    <row r="1" spans="1:5" ht="15" x14ac:dyDescent="0.2">
      <c r="A1" s="1170" t="s">
        <v>433</v>
      </c>
      <c r="B1" s="1170"/>
      <c r="C1" s="1170"/>
      <c r="D1" s="1170"/>
    </row>
    <row r="2" spans="1:5" ht="15.75" x14ac:dyDescent="0.25">
      <c r="A2" s="1027" t="s">
        <v>434</v>
      </c>
      <c r="B2" s="1027"/>
      <c r="C2" s="1027"/>
      <c r="D2" s="1027"/>
    </row>
    <row r="3" spans="1:5" ht="15" x14ac:dyDescent="0.2">
      <c r="A3" s="936" t="s">
        <v>599</v>
      </c>
      <c r="B3" s="936"/>
      <c r="C3" s="936"/>
      <c r="D3" s="936"/>
    </row>
    <row r="4" spans="1:5" ht="15.75" x14ac:dyDescent="0.25">
      <c r="A4" s="1027" t="s">
        <v>2168</v>
      </c>
      <c r="B4" s="1027"/>
      <c r="C4" s="1027"/>
      <c r="D4" s="1027"/>
    </row>
    <row r="5" spans="1:5" ht="15.75" x14ac:dyDescent="0.25">
      <c r="A5" s="216"/>
      <c r="B5" s="216"/>
      <c r="C5" s="216" t="s">
        <v>297</v>
      </c>
      <c r="D5" s="216"/>
    </row>
    <row r="6" spans="1:5" ht="6.75" customHeight="1" x14ac:dyDescent="0.2"/>
    <row r="7" spans="1:5" s="131" customFormat="1" ht="17.25" customHeight="1" x14ac:dyDescent="0.25">
      <c r="A7" s="1171"/>
      <c r="B7" s="1171"/>
      <c r="C7" s="1171"/>
      <c r="D7" s="656"/>
    </row>
    <row r="8" spans="1:5" s="131" customFormat="1" ht="4.5" customHeight="1" x14ac:dyDescent="0.25">
      <c r="A8" s="1171"/>
      <c r="B8" s="1171"/>
      <c r="C8" s="1171"/>
      <c r="D8" s="656"/>
    </row>
    <row r="9" spans="1:5" s="131" customFormat="1" ht="20.25" customHeight="1" x14ac:dyDescent="0.25">
      <c r="A9" s="657"/>
      <c r="B9" s="658"/>
      <c r="C9" s="658"/>
      <c r="D9" s="658"/>
      <c r="E9" s="217"/>
    </row>
    <row r="10" spans="1:5" s="131" customFormat="1" ht="20.25" customHeight="1" x14ac:dyDescent="0.25">
      <c r="A10" s="658"/>
      <c r="B10" s="659" t="s">
        <v>435</v>
      </c>
      <c r="C10" s="658"/>
      <c r="D10" s="658"/>
      <c r="E10" s="217"/>
    </row>
    <row r="11" spans="1:5" s="131" customFormat="1" ht="20.25" customHeight="1" x14ac:dyDescent="0.25">
      <c r="A11" s="660"/>
      <c r="B11" s="660" t="s">
        <v>436</v>
      </c>
      <c r="C11" s="660" t="s">
        <v>1423</v>
      </c>
      <c r="D11" s="660" t="s">
        <v>1424</v>
      </c>
      <c r="E11" s="217"/>
    </row>
    <row r="12" spans="1:5" s="131" customFormat="1" ht="20.25" customHeight="1" x14ac:dyDescent="0.25">
      <c r="A12" s="660" t="s">
        <v>1754</v>
      </c>
      <c r="B12" s="661" t="s">
        <v>1425</v>
      </c>
      <c r="C12" s="662" t="s">
        <v>1426</v>
      </c>
      <c r="D12" s="663" t="s">
        <v>1427</v>
      </c>
      <c r="E12" s="217"/>
    </row>
    <row r="13" spans="1:5" s="131" customFormat="1" ht="32.25" hidden="1" customHeight="1" x14ac:dyDescent="0.2">
      <c r="A13" s="715">
        <v>120030</v>
      </c>
      <c r="B13" s="717" t="s">
        <v>1336</v>
      </c>
      <c r="C13" s="716">
        <v>0</v>
      </c>
      <c r="D13" s="664"/>
      <c r="E13" s="217"/>
    </row>
    <row r="14" spans="1:5" hidden="1" x14ac:dyDescent="0.2">
      <c r="A14" s="715">
        <v>120316</v>
      </c>
      <c r="B14" s="717" t="s">
        <v>1428</v>
      </c>
      <c r="C14" s="716">
        <v>0</v>
      </c>
      <c r="D14" s="664"/>
      <c r="E14" s="213"/>
    </row>
    <row r="15" spans="1:5" hidden="1" x14ac:dyDescent="0.2">
      <c r="A15" s="715">
        <v>120317</v>
      </c>
      <c r="B15" s="717" t="s">
        <v>1429</v>
      </c>
      <c r="C15" s="716">
        <v>0</v>
      </c>
      <c r="D15" s="664"/>
      <c r="E15" s="213"/>
    </row>
    <row r="16" spans="1:5" hidden="1" x14ac:dyDescent="0.2">
      <c r="A16" s="715">
        <v>120318</v>
      </c>
      <c r="B16" s="717" t="s">
        <v>1430</v>
      </c>
      <c r="C16" s="716">
        <v>0</v>
      </c>
      <c r="D16" s="664"/>
      <c r="E16" s="213"/>
    </row>
    <row r="17" spans="1:5" ht="24" hidden="1" x14ac:dyDescent="0.2">
      <c r="A17" s="715">
        <v>120339</v>
      </c>
      <c r="B17" s="717" t="s">
        <v>1431</v>
      </c>
      <c r="C17" s="716">
        <v>0</v>
      </c>
      <c r="D17" s="664"/>
      <c r="E17" s="213"/>
    </row>
    <row r="18" spans="1:5" ht="36" hidden="1" x14ac:dyDescent="0.2">
      <c r="A18" s="715">
        <v>120340</v>
      </c>
      <c r="B18" s="717" t="s">
        <v>1432</v>
      </c>
      <c r="C18" s="716">
        <v>0</v>
      </c>
      <c r="D18" s="664"/>
    </row>
    <row r="19" spans="1:5" ht="24" hidden="1" x14ac:dyDescent="0.2">
      <c r="A19" s="715">
        <v>120341</v>
      </c>
      <c r="B19" s="717" t="s">
        <v>1433</v>
      </c>
      <c r="C19" s="716">
        <v>0</v>
      </c>
      <c r="D19" s="664"/>
    </row>
    <row r="20" spans="1:5" ht="24" hidden="1" x14ac:dyDescent="0.2">
      <c r="A20" s="715">
        <v>120342</v>
      </c>
      <c r="B20" s="717" t="s">
        <v>1434</v>
      </c>
      <c r="C20" s="716">
        <v>0</v>
      </c>
      <c r="D20" s="664"/>
    </row>
    <row r="21" spans="1:5" ht="24" hidden="1" x14ac:dyDescent="0.2">
      <c r="A21" s="715">
        <v>120343</v>
      </c>
      <c r="B21" s="717" t="s">
        <v>1435</v>
      </c>
      <c r="C21" s="716">
        <v>0</v>
      </c>
      <c r="D21" s="664"/>
    </row>
    <row r="22" spans="1:5" ht="24" hidden="1" x14ac:dyDescent="0.2">
      <c r="A22" s="715">
        <v>120344</v>
      </c>
      <c r="B22" s="717" t="s">
        <v>1436</v>
      </c>
      <c r="C22" s="716">
        <v>0</v>
      </c>
      <c r="D22" s="664"/>
    </row>
    <row r="23" spans="1:5" ht="24" hidden="1" x14ac:dyDescent="0.2">
      <c r="A23" s="715">
        <v>120345</v>
      </c>
      <c r="B23" s="717" t="s">
        <v>1437</v>
      </c>
      <c r="C23" s="716">
        <v>0</v>
      </c>
      <c r="D23" s="664"/>
    </row>
    <row r="24" spans="1:5" ht="36" hidden="1" x14ac:dyDescent="0.2">
      <c r="A24" s="715">
        <v>120346</v>
      </c>
      <c r="B24" s="717" t="s">
        <v>1438</v>
      </c>
      <c r="C24" s="716">
        <v>0</v>
      </c>
      <c r="D24" s="664"/>
    </row>
    <row r="25" spans="1:5" ht="24" hidden="1" x14ac:dyDescent="0.2">
      <c r="A25" s="715">
        <v>120347</v>
      </c>
      <c r="B25" s="717" t="s">
        <v>1439</v>
      </c>
      <c r="C25" s="716">
        <v>0</v>
      </c>
      <c r="D25" s="664"/>
    </row>
    <row r="26" spans="1:5" ht="24" hidden="1" x14ac:dyDescent="0.2">
      <c r="A26" s="715">
        <v>120348</v>
      </c>
      <c r="B26" s="717" t="s">
        <v>1440</v>
      </c>
      <c r="C26" s="716">
        <v>0</v>
      </c>
      <c r="D26" s="664"/>
    </row>
    <row r="27" spans="1:5" ht="24" hidden="1" x14ac:dyDescent="0.2">
      <c r="A27" s="715">
        <v>120349</v>
      </c>
      <c r="B27" s="717" t="s">
        <v>1441</v>
      </c>
      <c r="C27" s="716">
        <v>0</v>
      </c>
      <c r="D27" s="664"/>
    </row>
    <row r="28" spans="1:5" ht="24" hidden="1" x14ac:dyDescent="0.2">
      <c r="A28" s="715">
        <v>120350</v>
      </c>
      <c r="B28" s="717" t="s">
        <v>1442</v>
      </c>
      <c r="C28" s="716">
        <v>0</v>
      </c>
      <c r="D28" s="664"/>
    </row>
    <row r="29" spans="1:5" ht="24" hidden="1" x14ac:dyDescent="0.2">
      <c r="A29" s="715">
        <v>120351</v>
      </c>
      <c r="B29" s="717" t="s">
        <v>1443</v>
      </c>
      <c r="C29" s="716">
        <v>0</v>
      </c>
      <c r="D29" s="664"/>
    </row>
    <row r="30" spans="1:5" ht="24" hidden="1" x14ac:dyDescent="0.2">
      <c r="A30" s="715">
        <v>120352</v>
      </c>
      <c r="B30" s="717" t="s">
        <v>1444</v>
      </c>
      <c r="C30" s="716">
        <v>0</v>
      </c>
      <c r="D30" s="664"/>
    </row>
    <row r="31" spans="1:5" ht="24" hidden="1" x14ac:dyDescent="0.2">
      <c r="A31" s="715">
        <v>120353</v>
      </c>
      <c r="B31" s="717" t="s">
        <v>1445</v>
      </c>
      <c r="C31" s="716">
        <v>0</v>
      </c>
      <c r="D31" s="664"/>
    </row>
    <row r="32" spans="1:5" ht="36" hidden="1" x14ac:dyDescent="0.2">
      <c r="A32" s="715">
        <v>120354</v>
      </c>
      <c r="B32" s="717" t="s">
        <v>1446</v>
      </c>
      <c r="C32" s="716">
        <v>0</v>
      </c>
      <c r="D32" s="664"/>
    </row>
    <row r="33" spans="1:4" ht="24" hidden="1" x14ac:dyDescent="0.2">
      <c r="A33" s="715">
        <v>120355</v>
      </c>
      <c r="B33" s="717" t="s">
        <v>1447</v>
      </c>
      <c r="C33" s="716">
        <v>0</v>
      </c>
      <c r="D33" s="664"/>
    </row>
    <row r="34" spans="1:4" ht="24" hidden="1" x14ac:dyDescent="0.2">
      <c r="A34" s="715">
        <v>120356</v>
      </c>
      <c r="B34" s="717" t="s">
        <v>1448</v>
      </c>
      <c r="C34" s="716">
        <v>0</v>
      </c>
      <c r="D34" s="664"/>
    </row>
    <row r="35" spans="1:4" ht="24" hidden="1" x14ac:dyDescent="0.2">
      <c r="A35" s="715">
        <v>120357</v>
      </c>
      <c r="B35" s="717" t="s">
        <v>1449</v>
      </c>
      <c r="C35" s="716">
        <v>0</v>
      </c>
      <c r="D35" s="664"/>
    </row>
    <row r="36" spans="1:4" ht="24" hidden="1" x14ac:dyDescent="0.2">
      <c r="A36" s="715">
        <v>120358</v>
      </c>
      <c r="B36" s="717" t="s">
        <v>1450</v>
      </c>
      <c r="C36" s="716">
        <v>0</v>
      </c>
      <c r="D36" s="664"/>
    </row>
    <row r="37" spans="1:4" ht="36" hidden="1" x14ac:dyDescent="0.2">
      <c r="A37" s="715">
        <v>120359</v>
      </c>
      <c r="B37" s="717" t="s">
        <v>1451</v>
      </c>
      <c r="C37" s="716">
        <v>0</v>
      </c>
      <c r="D37" s="664"/>
    </row>
    <row r="38" spans="1:4" ht="24" hidden="1" x14ac:dyDescent="0.2">
      <c r="A38" s="715">
        <v>120360</v>
      </c>
      <c r="B38" s="717" t="s">
        <v>1452</v>
      </c>
      <c r="C38" s="716">
        <v>0</v>
      </c>
      <c r="D38" s="664"/>
    </row>
    <row r="39" spans="1:4" ht="24" hidden="1" x14ac:dyDescent="0.2">
      <c r="A39" s="715">
        <v>120361</v>
      </c>
      <c r="B39" s="717" t="s">
        <v>1453</v>
      </c>
      <c r="C39" s="716">
        <v>0</v>
      </c>
      <c r="D39" s="664"/>
    </row>
    <row r="40" spans="1:4" ht="36" hidden="1" x14ac:dyDescent="0.2">
      <c r="A40" s="715">
        <v>120362</v>
      </c>
      <c r="B40" s="717" t="s">
        <v>1454</v>
      </c>
      <c r="C40" s="716">
        <v>0</v>
      </c>
      <c r="D40" s="664"/>
    </row>
    <row r="41" spans="1:4" ht="24" hidden="1" x14ac:dyDescent="0.2">
      <c r="A41" s="715">
        <v>120363</v>
      </c>
      <c r="B41" s="717" t="s">
        <v>1455</v>
      </c>
      <c r="C41" s="716">
        <v>0</v>
      </c>
      <c r="D41" s="664"/>
    </row>
    <row r="42" spans="1:4" ht="24" hidden="1" x14ac:dyDescent="0.2">
      <c r="A42" s="715">
        <v>120364</v>
      </c>
      <c r="B42" s="717" t="s">
        <v>1456</v>
      </c>
      <c r="C42" s="716">
        <v>0</v>
      </c>
      <c r="D42" s="664"/>
    </row>
    <row r="43" spans="1:4" ht="24" hidden="1" x14ac:dyDescent="0.2">
      <c r="A43" s="715">
        <v>120365</v>
      </c>
      <c r="B43" s="717" t="s">
        <v>1457</v>
      </c>
      <c r="C43" s="716">
        <v>0</v>
      </c>
      <c r="D43" s="664"/>
    </row>
    <row r="44" spans="1:4" ht="24" hidden="1" x14ac:dyDescent="0.2">
      <c r="A44" s="715">
        <v>120366</v>
      </c>
      <c r="B44" s="717" t="s">
        <v>1458</v>
      </c>
      <c r="C44" s="716">
        <v>0</v>
      </c>
      <c r="D44" s="664"/>
    </row>
    <row r="45" spans="1:4" ht="24" hidden="1" x14ac:dyDescent="0.2">
      <c r="A45" s="715">
        <v>120367</v>
      </c>
      <c r="B45" s="717" t="s">
        <v>1459</v>
      </c>
      <c r="C45" s="716">
        <v>0</v>
      </c>
      <c r="D45" s="664"/>
    </row>
    <row r="46" spans="1:4" ht="24" hidden="1" x14ac:dyDescent="0.2">
      <c r="A46" s="715">
        <v>120368</v>
      </c>
      <c r="B46" s="717" t="s">
        <v>1460</v>
      </c>
      <c r="C46" s="716">
        <v>0</v>
      </c>
      <c r="D46" s="664"/>
    </row>
    <row r="47" spans="1:4" ht="24" hidden="1" x14ac:dyDescent="0.2">
      <c r="A47" s="715">
        <v>120369</v>
      </c>
      <c r="B47" s="717" t="s">
        <v>1461</v>
      </c>
      <c r="C47" s="716">
        <v>0</v>
      </c>
      <c r="D47" s="664"/>
    </row>
    <row r="48" spans="1:4" ht="24" hidden="1" x14ac:dyDescent="0.2">
      <c r="A48" s="715">
        <v>120370</v>
      </c>
      <c r="B48" s="717" t="s">
        <v>1462</v>
      </c>
      <c r="C48" s="716">
        <v>0</v>
      </c>
      <c r="D48" s="664"/>
    </row>
    <row r="49" spans="1:4" ht="24" hidden="1" x14ac:dyDescent="0.2">
      <c r="A49" s="715">
        <v>120371</v>
      </c>
      <c r="B49" s="717" t="s">
        <v>1463</v>
      </c>
      <c r="C49" s="716">
        <v>0</v>
      </c>
      <c r="D49" s="664"/>
    </row>
    <row r="50" spans="1:4" ht="24" hidden="1" x14ac:dyDescent="0.2">
      <c r="A50" s="715">
        <v>120372</v>
      </c>
      <c r="B50" s="717" t="s">
        <v>1464</v>
      </c>
      <c r="C50" s="716">
        <v>0</v>
      </c>
      <c r="D50" s="664"/>
    </row>
    <row r="51" spans="1:4" ht="24" hidden="1" x14ac:dyDescent="0.2">
      <c r="A51" s="715">
        <v>120373</v>
      </c>
      <c r="B51" s="717" t="s">
        <v>1465</v>
      </c>
      <c r="C51" s="716">
        <v>0</v>
      </c>
      <c r="D51" s="664"/>
    </row>
    <row r="52" spans="1:4" ht="24" hidden="1" x14ac:dyDescent="0.2">
      <c r="A52" s="715">
        <v>120374</v>
      </c>
      <c r="B52" s="717" t="s">
        <v>1466</v>
      </c>
      <c r="C52" s="716">
        <v>0</v>
      </c>
      <c r="D52" s="664"/>
    </row>
    <row r="53" spans="1:4" ht="24" hidden="1" x14ac:dyDescent="0.2">
      <c r="A53" s="715">
        <v>120375</v>
      </c>
      <c r="B53" s="717" t="s">
        <v>1467</v>
      </c>
      <c r="C53" s="716">
        <v>0</v>
      </c>
      <c r="D53" s="664"/>
    </row>
    <row r="54" spans="1:4" ht="24" hidden="1" x14ac:dyDescent="0.2">
      <c r="A54" s="715">
        <v>120376</v>
      </c>
      <c r="B54" s="717" t="s">
        <v>1468</v>
      </c>
      <c r="C54" s="716">
        <v>0</v>
      </c>
      <c r="D54" s="664"/>
    </row>
    <row r="55" spans="1:4" ht="24" hidden="1" x14ac:dyDescent="0.2">
      <c r="A55" s="715">
        <v>120377</v>
      </c>
      <c r="B55" s="717" t="s">
        <v>1469</v>
      </c>
      <c r="C55" s="716">
        <v>0</v>
      </c>
      <c r="D55" s="664"/>
    </row>
    <row r="56" spans="1:4" ht="36" hidden="1" x14ac:dyDescent="0.2">
      <c r="A56" s="715">
        <v>120378</v>
      </c>
      <c r="B56" s="717" t="s">
        <v>1470</v>
      </c>
      <c r="C56" s="716">
        <v>0</v>
      </c>
      <c r="D56" s="664"/>
    </row>
    <row r="57" spans="1:4" ht="36" hidden="1" x14ac:dyDescent="0.2">
      <c r="A57" s="715">
        <v>120379</v>
      </c>
      <c r="B57" s="717" t="s">
        <v>1471</v>
      </c>
      <c r="C57" s="716">
        <v>0</v>
      </c>
      <c r="D57" s="664"/>
    </row>
    <row r="58" spans="1:4" ht="24" hidden="1" x14ac:dyDescent="0.2">
      <c r="A58" s="715">
        <v>120380</v>
      </c>
      <c r="B58" s="717" t="s">
        <v>1472</v>
      </c>
      <c r="C58" s="716">
        <v>0</v>
      </c>
      <c r="D58" s="664"/>
    </row>
    <row r="59" spans="1:4" ht="24" hidden="1" x14ac:dyDescent="0.2">
      <c r="A59" s="715">
        <v>120381</v>
      </c>
      <c r="B59" s="717" t="s">
        <v>1473</v>
      </c>
      <c r="C59" s="716">
        <v>0</v>
      </c>
      <c r="D59" s="664"/>
    </row>
    <row r="60" spans="1:4" ht="24" hidden="1" x14ac:dyDescent="0.2">
      <c r="A60" s="715">
        <v>120382</v>
      </c>
      <c r="B60" s="717" t="s">
        <v>1474</v>
      </c>
      <c r="C60" s="716">
        <v>0</v>
      </c>
      <c r="D60" s="664"/>
    </row>
    <row r="61" spans="1:4" ht="24" hidden="1" x14ac:dyDescent="0.2">
      <c r="A61" s="715">
        <v>120383</v>
      </c>
      <c r="B61" s="717" t="s">
        <v>1475</v>
      </c>
      <c r="C61" s="716">
        <v>0</v>
      </c>
      <c r="D61" s="664"/>
    </row>
    <row r="62" spans="1:4" ht="24" hidden="1" x14ac:dyDescent="0.2">
      <c r="A62" s="715">
        <v>120384</v>
      </c>
      <c r="B62" s="717" t="s">
        <v>1476</v>
      </c>
      <c r="C62" s="716">
        <v>0</v>
      </c>
      <c r="D62" s="664"/>
    </row>
    <row r="63" spans="1:4" ht="24" hidden="1" x14ac:dyDescent="0.2">
      <c r="A63" s="715">
        <v>120385</v>
      </c>
      <c r="B63" s="717" t="s">
        <v>1477</v>
      </c>
      <c r="C63" s="716">
        <v>0</v>
      </c>
      <c r="D63" s="664"/>
    </row>
    <row r="64" spans="1:4" ht="36" hidden="1" x14ac:dyDescent="0.2">
      <c r="A64" s="715">
        <v>120386</v>
      </c>
      <c r="B64" s="717" t="s">
        <v>1478</v>
      </c>
      <c r="C64" s="716">
        <v>0</v>
      </c>
      <c r="D64" s="664"/>
    </row>
    <row r="65" spans="1:4" ht="24" hidden="1" x14ac:dyDescent="0.2">
      <c r="A65" s="715">
        <v>120387</v>
      </c>
      <c r="B65" s="717" t="s">
        <v>1479</v>
      </c>
      <c r="C65" s="716">
        <v>0</v>
      </c>
      <c r="D65" s="664"/>
    </row>
    <row r="66" spans="1:4" ht="24" hidden="1" x14ac:dyDescent="0.2">
      <c r="A66" s="715">
        <v>120388</v>
      </c>
      <c r="B66" s="717" t="s">
        <v>1480</v>
      </c>
      <c r="C66" s="716">
        <v>0</v>
      </c>
      <c r="D66" s="664"/>
    </row>
    <row r="67" spans="1:4" ht="24" hidden="1" x14ac:dyDescent="0.2">
      <c r="A67" s="715">
        <v>120389</v>
      </c>
      <c r="B67" s="717" t="s">
        <v>1481</v>
      </c>
      <c r="C67" s="716">
        <v>0</v>
      </c>
      <c r="D67" s="664"/>
    </row>
    <row r="68" spans="1:4" ht="24" hidden="1" x14ac:dyDescent="0.2">
      <c r="A68" s="715">
        <v>120390</v>
      </c>
      <c r="B68" s="717" t="s">
        <v>1482</v>
      </c>
      <c r="C68" s="716">
        <v>0</v>
      </c>
      <c r="D68" s="664"/>
    </row>
    <row r="69" spans="1:4" ht="36" hidden="1" x14ac:dyDescent="0.2">
      <c r="A69" s="715">
        <v>120391</v>
      </c>
      <c r="B69" s="717" t="s">
        <v>1483</v>
      </c>
      <c r="C69" s="716">
        <v>0</v>
      </c>
      <c r="D69" s="664"/>
    </row>
    <row r="70" spans="1:4" ht="24" hidden="1" x14ac:dyDescent="0.2">
      <c r="A70" s="715">
        <v>120392</v>
      </c>
      <c r="B70" s="717" t="s">
        <v>1484</v>
      </c>
      <c r="C70" s="716">
        <v>0</v>
      </c>
      <c r="D70" s="664"/>
    </row>
    <row r="71" spans="1:4" ht="36" hidden="1" x14ac:dyDescent="0.2">
      <c r="A71" s="715">
        <v>120393</v>
      </c>
      <c r="B71" s="717" t="s">
        <v>1485</v>
      </c>
      <c r="C71" s="716">
        <v>0</v>
      </c>
      <c r="D71" s="664"/>
    </row>
    <row r="72" spans="1:4" ht="36" hidden="1" x14ac:dyDescent="0.2">
      <c r="A72" s="715">
        <v>120394</v>
      </c>
      <c r="B72" s="717" t="s">
        <v>1486</v>
      </c>
      <c r="C72" s="716">
        <v>0</v>
      </c>
      <c r="D72" s="664"/>
    </row>
    <row r="73" spans="1:4" ht="36" hidden="1" x14ac:dyDescent="0.2">
      <c r="A73" s="715">
        <v>120395</v>
      </c>
      <c r="B73" s="717" t="s">
        <v>1487</v>
      </c>
      <c r="C73" s="716">
        <v>0</v>
      </c>
      <c r="D73" s="664"/>
    </row>
    <row r="74" spans="1:4" ht="24" hidden="1" x14ac:dyDescent="0.2">
      <c r="A74" s="715">
        <v>120396</v>
      </c>
      <c r="B74" s="717" t="s">
        <v>1488</v>
      </c>
      <c r="C74" s="716">
        <v>0</v>
      </c>
      <c r="D74" s="664"/>
    </row>
    <row r="75" spans="1:4" ht="24" hidden="1" x14ac:dyDescent="0.2">
      <c r="A75" s="715">
        <v>120397</v>
      </c>
      <c r="B75" s="717" t="s">
        <v>1489</v>
      </c>
      <c r="C75" s="716">
        <v>0</v>
      </c>
      <c r="D75" s="664"/>
    </row>
    <row r="76" spans="1:4" ht="24" hidden="1" x14ac:dyDescent="0.2">
      <c r="A76" s="715">
        <v>120398</v>
      </c>
      <c r="B76" s="717" t="s">
        <v>1490</v>
      </c>
      <c r="C76" s="716">
        <v>0</v>
      </c>
      <c r="D76" s="664"/>
    </row>
    <row r="77" spans="1:4" ht="24" hidden="1" x14ac:dyDescent="0.2">
      <c r="A77" s="715">
        <v>120399</v>
      </c>
      <c r="B77" s="717" t="s">
        <v>1491</v>
      </c>
      <c r="C77" s="716">
        <v>0</v>
      </c>
      <c r="D77" s="664"/>
    </row>
    <row r="78" spans="1:4" ht="36" hidden="1" x14ac:dyDescent="0.2">
      <c r="A78" s="715">
        <v>120400</v>
      </c>
      <c r="B78" s="717" t="s">
        <v>1492</v>
      </c>
      <c r="C78" s="716">
        <v>0</v>
      </c>
      <c r="D78" s="664"/>
    </row>
    <row r="79" spans="1:4" ht="24" hidden="1" x14ac:dyDescent="0.2">
      <c r="A79" s="715">
        <v>120401</v>
      </c>
      <c r="B79" s="717" t="s">
        <v>1493</v>
      </c>
      <c r="C79" s="716">
        <v>0</v>
      </c>
      <c r="D79" s="664"/>
    </row>
    <row r="80" spans="1:4" ht="24" hidden="1" x14ac:dyDescent="0.2">
      <c r="A80" s="715">
        <v>120402</v>
      </c>
      <c r="B80" s="717" t="s">
        <v>1494</v>
      </c>
      <c r="C80" s="716">
        <v>0</v>
      </c>
      <c r="D80" s="664"/>
    </row>
    <row r="81" spans="1:4" ht="24" hidden="1" x14ac:dyDescent="0.2">
      <c r="A81" s="715">
        <v>120403</v>
      </c>
      <c r="B81" s="717" t="s">
        <v>1495</v>
      </c>
      <c r="C81" s="716">
        <v>0</v>
      </c>
      <c r="D81" s="664"/>
    </row>
    <row r="82" spans="1:4" ht="24" hidden="1" x14ac:dyDescent="0.2">
      <c r="A82" s="715">
        <v>120404</v>
      </c>
      <c r="B82" s="717" t="s">
        <v>1496</v>
      </c>
      <c r="C82" s="716">
        <v>0</v>
      </c>
      <c r="D82" s="664"/>
    </row>
    <row r="83" spans="1:4" ht="36" hidden="1" x14ac:dyDescent="0.2">
      <c r="A83" s="715">
        <v>120405</v>
      </c>
      <c r="B83" s="717" t="s">
        <v>1497</v>
      </c>
      <c r="C83" s="716">
        <v>0</v>
      </c>
      <c r="D83" s="664"/>
    </row>
    <row r="84" spans="1:4" ht="36" hidden="1" x14ac:dyDescent="0.2">
      <c r="A84" s="715">
        <v>120406</v>
      </c>
      <c r="B84" s="717" t="s">
        <v>1498</v>
      </c>
      <c r="C84" s="716">
        <v>0</v>
      </c>
      <c r="D84" s="664"/>
    </row>
    <row r="85" spans="1:4" ht="24" hidden="1" x14ac:dyDescent="0.2">
      <c r="A85" s="715">
        <v>120407</v>
      </c>
      <c r="B85" s="717" t="s">
        <v>1499</v>
      </c>
      <c r="C85" s="716">
        <v>0</v>
      </c>
      <c r="D85" s="664"/>
    </row>
    <row r="86" spans="1:4" ht="36" hidden="1" x14ac:dyDescent="0.2">
      <c r="A86" s="715">
        <v>120408</v>
      </c>
      <c r="B86" s="717" t="s">
        <v>1500</v>
      </c>
      <c r="C86" s="716">
        <v>0</v>
      </c>
      <c r="D86" s="664"/>
    </row>
    <row r="87" spans="1:4" ht="36" hidden="1" x14ac:dyDescent="0.2">
      <c r="A87" s="715">
        <v>120409</v>
      </c>
      <c r="B87" s="717" t="s">
        <v>1501</v>
      </c>
      <c r="C87" s="716">
        <v>0</v>
      </c>
      <c r="D87" s="664"/>
    </row>
    <row r="88" spans="1:4" ht="36" hidden="1" x14ac:dyDescent="0.2">
      <c r="A88" s="715">
        <v>120410</v>
      </c>
      <c r="B88" s="717" t="s">
        <v>1502</v>
      </c>
      <c r="C88" s="716">
        <v>0</v>
      </c>
      <c r="D88" s="664"/>
    </row>
    <row r="89" spans="1:4" hidden="1" x14ac:dyDescent="0.2">
      <c r="A89" s="715">
        <v>122194</v>
      </c>
      <c r="B89" s="717" t="s">
        <v>1336</v>
      </c>
      <c r="C89" s="716">
        <v>0</v>
      </c>
      <c r="D89" s="664"/>
    </row>
    <row r="90" spans="1:4" hidden="1" x14ac:dyDescent="0.2">
      <c r="A90" s="715">
        <v>122195</v>
      </c>
      <c r="B90" s="717" t="s">
        <v>1428</v>
      </c>
      <c r="C90" s="716">
        <v>0</v>
      </c>
      <c r="D90" s="664"/>
    </row>
    <row r="91" spans="1:4" ht="48" hidden="1" x14ac:dyDescent="0.2">
      <c r="A91" s="715">
        <v>122196</v>
      </c>
      <c r="B91" s="717" t="s">
        <v>1503</v>
      </c>
      <c r="C91" s="716">
        <v>0</v>
      </c>
      <c r="D91" s="664"/>
    </row>
    <row r="92" spans="1:4" s="823" customFormat="1" ht="11.25" x14ac:dyDescent="0.2">
      <c r="A92" s="920">
        <v>122194</v>
      </c>
      <c r="B92" s="922" t="s">
        <v>1336</v>
      </c>
      <c r="C92" s="921">
        <v>822027.8</v>
      </c>
      <c r="D92" s="921">
        <v>0</v>
      </c>
    </row>
    <row r="93" spans="1:4" s="823" customFormat="1" ht="11.25" x14ac:dyDescent="0.2">
      <c r="A93" s="920">
        <v>122195</v>
      </c>
      <c r="B93" s="922" t="s">
        <v>1428</v>
      </c>
      <c r="C93" s="921">
        <v>73193232.540000007</v>
      </c>
      <c r="D93" s="921">
        <v>0</v>
      </c>
    </row>
    <row r="94" spans="1:4" s="823" customFormat="1" ht="33.75" x14ac:dyDescent="0.2">
      <c r="A94" s="920">
        <v>122196</v>
      </c>
      <c r="B94" s="922" t="s">
        <v>1503</v>
      </c>
      <c r="C94" s="921">
        <v>72395448.190000013</v>
      </c>
      <c r="D94" s="921">
        <v>0</v>
      </c>
    </row>
    <row r="95" spans="1:4" s="823" customFormat="1" ht="11.25" x14ac:dyDescent="0.2">
      <c r="A95" s="920">
        <v>122197</v>
      </c>
      <c r="B95" s="922" t="s">
        <v>1971</v>
      </c>
      <c r="C95" s="921">
        <v>0</v>
      </c>
      <c r="D95" s="921">
        <v>6293700</v>
      </c>
    </row>
    <row r="96" spans="1:4" s="823" customFormat="1" ht="22.5" x14ac:dyDescent="0.2">
      <c r="A96" s="920">
        <v>122198</v>
      </c>
      <c r="B96" s="922" t="s">
        <v>1972</v>
      </c>
      <c r="C96" s="921">
        <v>0</v>
      </c>
      <c r="D96" s="921">
        <v>2747250</v>
      </c>
    </row>
    <row r="97" spans="1:4" s="823" customFormat="1" ht="22.5" x14ac:dyDescent="0.2">
      <c r="A97" s="920">
        <v>122199</v>
      </c>
      <c r="B97" s="922" t="s">
        <v>1504</v>
      </c>
      <c r="C97" s="921">
        <v>0</v>
      </c>
      <c r="D97" s="921">
        <v>1998000</v>
      </c>
    </row>
    <row r="98" spans="1:4" s="823" customFormat="1" ht="22.5" x14ac:dyDescent="0.2">
      <c r="A98" s="920">
        <v>122200</v>
      </c>
      <c r="B98" s="922" t="s">
        <v>1973</v>
      </c>
      <c r="C98" s="921">
        <v>0</v>
      </c>
      <c r="D98" s="921">
        <v>1245503.8500000001</v>
      </c>
    </row>
    <row r="99" spans="1:4" s="823" customFormat="1" ht="22.5" x14ac:dyDescent="0.2">
      <c r="A99" s="920">
        <v>122201</v>
      </c>
      <c r="B99" s="922" t="s">
        <v>1505</v>
      </c>
      <c r="C99" s="921">
        <v>0</v>
      </c>
      <c r="D99" s="921">
        <v>1248750</v>
      </c>
    </row>
    <row r="100" spans="1:4" s="823" customFormat="1" ht="11.25" x14ac:dyDescent="0.2">
      <c r="A100" s="920">
        <v>122202</v>
      </c>
      <c r="B100" s="922" t="s">
        <v>1974</v>
      </c>
      <c r="C100" s="921">
        <v>0</v>
      </c>
      <c r="D100" s="921">
        <v>1248750</v>
      </c>
    </row>
    <row r="101" spans="1:4" s="823" customFormat="1" ht="22.5" x14ac:dyDescent="0.2">
      <c r="A101" s="920">
        <v>122203</v>
      </c>
      <c r="B101" s="922" t="s">
        <v>1506</v>
      </c>
      <c r="C101" s="921">
        <v>0</v>
      </c>
      <c r="D101" s="921">
        <v>1248750</v>
      </c>
    </row>
    <row r="102" spans="1:4" s="823" customFormat="1" ht="45" x14ac:dyDescent="0.2">
      <c r="A102" s="920">
        <v>122204</v>
      </c>
      <c r="B102" s="922" t="s">
        <v>1507</v>
      </c>
      <c r="C102" s="921">
        <v>0</v>
      </c>
      <c r="D102" s="921">
        <v>1248750</v>
      </c>
    </row>
    <row r="103" spans="1:4" s="823" customFormat="1" ht="33.75" x14ac:dyDescent="0.2">
      <c r="A103" s="920">
        <v>122205</v>
      </c>
      <c r="B103" s="922" t="s">
        <v>1508</v>
      </c>
      <c r="C103" s="921">
        <v>0</v>
      </c>
      <c r="D103" s="921">
        <v>12420.54</v>
      </c>
    </row>
    <row r="104" spans="1:4" s="823" customFormat="1" ht="33.75" x14ac:dyDescent="0.2">
      <c r="A104" s="920">
        <v>122206</v>
      </c>
      <c r="B104" s="922" t="s">
        <v>1975</v>
      </c>
      <c r="C104" s="921">
        <v>0</v>
      </c>
      <c r="D104" s="921">
        <v>1247810.94</v>
      </c>
    </row>
    <row r="105" spans="1:4" s="823" customFormat="1" ht="33.75" x14ac:dyDescent="0.2">
      <c r="A105" s="920">
        <v>122207</v>
      </c>
      <c r="B105" s="922" t="s">
        <v>1509</v>
      </c>
      <c r="C105" s="921">
        <v>0</v>
      </c>
      <c r="D105" s="921">
        <v>1248750</v>
      </c>
    </row>
    <row r="106" spans="1:4" s="823" customFormat="1" ht="22.5" x14ac:dyDescent="0.2">
      <c r="A106" s="920">
        <v>122208</v>
      </c>
      <c r="B106" s="922" t="s">
        <v>1510</v>
      </c>
      <c r="C106" s="921">
        <v>0</v>
      </c>
      <c r="D106" s="921">
        <v>1248750</v>
      </c>
    </row>
    <row r="107" spans="1:4" s="823" customFormat="1" ht="11.25" x14ac:dyDescent="0.2">
      <c r="A107" s="920">
        <v>122209</v>
      </c>
      <c r="B107" s="922" t="s">
        <v>1511</v>
      </c>
      <c r="C107" s="921">
        <v>0</v>
      </c>
      <c r="D107" s="921">
        <v>624375</v>
      </c>
    </row>
    <row r="108" spans="1:4" s="823" customFormat="1" ht="22.5" x14ac:dyDescent="0.2">
      <c r="A108" s="920">
        <v>122210</v>
      </c>
      <c r="B108" s="922" t="s">
        <v>1512</v>
      </c>
      <c r="C108" s="921">
        <v>0</v>
      </c>
      <c r="D108" s="921">
        <v>624375</v>
      </c>
    </row>
    <row r="109" spans="1:4" s="823" customFormat="1" ht="33.75" x14ac:dyDescent="0.2">
      <c r="A109" s="920">
        <v>122211</v>
      </c>
      <c r="B109" s="922" t="s">
        <v>1976</v>
      </c>
      <c r="C109" s="921">
        <v>0</v>
      </c>
      <c r="D109" s="921">
        <v>1248750</v>
      </c>
    </row>
    <row r="110" spans="1:4" s="823" customFormat="1" ht="22.5" x14ac:dyDescent="0.2">
      <c r="A110" s="920">
        <v>122212</v>
      </c>
      <c r="B110" s="922" t="s">
        <v>1513</v>
      </c>
      <c r="C110" s="921">
        <v>0</v>
      </c>
      <c r="D110" s="921">
        <v>1248750</v>
      </c>
    </row>
    <row r="111" spans="1:4" s="823" customFormat="1" ht="33.75" x14ac:dyDescent="0.2">
      <c r="A111" s="920">
        <v>122213</v>
      </c>
      <c r="B111" s="922" t="s">
        <v>1514</v>
      </c>
      <c r="C111" s="921">
        <v>0</v>
      </c>
      <c r="D111" s="921">
        <v>1248750</v>
      </c>
    </row>
    <row r="112" spans="1:4" s="823" customFormat="1" ht="11.25" x14ac:dyDescent="0.2">
      <c r="A112" s="920">
        <v>122214</v>
      </c>
      <c r="B112" s="922" t="s">
        <v>1977</v>
      </c>
      <c r="C112" s="921">
        <v>0</v>
      </c>
      <c r="D112" s="921">
        <v>799200</v>
      </c>
    </row>
    <row r="113" spans="1:4" s="823" customFormat="1" ht="22.5" x14ac:dyDescent="0.2">
      <c r="A113" s="920">
        <v>122215</v>
      </c>
      <c r="B113" s="922" t="s">
        <v>1515</v>
      </c>
      <c r="C113" s="921">
        <v>0</v>
      </c>
      <c r="D113" s="921">
        <v>1248750</v>
      </c>
    </row>
    <row r="114" spans="1:4" s="823" customFormat="1" ht="33.75" x14ac:dyDescent="0.2">
      <c r="A114" s="920">
        <v>122216</v>
      </c>
      <c r="B114" s="922" t="s">
        <v>1516</v>
      </c>
      <c r="C114" s="921">
        <v>0</v>
      </c>
      <c r="D114" s="921">
        <v>29057949.27</v>
      </c>
    </row>
    <row r="115" spans="1:4" s="823" customFormat="1" ht="22.5" x14ac:dyDescent="0.2">
      <c r="A115" s="920">
        <v>122217</v>
      </c>
      <c r="B115" s="922" t="s">
        <v>1517</v>
      </c>
      <c r="C115" s="921">
        <v>0</v>
      </c>
      <c r="D115" s="921">
        <v>659861.24</v>
      </c>
    </row>
    <row r="116" spans="1:4" s="823" customFormat="1" ht="33.75" x14ac:dyDescent="0.2">
      <c r="A116" s="920">
        <v>122218</v>
      </c>
      <c r="B116" s="922" t="s">
        <v>1518</v>
      </c>
      <c r="C116" s="921">
        <v>0</v>
      </c>
      <c r="D116" s="921">
        <v>1248750</v>
      </c>
    </row>
    <row r="117" spans="1:4" s="823" customFormat="1" ht="22.5" x14ac:dyDescent="0.2">
      <c r="A117" s="920">
        <v>122219</v>
      </c>
      <c r="B117" s="922" t="s">
        <v>1519</v>
      </c>
      <c r="C117" s="921">
        <v>0</v>
      </c>
      <c r="D117" s="921">
        <v>1248750</v>
      </c>
    </row>
    <row r="118" spans="1:4" s="823" customFormat="1" ht="45" x14ac:dyDescent="0.2">
      <c r="A118" s="920">
        <v>122220</v>
      </c>
      <c r="B118" s="922" t="s">
        <v>1520</v>
      </c>
      <c r="C118" s="921">
        <v>0</v>
      </c>
      <c r="D118" s="921">
        <v>1198800</v>
      </c>
    </row>
    <row r="119" spans="1:4" s="823" customFormat="1" ht="33.75" x14ac:dyDescent="0.2">
      <c r="A119" s="920">
        <v>122221</v>
      </c>
      <c r="B119" s="922" t="s">
        <v>1521</v>
      </c>
      <c r="C119" s="921">
        <v>0</v>
      </c>
      <c r="D119" s="921">
        <v>1248750</v>
      </c>
    </row>
    <row r="120" spans="1:4" s="823" customFormat="1" ht="33.75" x14ac:dyDescent="0.2">
      <c r="A120" s="920">
        <v>122222</v>
      </c>
      <c r="B120" s="922" t="s">
        <v>1522</v>
      </c>
      <c r="C120" s="921">
        <v>0</v>
      </c>
      <c r="D120" s="921">
        <v>1248750</v>
      </c>
    </row>
    <row r="121" spans="1:4" s="823" customFormat="1" ht="22.5" x14ac:dyDescent="0.2">
      <c r="A121" s="920">
        <v>122223</v>
      </c>
      <c r="B121" s="922" t="s">
        <v>1523</v>
      </c>
      <c r="C121" s="921">
        <v>0</v>
      </c>
      <c r="D121" s="921">
        <v>1248750</v>
      </c>
    </row>
    <row r="122" spans="1:4" s="823" customFormat="1" ht="33.75" x14ac:dyDescent="0.2">
      <c r="A122" s="920">
        <v>122224</v>
      </c>
      <c r="B122" s="922" t="s">
        <v>1524</v>
      </c>
      <c r="C122" s="921">
        <v>0</v>
      </c>
      <c r="D122" s="921">
        <v>20255.55</v>
      </c>
    </row>
    <row r="123" spans="1:4" s="823" customFormat="1" ht="22.5" x14ac:dyDescent="0.2">
      <c r="A123" s="920">
        <v>122225</v>
      </c>
      <c r="B123" s="922" t="s">
        <v>1525</v>
      </c>
      <c r="C123" s="921">
        <v>0</v>
      </c>
      <c r="D123" s="921">
        <v>1248750</v>
      </c>
    </row>
    <row r="124" spans="1:4" s="823" customFormat="1" ht="22.5" x14ac:dyDescent="0.2">
      <c r="A124" s="920">
        <v>122226</v>
      </c>
      <c r="B124" s="922" t="s">
        <v>1526</v>
      </c>
      <c r="C124" s="921">
        <v>0</v>
      </c>
      <c r="D124" s="921">
        <v>1198800</v>
      </c>
    </row>
    <row r="125" spans="1:4" s="823" customFormat="1" ht="33.75" x14ac:dyDescent="0.2">
      <c r="A125" s="920">
        <v>122227</v>
      </c>
      <c r="B125" s="922" t="s">
        <v>1527</v>
      </c>
      <c r="C125" s="921">
        <v>0</v>
      </c>
      <c r="D125" s="921">
        <v>29815991.739999998</v>
      </c>
    </row>
    <row r="126" spans="1:4" s="823" customFormat="1" ht="33.75" x14ac:dyDescent="0.2">
      <c r="A126" s="920">
        <v>122228</v>
      </c>
      <c r="B126" s="922" t="s">
        <v>1527</v>
      </c>
      <c r="C126" s="921">
        <v>0</v>
      </c>
      <c r="D126" s="921">
        <v>15477292.83</v>
      </c>
    </row>
    <row r="127" spans="1:4" s="823" customFormat="1" ht="33.75" x14ac:dyDescent="0.2">
      <c r="A127" s="920">
        <v>122229</v>
      </c>
      <c r="B127" s="922" t="s">
        <v>1527</v>
      </c>
      <c r="C127" s="921">
        <v>0</v>
      </c>
      <c r="D127" s="921">
        <v>24211759.170000002</v>
      </c>
    </row>
    <row r="128" spans="1:4" s="823" customFormat="1" ht="11.25" x14ac:dyDescent="0.2">
      <c r="A128" s="920">
        <v>122230</v>
      </c>
      <c r="B128" s="922" t="s">
        <v>1528</v>
      </c>
      <c r="C128" s="921">
        <v>0</v>
      </c>
      <c r="D128" s="921">
        <v>3043505.17</v>
      </c>
    </row>
    <row r="129" spans="1:4" s="823" customFormat="1" ht="45" x14ac:dyDescent="0.2">
      <c r="A129" s="920">
        <v>122231</v>
      </c>
      <c r="B129" s="922" t="s">
        <v>1529</v>
      </c>
      <c r="C129" s="921">
        <v>0</v>
      </c>
      <c r="D129" s="921">
        <v>588888.52</v>
      </c>
    </row>
    <row r="130" spans="1:4" s="823" customFormat="1" ht="33.75" x14ac:dyDescent="0.2">
      <c r="A130" s="920">
        <v>122232</v>
      </c>
      <c r="B130" s="922" t="s">
        <v>1978</v>
      </c>
      <c r="C130" s="921">
        <v>0</v>
      </c>
      <c r="D130" s="921">
        <v>1248749.99</v>
      </c>
    </row>
    <row r="131" spans="1:4" s="823" customFormat="1" ht="22.5" x14ac:dyDescent="0.2">
      <c r="A131" s="920">
        <v>122233</v>
      </c>
      <c r="B131" s="922" t="s">
        <v>1979</v>
      </c>
      <c r="C131" s="921">
        <v>0</v>
      </c>
      <c r="D131" s="921">
        <v>1248750</v>
      </c>
    </row>
    <row r="132" spans="1:4" s="823" customFormat="1" ht="11.25" x14ac:dyDescent="0.2">
      <c r="A132" s="920">
        <v>122623</v>
      </c>
      <c r="B132" s="922" t="s">
        <v>1530</v>
      </c>
      <c r="C132" s="921">
        <v>700000</v>
      </c>
      <c r="D132" s="921">
        <v>0</v>
      </c>
    </row>
    <row r="133" spans="1:4" s="823" customFormat="1" ht="11.25" x14ac:dyDescent="0.2">
      <c r="A133" s="920">
        <v>122624</v>
      </c>
      <c r="B133" s="922" t="s">
        <v>1531</v>
      </c>
      <c r="C133" s="921">
        <v>350000</v>
      </c>
      <c r="D133" s="921">
        <v>0</v>
      </c>
    </row>
    <row r="134" spans="1:4" s="823" customFormat="1" ht="11.25" x14ac:dyDescent="0.2">
      <c r="A134" s="920">
        <v>122625</v>
      </c>
      <c r="B134" s="922" t="s">
        <v>1532</v>
      </c>
      <c r="C134" s="921">
        <v>518000</v>
      </c>
      <c r="D134" s="921">
        <v>0</v>
      </c>
    </row>
    <row r="135" spans="1:4" s="823" customFormat="1" ht="11.25" x14ac:dyDescent="0.2">
      <c r="A135" s="920">
        <v>122626</v>
      </c>
      <c r="B135" s="922" t="s">
        <v>1533</v>
      </c>
      <c r="C135" s="921">
        <v>650000</v>
      </c>
      <c r="D135" s="921">
        <v>0</v>
      </c>
    </row>
    <row r="136" spans="1:4" s="823" customFormat="1" ht="11.25" x14ac:dyDescent="0.2">
      <c r="A136" s="920">
        <v>122627</v>
      </c>
      <c r="B136" s="922" t="s">
        <v>1534</v>
      </c>
      <c r="C136" s="921">
        <v>680000</v>
      </c>
      <c r="D136" s="921">
        <v>0</v>
      </c>
    </row>
    <row r="137" spans="1:4" s="823" customFormat="1" ht="11.25" x14ac:dyDescent="0.2">
      <c r="A137" s="920">
        <v>122628</v>
      </c>
      <c r="B137" s="922" t="s">
        <v>1535</v>
      </c>
      <c r="C137" s="921">
        <v>500000</v>
      </c>
      <c r="D137" s="921">
        <v>0</v>
      </c>
    </row>
    <row r="138" spans="1:4" s="823" customFormat="1" ht="11.25" x14ac:dyDescent="0.2">
      <c r="A138" s="920">
        <v>122629</v>
      </c>
      <c r="B138" s="922" t="s">
        <v>1536</v>
      </c>
      <c r="C138" s="921">
        <v>300000</v>
      </c>
      <c r="D138" s="921">
        <v>0</v>
      </c>
    </row>
    <row r="139" spans="1:4" s="823" customFormat="1" ht="11.25" x14ac:dyDescent="0.2">
      <c r="A139" s="920">
        <v>122630</v>
      </c>
      <c r="B139" s="922" t="s">
        <v>1537</v>
      </c>
      <c r="C139" s="921">
        <v>350000</v>
      </c>
      <c r="D139" s="921">
        <v>0</v>
      </c>
    </row>
    <row r="140" spans="1:4" s="823" customFormat="1" ht="11.25" x14ac:dyDescent="0.2">
      <c r="A140" s="920">
        <v>122631</v>
      </c>
      <c r="B140" s="922" t="s">
        <v>1538</v>
      </c>
      <c r="C140" s="921">
        <v>400000</v>
      </c>
      <c r="D140" s="921">
        <v>0</v>
      </c>
    </row>
    <row r="141" spans="1:4" s="823" customFormat="1" ht="11.25" x14ac:dyDescent="0.2">
      <c r="A141" s="920">
        <v>122632</v>
      </c>
      <c r="B141" s="922" t="s">
        <v>1539</v>
      </c>
      <c r="C141" s="921">
        <v>550691.38</v>
      </c>
      <c r="D141" s="921">
        <v>0</v>
      </c>
    </row>
    <row r="142" spans="1:4" s="823" customFormat="1" ht="11.25" x14ac:dyDescent="0.2">
      <c r="A142" s="920">
        <v>122633</v>
      </c>
      <c r="B142" s="922" t="s">
        <v>1540</v>
      </c>
      <c r="C142" s="921">
        <v>200000</v>
      </c>
      <c r="D142" s="921">
        <v>0</v>
      </c>
    </row>
    <row r="143" spans="1:4" s="823" customFormat="1" ht="11.25" x14ac:dyDescent="0.2">
      <c r="A143" s="920">
        <v>122634</v>
      </c>
      <c r="B143" s="922" t="s">
        <v>1541</v>
      </c>
      <c r="C143" s="921">
        <v>600000</v>
      </c>
      <c r="D143" s="921">
        <v>0</v>
      </c>
    </row>
    <row r="144" spans="1:4" s="823" customFormat="1" ht="22.5" x14ac:dyDescent="0.2">
      <c r="A144" s="920">
        <v>122635</v>
      </c>
      <c r="B144" s="922" t="s">
        <v>1542</v>
      </c>
      <c r="C144" s="921">
        <v>400000</v>
      </c>
      <c r="D144" s="921">
        <v>0</v>
      </c>
    </row>
    <row r="145" spans="1:4" s="823" customFormat="1" ht="33.75" x14ac:dyDescent="0.2">
      <c r="A145" s="920">
        <v>122636</v>
      </c>
      <c r="B145" s="922" t="s">
        <v>1543</v>
      </c>
      <c r="C145" s="921">
        <v>810000</v>
      </c>
      <c r="D145" s="921">
        <v>0</v>
      </c>
    </row>
    <row r="146" spans="1:4" s="823" customFormat="1" ht="11.25" x14ac:dyDescent="0.2">
      <c r="A146" s="920">
        <v>122637</v>
      </c>
      <c r="B146" s="922" t="s">
        <v>1544</v>
      </c>
      <c r="C146" s="921">
        <v>651000</v>
      </c>
      <c r="D146" s="921">
        <v>0</v>
      </c>
    </row>
    <row r="147" spans="1:4" s="823" customFormat="1" ht="11.25" x14ac:dyDescent="0.2">
      <c r="A147" s="920">
        <v>122638</v>
      </c>
      <c r="B147" s="922" t="s">
        <v>1545</v>
      </c>
      <c r="C147" s="921">
        <v>810000</v>
      </c>
      <c r="D147" s="921">
        <v>0</v>
      </c>
    </row>
    <row r="148" spans="1:4" s="823" customFormat="1" ht="11.25" x14ac:dyDescent="0.2">
      <c r="A148" s="920">
        <v>122639</v>
      </c>
      <c r="B148" s="922" t="s">
        <v>1546</v>
      </c>
      <c r="C148" s="921">
        <v>810000</v>
      </c>
      <c r="D148" s="921">
        <v>0</v>
      </c>
    </row>
    <row r="149" spans="1:4" s="823" customFormat="1" ht="11.25" x14ac:dyDescent="0.2">
      <c r="A149" s="920">
        <v>122640</v>
      </c>
      <c r="B149" s="922" t="s">
        <v>1534</v>
      </c>
      <c r="C149" s="921">
        <v>801000</v>
      </c>
      <c r="D149" s="921">
        <v>0</v>
      </c>
    </row>
    <row r="150" spans="1:4" s="823" customFormat="1" ht="22.5" x14ac:dyDescent="0.2">
      <c r="A150" s="920">
        <v>122641</v>
      </c>
      <c r="B150" s="922" t="s">
        <v>1547</v>
      </c>
      <c r="C150" s="921">
        <v>270000</v>
      </c>
      <c r="D150" s="921">
        <v>0</v>
      </c>
    </row>
    <row r="151" spans="1:4" s="823" customFormat="1" ht="11.25" x14ac:dyDescent="0.2">
      <c r="A151" s="920">
        <v>122642</v>
      </c>
      <c r="B151" s="922" t="s">
        <v>1548</v>
      </c>
      <c r="C151" s="921">
        <v>540500</v>
      </c>
      <c r="D151" s="921">
        <v>0</v>
      </c>
    </row>
    <row r="152" spans="1:4" s="823" customFormat="1" ht="11.25" x14ac:dyDescent="0.2">
      <c r="A152" s="920">
        <v>122643</v>
      </c>
      <c r="B152" s="922" t="s">
        <v>1549</v>
      </c>
      <c r="C152" s="921">
        <v>300000</v>
      </c>
      <c r="D152" s="921">
        <v>0</v>
      </c>
    </row>
    <row r="153" spans="1:4" s="823" customFormat="1" ht="11.25" x14ac:dyDescent="0.2">
      <c r="A153" s="920">
        <v>122644</v>
      </c>
      <c r="B153" s="922" t="s">
        <v>1550</v>
      </c>
      <c r="C153" s="921">
        <v>601000</v>
      </c>
      <c r="D153" s="921">
        <v>0</v>
      </c>
    </row>
    <row r="154" spans="1:4" s="823" customFormat="1" ht="11.25" x14ac:dyDescent="0.2">
      <c r="A154" s="920">
        <v>122645</v>
      </c>
      <c r="B154" s="922" t="s">
        <v>1550</v>
      </c>
      <c r="C154" s="921">
        <v>601000</v>
      </c>
      <c r="D154" s="921">
        <v>0</v>
      </c>
    </row>
    <row r="155" spans="1:4" s="823" customFormat="1" ht="11.25" x14ac:dyDescent="0.2">
      <c r="A155" s="920">
        <v>122646</v>
      </c>
      <c r="B155" s="922" t="s">
        <v>1551</v>
      </c>
      <c r="C155" s="921">
        <v>651000</v>
      </c>
      <c r="D155" s="921">
        <v>0</v>
      </c>
    </row>
    <row r="156" spans="1:4" s="823" customFormat="1" ht="11.25" x14ac:dyDescent="0.2">
      <c r="A156" s="920">
        <v>122647</v>
      </c>
      <c r="B156" s="922" t="s">
        <v>1552</v>
      </c>
      <c r="C156" s="921">
        <v>701000</v>
      </c>
      <c r="D156" s="921">
        <v>0</v>
      </c>
    </row>
    <row r="157" spans="1:4" s="823" customFormat="1" ht="11.25" x14ac:dyDescent="0.2">
      <c r="A157" s="920">
        <v>122648</v>
      </c>
      <c r="B157" s="922" t="s">
        <v>1550</v>
      </c>
      <c r="C157" s="921">
        <v>751000</v>
      </c>
      <c r="D157" s="921">
        <v>0</v>
      </c>
    </row>
    <row r="158" spans="1:4" s="823" customFormat="1" ht="11.25" x14ac:dyDescent="0.2">
      <c r="A158" s="920">
        <v>122649</v>
      </c>
      <c r="B158" s="922" t="s">
        <v>1552</v>
      </c>
      <c r="C158" s="921">
        <v>701000</v>
      </c>
      <c r="D158" s="921">
        <v>0</v>
      </c>
    </row>
    <row r="159" spans="1:4" s="823" customFormat="1" ht="11.25" x14ac:dyDescent="0.2">
      <c r="A159" s="920">
        <v>122650</v>
      </c>
      <c r="B159" s="922" t="s">
        <v>1552</v>
      </c>
      <c r="C159" s="921">
        <v>751000</v>
      </c>
      <c r="D159" s="921">
        <v>0</v>
      </c>
    </row>
    <row r="160" spans="1:4" s="823" customFormat="1" ht="11.25" x14ac:dyDescent="0.2">
      <c r="A160" s="920">
        <v>122651</v>
      </c>
      <c r="B160" s="922" t="s">
        <v>1553</v>
      </c>
      <c r="C160" s="921">
        <v>651000</v>
      </c>
      <c r="D160" s="921">
        <v>0</v>
      </c>
    </row>
    <row r="161" spans="1:4" s="823" customFormat="1" ht="11.25" x14ac:dyDescent="0.2">
      <c r="A161" s="920">
        <v>122652</v>
      </c>
      <c r="B161" s="922" t="s">
        <v>1554</v>
      </c>
      <c r="C161" s="921">
        <v>751000</v>
      </c>
      <c r="D161" s="921">
        <v>0</v>
      </c>
    </row>
    <row r="162" spans="1:4" s="823" customFormat="1" ht="11.25" x14ac:dyDescent="0.2">
      <c r="A162" s="920">
        <v>122653</v>
      </c>
      <c r="B162" s="922" t="s">
        <v>1555</v>
      </c>
      <c r="C162" s="921">
        <v>751000</v>
      </c>
      <c r="D162" s="921">
        <v>0</v>
      </c>
    </row>
    <row r="163" spans="1:4" s="823" customFormat="1" ht="22.5" x14ac:dyDescent="0.2">
      <c r="A163" s="920">
        <v>122654</v>
      </c>
      <c r="B163" s="922" t="s">
        <v>1556</v>
      </c>
      <c r="C163" s="921">
        <v>751000</v>
      </c>
      <c r="D163" s="921">
        <v>0</v>
      </c>
    </row>
    <row r="164" spans="1:4" s="823" customFormat="1" ht="11.25" x14ac:dyDescent="0.2">
      <c r="A164" s="920">
        <v>122655</v>
      </c>
      <c r="B164" s="922" t="s">
        <v>1557</v>
      </c>
      <c r="C164" s="921">
        <v>751000</v>
      </c>
      <c r="D164" s="921">
        <v>0</v>
      </c>
    </row>
    <row r="165" spans="1:4" s="823" customFormat="1" ht="22.5" x14ac:dyDescent="0.2">
      <c r="A165" s="920">
        <v>122656</v>
      </c>
      <c r="B165" s="922" t="s">
        <v>1558</v>
      </c>
      <c r="C165" s="921">
        <v>751000</v>
      </c>
      <c r="D165" s="921">
        <v>0</v>
      </c>
    </row>
    <row r="166" spans="1:4" s="823" customFormat="1" ht="11.25" x14ac:dyDescent="0.2">
      <c r="A166" s="920">
        <v>122657</v>
      </c>
      <c r="B166" s="922" t="s">
        <v>1559</v>
      </c>
      <c r="C166" s="921">
        <v>751000</v>
      </c>
      <c r="D166" s="921">
        <v>0</v>
      </c>
    </row>
    <row r="167" spans="1:4" s="823" customFormat="1" ht="11.25" x14ac:dyDescent="0.2">
      <c r="A167" s="920">
        <v>122658</v>
      </c>
      <c r="B167" s="922" t="s">
        <v>1560</v>
      </c>
      <c r="C167" s="921">
        <v>751000</v>
      </c>
      <c r="D167" s="921">
        <v>0</v>
      </c>
    </row>
    <row r="168" spans="1:4" s="823" customFormat="1" ht="11.25" x14ac:dyDescent="0.2">
      <c r="A168" s="920">
        <v>122659</v>
      </c>
      <c r="B168" s="922" t="s">
        <v>1561</v>
      </c>
      <c r="C168" s="921">
        <v>701000</v>
      </c>
      <c r="D168" s="921">
        <v>0</v>
      </c>
    </row>
    <row r="169" spans="1:4" s="823" customFormat="1" ht="11.25" x14ac:dyDescent="0.2">
      <c r="A169" s="920">
        <v>122660</v>
      </c>
      <c r="B169" s="922" t="s">
        <v>1562</v>
      </c>
      <c r="C169" s="921">
        <v>431000</v>
      </c>
      <c r="D169" s="921">
        <v>0</v>
      </c>
    </row>
    <row r="170" spans="1:4" s="823" customFormat="1" ht="11.25" x14ac:dyDescent="0.2">
      <c r="A170" s="920">
        <v>122661</v>
      </c>
      <c r="B170" s="922" t="s">
        <v>1563</v>
      </c>
      <c r="C170" s="921">
        <v>201000</v>
      </c>
      <c r="D170" s="921">
        <v>0</v>
      </c>
    </row>
    <row r="171" spans="1:4" s="823" customFormat="1" ht="11.25" x14ac:dyDescent="0.2">
      <c r="A171" s="920">
        <v>122662</v>
      </c>
      <c r="B171" s="922" t="s">
        <v>1534</v>
      </c>
      <c r="C171" s="921">
        <v>681000</v>
      </c>
      <c r="D171" s="921">
        <v>0</v>
      </c>
    </row>
    <row r="172" spans="1:4" s="823" customFormat="1" ht="11.25" x14ac:dyDescent="0.2">
      <c r="A172" s="920">
        <v>122663</v>
      </c>
      <c r="B172" s="922" t="s">
        <v>1564</v>
      </c>
      <c r="C172" s="921">
        <v>551000</v>
      </c>
      <c r="D172" s="921">
        <v>0</v>
      </c>
    </row>
    <row r="173" spans="1:4" s="823" customFormat="1" ht="11.25" x14ac:dyDescent="0.2">
      <c r="A173" s="920">
        <v>122664</v>
      </c>
      <c r="B173" s="922" t="s">
        <v>1565</v>
      </c>
      <c r="C173" s="921">
        <v>500500</v>
      </c>
      <c r="D173" s="921">
        <v>0</v>
      </c>
    </row>
    <row r="174" spans="1:4" s="823" customFormat="1" ht="11.25" x14ac:dyDescent="0.2">
      <c r="A174" s="920">
        <v>122665</v>
      </c>
      <c r="B174" s="922" t="s">
        <v>1566</v>
      </c>
      <c r="C174" s="921">
        <v>301000</v>
      </c>
      <c r="D174" s="921">
        <v>0</v>
      </c>
    </row>
    <row r="175" spans="1:4" s="823" customFormat="1" ht="11.25" x14ac:dyDescent="0.2">
      <c r="A175" s="920">
        <v>122666</v>
      </c>
      <c r="B175" s="922" t="s">
        <v>1567</v>
      </c>
      <c r="C175" s="921">
        <v>585540</v>
      </c>
      <c r="D175" s="921">
        <v>0</v>
      </c>
    </row>
    <row r="176" spans="1:4" s="823" customFormat="1" ht="11.25" x14ac:dyDescent="0.2">
      <c r="A176" s="920">
        <v>122667</v>
      </c>
      <c r="B176" s="922" t="s">
        <v>1568</v>
      </c>
      <c r="C176" s="921">
        <v>551025.89</v>
      </c>
      <c r="D176" s="921">
        <v>0</v>
      </c>
    </row>
    <row r="177" spans="1:4" s="823" customFormat="1" ht="11.25" x14ac:dyDescent="0.2">
      <c r="A177" s="920">
        <v>122668</v>
      </c>
      <c r="B177" s="922" t="s">
        <v>1569</v>
      </c>
      <c r="C177" s="921">
        <v>462870</v>
      </c>
      <c r="D177" s="921">
        <v>0</v>
      </c>
    </row>
    <row r="178" spans="1:4" s="823" customFormat="1" ht="11.25" x14ac:dyDescent="0.2">
      <c r="A178" s="920">
        <v>122669</v>
      </c>
      <c r="B178" s="922" t="s">
        <v>1570</v>
      </c>
      <c r="C178" s="921">
        <v>317880</v>
      </c>
      <c r="D178" s="921">
        <v>0</v>
      </c>
    </row>
    <row r="179" spans="1:4" s="823" customFormat="1" ht="11.25" x14ac:dyDescent="0.2">
      <c r="A179" s="920">
        <v>122670</v>
      </c>
      <c r="B179" s="922" t="s">
        <v>1571</v>
      </c>
      <c r="C179" s="921">
        <v>58210</v>
      </c>
      <c r="D179" s="921">
        <v>0</v>
      </c>
    </row>
    <row r="180" spans="1:4" s="823" customFormat="1" ht="11.25" x14ac:dyDescent="0.2">
      <c r="A180" s="920">
        <v>122671</v>
      </c>
      <c r="B180" s="922" t="s">
        <v>1572</v>
      </c>
      <c r="C180" s="921">
        <v>38818.22</v>
      </c>
      <c r="D180" s="921">
        <v>0</v>
      </c>
    </row>
    <row r="181" spans="1:4" s="823" customFormat="1" ht="11.25" x14ac:dyDescent="0.2">
      <c r="A181" s="920">
        <v>122672</v>
      </c>
      <c r="B181" s="922" t="s">
        <v>1573</v>
      </c>
      <c r="C181" s="921">
        <v>68291.179999999993</v>
      </c>
      <c r="D181" s="921">
        <v>0</v>
      </c>
    </row>
    <row r="182" spans="1:4" s="823" customFormat="1" ht="11.25" x14ac:dyDescent="0.2">
      <c r="A182" s="920">
        <v>122673</v>
      </c>
      <c r="B182" s="922" t="s">
        <v>1574</v>
      </c>
      <c r="C182" s="921">
        <v>51800</v>
      </c>
      <c r="D182" s="921">
        <v>0</v>
      </c>
    </row>
    <row r="183" spans="1:4" s="823" customFormat="1" ht="11.25" x14ac:dyDescent="0.2">
      <c r="A183" s="920">
        <v>122674</v>
      </c>
      <c r="B183" s="922" t="s">
        <v>1575</v>
      </c>
      <c r="C183" s="921">
        <v>171000</v>
      </c>
      <c r="D183" s="921">
        <v>0</v>
      </c>
    </row>
    <row r="184" spans="1:4" s="823" customFormat="1" ht="11.25" x14ac:dyDescent="0.2">
      <c r="A184" s="920">
        <v>122675</v>
      </c>
      <c r="B184" s="922" t="s">
        <v>1576</v>
      </c>
      <c r="C184" s="921">
        <v>219479.78</v>
      </c>
      <c r="D184" s="921">
        <v>0</v>
      </c>
    </row>
    <row r="185" spans="1:4" s="823" customFormat="1" ht="11.25" x14ac:dyDescent="0.2">
      <c r="A185" s="920">
        <v>122676</v>
      </c>
      <c r="B185" s="922" t="s">
        <v>1577</v>
      </c>
      <c r="C185" s="921">
        <v>321840.34999999998</v>
      </c>
      <c r="D185" s="921">
        <v>0</v>
      </c>
    </row>
    <row r="186" spans="1:4" s="823" customFormat="1" ht="22.5" x14ac:dyDescent="0.2">
      <c r="A186" s="920">
        <v>122677</v>
      </c>
      <c r="B186" s="922" t="s">
        <v>1578</v>
      </c>
      <c r="C186" s="921">
        <v>105737.62</v>
      </c>
      <c r="D186" s="921">
        <v>0</v>
      </c>
    </row>
    <row r="187" spans="1:4" s="823" customFormat="1" ht="22.5" x14ac:dyDescent="0.2">
      <c r="A187" s="920">
        <v>122678</v>
      </c>
      <c r="B187" s="922" t="s">
        <v>1579</v>
      </c>
      <c r="C187" s="921">
        <v>105676.55</v>
      </c>
      <c r="D187" s="921">
        <v>0</v>
      </c>
    </row>
    <row r="188" spans="1:4" s="823" customFormat="1" ht="11.25" x14ac:dyDescent="0.2">
      <c r="A188" s="920">
        <v>122679</v>
      </c>
      <c r="B188" s="922" t="s">
        <v>1580</v>
      </c>
      <c r="C188" s="921">
        <v>286431.23</v>
      </c>
      <c r="D188" s="921">
        <v>0</v>
      </c>
    </row>
    <row r="189" spans="1:4" s="823" customFormat="1" ht="11.25" x14ac:dyDescent="0.2">
      <c r="A189" s="920">
        <v>122680</v>
      </c>
      <c r="B189" s="922" t="s">
        <v>1581</v>
      </c>
      <c r="C189" s="921">
        <v>383921.12</v>
      </c>
      <c r="D189" s="921">
        <v>0</v>
      </c>
    </row>
    <row r="190" spans="1:4" s="823" customFormat="1" ht="22.5" x14ac:dyDescent="0.2">
      <c r="A190" s="920">
        <v>122681</v>
      </c>
      <c r="B190" s="922" t="s">
        <v>1582</v>
      </c>
      <c r="C190" s="921">
        <v>215152.04</v>
      </c>
      <c r="D190" s="921">
        <v>0</v>
      </c>
    </row>
    <row r="191" spans="1:4" s="823" customFormat="1" ht="11.25" x14ac:dyDescent="0.2">
      <c r="A191" s="920">
        <v>122682</v>
      </c>
      <c r="B191" s="922" t="s">
        <v>1583</v>
      </c>
      <c r="C191" s="921">
        <v>479793.8</v>
      </c>
      <c r="D191" s="921">
        <v>0</v>
      </c>
    </row>
    <row r="192" spans="1:4" s="823" customFormat="1" ht="22.5" hidden="1" x14ac:dyDescent="0.2">
      <c r="A192" s="920">
        <v>122683</v>
      </c>
      <c r="B192" s="922" t="s">
        <v>1584</v>
      </c>
      <c r="C192" s="921">
        <v>91200</v>
      </c>
      <c r="D192" s="921">
        <v>0</v>
      </c>
    </row>
    <row r="193" spans="1:4" s="823" customFormat="1" ht="11.25" hidden="1" x14ac:dyDescent="0.2">
      <c r="A193" s="920">
        <v>122684</v>
      </c>
      <c r="B193" s="922" t="s">
        <v>1585</v>
      </c>
      <c r="C193" s="921">
        <v>51192.7</v>
      </c>
      <c r="D193" s="921">
        <v>0</v>
      </c>
    </row>
    <row r="194" spans="1:4" s="823" customFormat="1" ht="22.5" hidden="1" x14ac:dyDescent="0.2">
      <c r="A194" s="920">
        <v>122685</v>
      </c>
      <c r="B194" s="922" t="s">
        <v>1586</v>
      </c>
      <c r="C194" s="921">
        <v>424117.01</v>
      </c>
      <c r="D194" s="921">
        <v>0</v>
      </c>
    </row>
    <row r="195" spans="1:4" s="823" customFormat="1" ht="11.25" hidden="1" x14ac:dyDescent="0.2">
      <c r="A195" s="920">
        <v>122686</v>
      </c>
      <c r="B195" s="922" t="s">
        <v>1587</v>
      </c>
      <c r="C195" s="921">
        <v>598862.5</v>
      </c>
      <c r="D195" s="921">
        <v>0</v>
      </c>
    </row>
    <row r="196" spans="1:4" s="823" customFormat="1" ht="22.5" hidden="1" x14ac:dyDescent="0.2">
      <c r="A196" s="920">
        <v>122687</v>
      </c>
      <c r="B196" s="922" t="s">
        <v>1588</v>
      </c>
      <c r="C196" s="921">
        <v>213618.56</v>
      </c>
      <c r="D196" s="921">
        <v>0</v>
      </c>
    </row>
    <row r="197" spans="1:4" s="823" customFormat="1" ht="11.25" hidden="1" x14ac:dyDescent="0.2">
      <c r="A197" s="920">
        <v>122688</v>
      </c>
      <c r="B197" s="922" t="s">
        <v>1589</v>
      </c>
      <c r="C197" s="921">
        <v>192556.28</v>
      </c>
      <c r="D197" s="921">
        <v>0</v>
      </c>
    </row>
    <row r="198" spans="1:4" s="823" customFormat="1" ht="22.5" hidden="1" x14ac:dyDescent="0.2">
      <c r="A198" s="920">
        <v>122689</v>
      </c>
      <c r="B198" s="922" t="s">
        <v>1590</v>
      </c>
      <c r="C198" s="921">
        <v>403788.71</v>
      </c>
      <c r="D198" s="921">
        <v>0</v>
      </c>
    </row>
    <row r="199" spans="1:4" s="823" customFormat="1" ht="22.5" hidden="1" x14ac:dyDescent="0.2">
      <c r="A199" s="920">
        <v>122701</v>
      </c>
      <c r="B199" s="922" t="s">
        <v>1980</v>
      </c>
      <c r="C199" s="921">
        <v>0</v>
      </c>
      <c r="D199" s="921">
        <v>0</v>
      </c>
    </row>
    <row r="200" spans="1:4" s="823" customFormat="1" ht="11.25" hidden="1" x14ac:dyDescent="0.2">
      <c r="A200" s="920">
        <v>122702</v>
      </c>
      <c r="B200" s="922" t="s">
        <v>1755</v>
      </c>
      <c r="C200" s="921">
        <v>0</v>
      </c>
      <c r="D200" s="921">
        <v>1911839.62</v>
      </c>
    </row>
    <row r="201" spans="1:4" s="823" customFormat="1" ht="33.75" hidden="1" x14ac:dyDescent="0.2">
      <c r="A201" s="920">
        <v>122703</v>
      </c>
      <c r="B201" s="922" t="s">
        <v>1981</v>
      </c>
      <c r="C201" s="921">
        <v>0</v>
      </c>
      <c r="D201" s="921">
        <v>0</v>
      </c>
    </row>
    <row r="202" spans="1:4" s="823" customFormat="1" ht="22.5" hidden="1" x14ac:dyDescent="0.2">
      <c r="A202" s="920">
        <v>122704</v>
      </c>
      <c r="B202" s="922" t="s">
        <v>1980</v>
      </c>
      <c r="C202" s="921">
        <v>0</v>
      </c>
      <c r="D202" s="921">
        <v>99878.1</v>
      </c>
    </row>
    <row r="203" spans="1:4" s="823" customFormat="1" ht="11.25" hidden="1" x14ac:dyDescent="0.2">
      <c r="A203" s="920">
        <v>122705</v>
      </c>
      <c r="B203" s="922" t="s">
        <v>1755</v>
      </c>
      <c r="C203" s="921">
        <v>0</v>
      </c>
      <c r="D203" s="921">
        <v>33541.050000000003</v>
      </c>
    </row>
    <row r="204" spans="1:4" s="823" customFormat="1" ht="33.75" hidden="1" x14ac:dyDescent="0.2">
      <c r="A204" s="920">
        <v>122706</v>
      </c>
      <c r="B204" s="922" t="s">
        <v>1981</v>
      </c>
      <c r="C204" s="921">
        <v>0</v>
      </c>
      <c r="D204" s="921">
        <v>34535.870000000003</v>
      </c>
    </row>
    <row r="205" spans="1:4" s="823" customFormat="1" ht="11.25" hidden="1" x14ac:dyDescent="0.2">
      <c r="A205" s="920">
        <v>122737</v>
      </c>
      <c r="B205" s="922" t="s">
        <v>1591</v>
      </c>
      <c r="C205" s="921">
        <v>262152.39</v>
      </c>
      <c r="D205" s="921">
        <v>0</v>
      </c>
    </row>
    <row r="206" spans="1:4" s="823" customFormat="1" ht="22.5" hidden="1" x14ac:dyDescent="0.2">
      <c r="A206" s="920">
        <v>122738</v>
      </c>
      <c r="B206" s="922" t="s">
        <v>1592</v>
      </c>
      <c r="C206" s="921">
        <v>239138.62</v>
      </c>
      <c r="D206" s="921">
        <v>0</v>
      </c>
    </row>
    <row r="207" spans="1:4" s="823" customFormat="1" ht="22.5" hidden="1" x14ac:dyDescent="0.2">
      <c r="A207" s="920">
        <v>122739</v>
      </c>
      <c r="B207" s="922" t="s">
        <v>1593</v>
      </c>
      <c r="C207" s="921">
        <v>95928.99</v>
      </c>
      <c r="D207" s="921">
        <v>0</v>
      </c>
    </row>
    <row r="208" spans="1:4" s="823" customFormat="1" ht="11.25" hidden="1" x14ac:dyDescent="0.2">
      <c r="A208" s="920">
        <v>122740</v>
      </c>
      <c r="B208" s="922" t="s">
        <v>1594</v>
      </c>
      <c r="C208" s="921">
        <v>279842.05</v>
      </c>
      <c r="D208" s="921">
        <v>0</v>
      </c>
    </row>
    <row r="209" spans="1:4" s="823" customFormat="1" ht="11.25" hidden="1" x14ac:dyDescent="0.2">
      <c r="A209" s="920">
        <v>122741</v>
      </c>
      <c r="B209" s="922" t="s">
        <v>1595</v>
      </c>
      <c r="C209" s="921">
        <v>242991.84</v>
      </c>
      <c r="D209" s="921">
        <v>0</v>
      </c>
    </row>
    <row r="210" spans="1:4" s="823" customFormat="1" ht="11.25" hidden="1" x14ac:dyDescent="0.2">
      <c r="A210" s="920">
        <v>122763</v>
      </c>
      <c r="B210" s="922" t="s">
        <v>1596</v>
      </c>
      <c r="C210" s="921">
        <v>352261.46</v>
      </c>
      <c r="D210" s="921">
        <v>0</v>
      </c>
    </row>
    <row r="211" spans="1:4" s="823" customFormat="1" ht="11.25" hidden="1" x14ac:dyDescent="0.2">
      <c r="A211" s="920">
        <v>122764</v>
      </c>
      <c r="B211" s="922" t="s">
        <v>1597</v>
      </c>
      <c r="C211" s="921">
        <v>253302.98</v>
      </c>
      <c r="D211" s="921">
        <v>0</v>
      </c>
    </row>
    <row r="212" spans="1:4" s="823" customFormat="1" ht="11.25" hidden="1" x14ac:dyDescent="0.2">
      <c r="A212" s="920">
        <v>122765</v>
      </c>
      <c r="B212" s="922" t="s">
        <v>1598</v>
      </c>
      <c r="C212" s="921">
        <v>401051.25</v>
      </c>
      <c r="D212" s="921">
        <v>0</v>
      </c>
    </row>
    <row r="213" spans="1:4" s="823" customFormat="1" ht="22.5" hidden="1" x14ac:dyDescent="0.2">
      <c r="A213" s="920">
        <v>122766</v>
      </c>
      <c r="B213" s="922" t="s">
        <v>1599</v>
      </c>
      <c r="C213" s="921">
        <v>263667</v>
      </c>
      <c r="D213" s="921">
        <v>0</v>
      </c>
    </row>
    <row r="214" spans="1:4" s="823" customFormat="1" ht="11.25" hidden="1" x14ac:dyDescent="0.2">
      <c r="A214" s="920">
        <v>122767</v>
      </c>
      <c r="B214" s="922" t="s">
        <v>1600</v>
      </c>
      <c r="C214" s="921">
        <v>535800</v>
      </c>
      <c r="D214" s="921">
        <v>0</v>
      </c>
    </row>
    <row r="215" spans="1:4" s="823" customFormat="1" ht="11.25" hidden="1" x14ac:dyDescent="0.2">
      <c r="A215" s="920">
        <v>122768</v>
      </c>
      <c r="B215" s="922" t="s">
        <v>1601</v>
      </c>
      <c r="C215" s="921">
        <v>425800</v>
      </c>
      <c r="D215" s="921">
        <v>0</v>
      </c>
    </row>
    <row r="216" spans="1:4" s="823" customFormat="1" ht="11.25" hidden="1" x14ac:dyDescent="0.2">
      <c r="A216" s="920">
        <v>122769</v>
      </c>
      <c r="B216" s="922" t="s">
        <v>1602</v>
      </c>
      <c r="C216" s="921">
        <v>39500</v>
      </c>
      <c r="D216" s="921">
        <v>0</v>
      </c>
    </row>
    <row r="217" spans="1:4" s="823" customFormat="1" ht="22.5" hidden="1" x14ac:dyDescent="0.2">
      <c r="A217" s="920">
        <v>122770</v>
      </c>
      <c r="B217" s="922" t="s">
        <v>1603</v>
      </c>
      <c r="C217" s="921">
        <v>406200</v>
      </c>
      <c r="D217" s="921">
        <v>0</v>
      </c>
    </row>
    <row r="218" spans="1:4" s="823" customFormat="1" ht="11.25" hidden="1" x14ac:dyDescent="0.2">
      <c r="A218" s="920">
        <v>122771</v>
      </c>
      <c r="B218" s="922" t="s">
        <v>1604</v>
      </c>
      <c r="C218" s="921">
        <v>398500</v>
      </c>
      <c r="D218" s="921">
        <v>0</v>
      </c>
    </row>
    <row r="219" spans="1:4" s="823" customFormat="1" ht="11.25" hidden="1" x14ac:dyDescent="0.2">
      <c r="A219" s="920">
        <v>122772</v>
      </c>
      <c r="B219" s="922" t="s">
        <v>1605</v>
      </c>
      <c r="C219" s="921">
        <v>113300</v>
      </c>
      <c r="D219" s="921">
        <v>0</v>
      </c>
    </row>
    <row r="220" spans="1:4" s="823" customFormat="1" ht="11.25" hidden="1" x14ac:dyDescent="0.2">
      <c r="A220" s="920">
        <v>122773</v>
      </c>
      <c r="B220" s="922" t="s">
        <v>1606</v>
      </c>
      <c r="C220" s="921">
        <v>584000</v>
      </c>
      <c r="D220" s="921">
        <v>0</v>
      </c>
    </row>
    <row r="221" spans="1:4" s="823" customFormat="1" ht="11.25" hidden="1" x14ac:dyDescent="0.2">
      <c r="A221" s="920">
        <v>122774</v>
      </c>
      <c r="B221" s="922" t="s">
        <v>1607</v>
      </c>
      <c r="C221" s="921">
        <v>280800</v>
      </c>
      <c r="D221" s="921">
        <v>0</v>
      </c>
    </row>
    <row r="222" spans="1:4" s="823" customFormat="1" ht="11.25" hidden="1" x14ac:dyDescent="0.2">
      <c r="A222" s="920">
        <v>122775</v>
      </c>
      <c r="B222" s="922" t="s">
        <v>1608</v>
      </c>
      <c r="C222" s="921">
        <v>165800</v>
      </c>
      <c r="D222" s="921">
        <v>0</v>
      </c>
    </row>
    <row r="223" spans="1:4" s="823" customFormat="1" ht="11.25" hidden="1" x14ac:dyDescent="0.2">
      <c r="A223" s="920">
        <v>122776</v>
      </c>
      <c r="B223" s="922" t="s">
        <v>1609</v>
      </c>
      <c r="C223" s="921">
        <v>20500</v>
      </c>
      <c r="D223" s="921">
        <v>0</v>
      </c>
    </row>
    <row r="224" spans="1:4" s="823" customFormat="1" ht="11.25" hidden="1" x14ac:dyDescent="0.2">
      <c r="A224" s="920">
        <v>122777</v>
      </c>
      <c r="B224" s="922" t="s">
        <v>1545</v>
      </c>
      <c r="C224" s="921">
        <v>201000</v>
      </c>
      <c r="D224" s="921">
        <v>0</v>
      </c>
    </row>
    <row r="225" spans="1:4" s="823" customFormat="1" ht="11.25" hidden="1" x14ac:dyDescent="0.2">
      <c r="A225" s="920">
        <v>122778</v>
      </c>
      <c r="B225" s="922" t="s">
        <v>1610</v>
      </c>
      <c r="C225" s="921">
        <v>651000</v>
      </c>
      <c r="D225" s="921">
        <v>0</v>
      </c>
    </row>
    <row r="226" spans="1:4" s="823" customFormat="1" ht="11.25" hidden="1" x14ac:dyDescent="0.2">
      <c r="A226" s="920">
        <v>122779</v>
      </c>
      <c r="B226" s="922" t="s">
        <v>1611</v>
      </c>
      <c r="C226" s="921">
        <v>351000</v>
      </c>
      <c r="D226" s="921">
        <v>0</v>
      </c>
    </row>
    <row r="227" spans="1:4" s="823" customFormat="1" ht="11.25" x14ac:dyDescent="0.2">
      <c r="A227" s="920">
        <v>122780</v>
      </c>
      <c r="B227" s="922" t="s">
        <v>1612</v>
      </c>
      <c r="C227" s="921">
        <v>401000</v>
      </c>
      <c r="D227" s="921">
        <v>0</v>
      </c>
    </row>
    <row r="228" spans="1:4" s="823" customFormat="1" ht="11.25" x14ac:dyDescent="0.2">
      <c r="A228" s="920">
        <v>122781</v>
      </c>
      <c r="B228" s="922" t="s">
        <v>1613</v>
      </c>
      <c r="C228" s="921">
        <v>71000</v>
      </c>
      <c r="D228" s="921">
        <v>0</v>
      </c>
    </row>
    <row r="229" spans="1:4" s="823" customFormat="1" ht="22.5" x14ac:dyDescent="0.2">
      <c r="A229" s="920">
        <v>122782</v>
      </c>
      <c r="B229" s="922" t="s">
        <v>1614</v>
      </c>
      <c r="C229" s="921">
        <v>301000</v>
      </c>
      <c r="D229" s="921">
        <v>0</v>
      </c>
    </row>
    <row r="230" spans="1:4" s="823" customFormat="1" ht="22.5" x14ac:dyDescent="0.2">
      <c r="A230" s="920">
        <v>122783</v>
      </c>
      <c r="B230" s="922" t="s">
        <v>1615</v>
      </c>
      <c r="C230" s="921">
        <v>401000</v>
      </c>
      <c r="D230" s="921">
        <v>0</v>
      </c>
    </row>
    <row r="231" spans="1:4" s="823" customFormat="1" ht="11.25" x14ac:dyDescent="0.2">
      <c r="A231" s="920">
        <v>122784</v>
      </c>
      <c r="B231" s="922" t="s">
        <v>1534</v>
      </c>
      <c r="C231" s="921">
        <v>641000</v>
      </c>
      <c r="D231" s="921">
        <v>0</v>
      </c>
    </row>
    <row r="232" spans="1:4" s="823" customFormat="1" ht="11.25" x14ac:dyDescent="0.2">
      <c r="A232" s="920">
        <v>122785</v>
      </c>
      <c r="B232" s="922" t="s">
        <v>1616</v>
      </c>
      <c r="C232" s="921">
        <v>501000</v>
      </c>
      <c r="D232" s="921">
        <v>0</v>
      </c>
    </row>
    <row r="233" spans="1:4" s="823" customFormat="1" ht="11.25" x14ac:dyDescent="0.2">
      <c r="A233" s="920">
        <v>122786</v>
      </c>
      <c r="B233" s="922" t="s">
        <v>1617</v>
      </c>
      <c r="C233" s="921">
        <v>491000</v>
      </c>
      <c r="D233" s="921">
        <v>0</v>
      </c>
    </row>
    <row r="234" spans="1:4" s="823" customFormat="1" ht="22.5" x14ac:dyDescent="0.2">
      <c r="A234" s="920">
        <v>122787</v>
      </c>
      <c r="B234" s="922" t="s">
        <v>1618</v>
      </c>
      <c r="C234" s="921">
        <v>601000</v>
      </c>
      <c r="D234" s="921">
        <v>0</v>
      </c>
    </row>
    <row r="235" spans="1:4" s="823" customFormat="1" ht="11.25" x14ac:dyDescent="0.2">
      <c r="A235" s="920">
        <v>122788</v>
      </c>
      <c r="B235" s="922" t="s">
        <v>1619</v>
      </c>
      <c r="C235" s="921">
        <v>701000</v>
      </c>
      <c r="D235" s="921">
        <v>0</v>
      </c>
    </row>
    <row r="236" spans="1:4" s="823" customFormat="1" ht="22.5" x14ac:dyDescent="0.2">
      <c r="A236" s="920">
        <v>123486</v>
      </c>
      <c r="B236" s="922" t="s">
        <v>1756</v>
      </c>
      <c r="C236" s="921">
        <v>0</v>
      </c>
      <c r="D236" s="921">
        <v>3436215.52</v>
      </c>
    </row>
    <row r="237" spans="1:4" s="823" customFormat="1" ht="11.25" x14ac:dyDescent="0.2">
      <c r="A237" s="920">
        <v>123487</v>
      </c>
      <c r="B237" s="922" t="s">
        <v>1620</v>
      </c>
      <c r="C237" s="921">
        <v>0</v>
      </c>
      <c r="D237" s="921">
        <v>2896238.8</v>
      </c>
    </row>
    <row r="238" spans="1:4" s="823" customFormat="1" ht="22.5" x14ac:dyDescent="0.2">
      <c r="A238" s="920">
        <v>123488</v>
      </c>
      <c r="B238" s="922" t="s">
        <v>1982</v>
      </c>
      <c r="C238" s="921">
        <v>0</v>
      </c>
      <c r="D238" s="921">
        <v>2748972.42</v>
      </c>
    </row>
    <row r="239" spans="1:4" s="823" customFormat="1" ht="11.25" x14ac:dyDescent="0.2">
      <c r="A239" s="920">
        <v>123489</v>
      </c>
      <c r="B239" s="922" t="s">
        <v>1621</v>
      </c>
      <c r="C239" s="921">
        <v>0</v>
      </c>
      <c r="D239" s="921">
        <v>1669018.98</v>
      </c>
    </row>
    <row r="240" spans="1:4" s="823" customFormat="1" ht="11.25" x14ac:dyDescent="0.2">
      <c r="A240" s="920">
        <v>123490</v>
      </c>
      <c r="B240" s="922" t="s">
        <v>1622</v>
      </c>
      <c r="C240" s="921">
        <v>0</v>
      </c>
      <c r="D240" s="921">
        <v>1374486.22</v>
      </c>
    </row>
    <row r="241" spans="1:4" s="823" customFormat="1" ht="11.25" x14ac:dyDescent="0.2">
      <c r="A241" s="920">
        <v>123491</v>
      </c>
      <c r="B241" s="922" t="s">
        <v>1623</v>
      </c>
      <c r="C241" s="921">
        <v>0</v>
      </c>
      <c r="D241" s="921">
        <v>1374486.21</v>
      </c>
    </row>
    <row r="242" spans="1:4" s="823" customFormat="1" ht="11.25" x14ac:dyDescent="0.2">
      <c r="A242" s="920">
        <v>123492</v>
      </c>
      <c r="B242" s="922" t="s">
        <v>1624</v>
      </c>
      <c r="C242" s="921">
        <v>0</v>
      </c>
      <c r="D242" s="921">
        <v>1423575</v>
      </c>
    </row>
    <row r="243" spans="1:4" s="823" customFormat="1" ht="11.25" x14ac:dyDescent="0.2">
      <c r="A243" s="920">
        <v>123493</v>
      </c>
      <c r="B243" s="922" t="s">
        <v>1625</v>
      </c>
      <c r="C243" s="921">
        <v>0</v>
      </c>
      <c r="D243" s="921">
        <v>1276308.6200000001</v>
      </c>
    </row>
    <row r="244" spans="1:4" s="823" customFormat="1" ht="11.25" x14ac:dyDescent="0.2">
      <c r="A244" s="920">
        <v>123494</v>
      </c>
      <c r="B244" s="922" t="s">
        <v>1626</v>
      </c>
      <c r="C244" s="921">
        <v>0</v>
      </c>
      <c r="D244" s="921">
        <v>1276308.6200000001</v>
      </c>
    </row>
    <row r="245" spans="1:4" s="823" customFormat="1" ht="11.25" x14ac:dyDescent="0.2">
      <c r="A245" s="920">
        <v>123495</v>
      </c>
      <c r="B245" s="922" t="s">
        <v>1757</v>
      </c>
      <c r="C245" s="921">
        <v>0</v>
      </c>
      <c r="D245" s="921">
        <v>981775.86</v>
      </c>
    </row>
    <row r="246" spans="1:4" s="823" customFormat="1" ht="11.25" x14ac:dyDescent="0.2">
      <c r="A246" s="920">
        <v>123496</v>
      </c>
      <c r="B246" s="922" t="s">
        <v>1758</v>
      </c>
      <c r="C246" s="921">
        <v>0</v>
      </c>
      <c r="D246" s="921">
        <v>981775.86</v>
      </c>
    </row>
    <row r="247" spans="1:4" s="823" customFormat="1" ht="11.25" x14ac:dyDescent="0.2">
      <c r="A247" s="920">
        <v>123497</v>
      </c>
      <c r="B247" s="922" t="s">
        <v>1759</v>
      </c>
      <c r="C247" s="921">
        <v>0</v>
      </c>
      <c r="D247" s="921">
        <v>834509.48</v>
      </c>
    </row>
    <row r="248" spans="1:4" s="823" customFormat="1" ht="11.25" x14ac:dyDescent="0.2">
      <c r="A248" s="920">
        <v>123498</v>
      </c>
      <c r="B248" s="922" t="s">
        <v>1760</v>
      </c>
      <c r="C248" s="921">
        <v>0</v>
      </c>
      <c r="D248" s="921">
        <v>883598.28</v>
      </c>
    </row>
    <row r="249" spans="1:4" s="823" customFormat="1" ht="11.25" x14ac:dyDescent="0.2">
      <c r="A249" s="920">
        <v>123499</v>
      </c>
      <c r="B249" s="922" t="s">
        <v>1761</v>
      </c>
      <c r="C249" s="921">
        <v>0</v>
      </c>
      <c r="D249" s="921">
        <v>834509.48</v>
      </c>
    </row>
    <row r="250" spans="1:4" s="823" customFormat="1" ht="11.25" x14ac:dyDescent="0.2">
      <c r="A250" s="920">
        <v>123500</v>
      </c>
      <c r="B250" s="922" t="s">
        <v>1762</v>
      </c>
      <c r="C250" s="921">
        <v>0</v>
      </c>
      <c r="D250" s="921">
        <v>785420.69</v>
      </c>
    </row>
    <row r="251" spans="1:4" s="823" customFormat="1" ht="11.25" x14ac:dyDescent="0.2">
      <c r="A251" s="920">
        <v>123501</v>
      </c>
      <c r="B251" s="922" t="s">
        <v>1760</v>
      </c>
      <c r="C251" s="921">
        <v>0</v>
      </c>
      <c r="D251" s="921">
        <v>736331.9</v>
      </c>
    </row>
    <row r="252" spans="1:4" s="823" customFormat="1" ht="11.25" x14ac:dyDescent="0.2">
      <c r="A252" s="920">
        <v>123502</v>
      </c>
      <c r="B252" s="922" t="s">
        <v>1763</v>
      </c>
      <c r="C252" s="921">
        <v>0</v>
      </c>
      <c r="D252" s="921">
        <v>736331.9</v>
      </c>
    </row>
    <row r="253" spans="1:4" s="823" customFormat="1" ht="11.25" x14ac:dyDescent="0.2">
      <c r="A253" s="920">
        <v>123503</v>
      </c>
      <c r="B253" s="922" t="s">
        <v>1764</v>
      </c>
      <c r="C253" s="921">
        <v>0</v>
      </c>
      <c r="D253" s="921">
        <v>785420.69</v>
      </c>
    </row>
    <row r="254" spans="1:4" s="823" customFormat="1" ht="11.25" x14ac:dyDescent="0.2">
      <c r="A254" s="920">
        <v>123504</v>
      </c>
      <c r="B254" s="922" t="s">
        <v>1765</v>
      </c>
      <c r="C254" s="921">
        <v>0</v>
      </c>
      <c r="D254" s="921">
        <v>736331.9</v>
      </c>
    </row>
    <row r="255" spans="1:4" s="823" customFormat="1" ht="11.25" x14ac:dyDescent="0.2">
      <c r="A255" s="920">
        <v>123505</v>
      </c>
      <c r="B255" s="922" t="s">
        <v>1766</v>
      </c>
      <c r="C255" s="921">
        <v>0</v>
      </c>
      <c r="D255" s="921">
        <v>687243.1</v>
      </c>
    </row>
    <row r="256" spans="1:4" s="823" customFormat="1" ht="11.25" x14ac:dyDescent="0.2">
      <c r="A256" s="920">
        <v>123506</v>
      </c>
      <c r="B256" s="922" t="s">
        <v>1627</v>
      </c>
      <c r="C256" s="921">
        <v>0</v>
      </c>
      <c r="D256" s="921">
        <v>736331.9</v>
      </c>
    </row>
    <row r="257" spans="1:4" s="823" customFormat="1" ht="11.25" x14ac:dyDescent="0.2">
      <c r="A257" s="920">
        <v>123507</v>
      </c>
      <c r="B257" s="922" t="s">
        <v>1767</v>
      </c>
      <c r="C257" s="921">
        <v>0</v>
      </c>
      <c r="D257" s="921">
        <v>687243.1</v>
      </c>
    </row>
    <row r="258" spans="1:4" s="823" customFormat="1" ht="11.25" x14ac:dyDescent="0.2">
      <c r="A258" s="920">
        <v>123508</v>
      </c>
      <c r="B258" s="922" t="s">
        <v>1768</v>
      </c>
      <c r="C258" s="921">
        <v>0</v>
      </c>
      <c r="D258" s="921">
        <v>638154.31000000006</v>
      </c>
    </row>
    <row r="259" spans="1:4" s="823" customFormat="1" ht="11.25" x14ac:dyDescent="0.2">
      <c r="A259" s="920">
        <v>123509</v>
      </c>
      <c r="B259" s="922" t="s">
        <v>1769</v>
      </c>
      <c r="C259" s="921">
        <v>0</v>
      </c>
      <c r="D259" s="921">
        <v>589065.52</v>
      </c>
    </row>
    <row r="260" spans="1:4" s="823" customFormat="1" ht="11.25" x14ac:dyDescent="0.2">
      <c r="A260" s="920">
        <v>123510</v>
      </c>
      <c r="B260" s="922" t="s">
        <v>1770</v>
      </c>
      <c r="C260" s="921">
        <v>0</v>
      </c>
      <c r="D260" s="921">
        <v>687243.1</v>
      </c>
    </row>
    <row r="261" spans="1:4" s="823" customFormat="1" ht="11.25" x14ac:dyDescent="0.2">
      <c r="A261" s="920">
        <v>123511</v>
      </c>
      <c r="B261" s="922" t="s">
        <v>1771</v>
      </c>
      <c r="C261" s="921">
        <v>0</v>
      </c>
      <c r="D261" s="921">
        <v>589065.52</v>
      </c>
    </row>
    <row r="262" spans="1:4" s="823" customFormat="1" ht="11.25" x14ac:dyDescent="0.2">
      <c r="A262" s="920">
        <v>123512</v>
      </c>
      <c r="B262" s="922" t="s">
        <v>1772</v>
      </c>
      <c r="C262" s="921">
        <v>0</v>
      </c>
      <c r="D262" s="921">
        <v>589065.52</v>
      </c>
    </row>
    <row r="263" spans="1:4" s="823" customFormat="1" ht="11.25" x14ac:dyDescent="0.2">
      <c r="A263" s="920">
        <v>123513</v>
      </c>
      <c r="B263" s="922" t="s">
        <v>1773</v>
      </c>
      <c r="C263" s="921">
        <v>0</v>
      </c>
      <c r="D263" s="921">
        <v>392710.34</v>
      </c>
    </row>
    <row r="264" spans="1:4" s="823" customFormat="1" ht="11.25" x14ac:dyDescent="0.2">
      <c r="A264" s="920">
        <v>123514</v>
      </c>
      <c r="B264" s="922" t="s">
        <v>1774</v>
      </c>
      <c r="C264" s="921">
        <v>0</v>
      </c>
      <c r="D264" s="921">
        <v>392710.34</v>
      </c>
    </row>
    <row r="265" spans="1:4" s="823" customFormat="1" ht="11.25" x14ac:dyDescent="0.2">
      <c r="A265" s="920">
        <v>123515</v>
      </c>
      <c r="B265" s="922" t="s">
        <v>1775</v>
      </c>
      <c r="C265" s="921">
        <v>0</v>
      </c>
      <c r="D265" s="921">
        <v>687243.1</v>
      </c>
    </row>
    <row r="266" spans="1:4" s="823" customFormat="1" ht="11.25" x14ac:dyDescent="0.2">
      <c r="A266" s="920">
        <v>123516</v>
      </c>
      <c r="B266" s="922" t="s">
        <v>1983</v>
      </c>
      <c r="C266" s="921">
        <v>0</v>
      </c>
      <c r="D266" s="921">
        <v>0</v>
      </c>
    </row>
    <row r="267" spans="1:4" s="823" customFormat="1" ht="11.25" x14ac:dyDescent="0.2">
      <c r="A267" s="920">
        <v>123517</v>
      </c>
      <c r="B267" s="922" t="s">
        <v>1776</v>
      </c>
      <c r="C267" s="921">
        <v>0</v>
      </c>
      <c r="D267" s="921">
        <v>687243.1</v>
      </c>
    </row>
    <row r="268" spans="1:4" s="823" customFormat="1" ht="11.25" x14ac:dyDescent="0.2">
      <c r="A268" s="920">
        <v>123518</v>
      </c>
      <c r="B268" s="922" t="s">
        <v>1777</v>
      </c>
      <c r="C268" s="921">
        <v>0</v>
      </c>
      <c r="D268" s="921">
        <v>883598.28</v>
      </c>
    </row>
    <row r="269" spans="1:4" s="823" customFormat="1" ht="11.25" x14ac:dyDescent="0.2">
      <c r="A269" s="920">
        <v>123519</v>
      </c>
      <c r="B269" s="922" t="s">
        <v>1778</v>
      </c>
      <c r="C269" s="921">
        <v>0</v>
      </c>
      <c r="D269" s="921">
        <v>539976.72</v>
      </c>
    </row>
    <row r="270" spans="1:4" s="823" customFormat="1" ht="11.25" x14ac:dyDescent="0.2">
      <c r="A270" s="920">
        <v>123520</v>
      </c>
      <c r="B270" s="922" t="s">
        <v>1779</v>
      </c>
      <c r="C270" s="921">
        <v>0</v>
      </c>
      <c r="D270" s="921">
        <v>785420.7</v>
      </c>
    </row>
    <row r="271" spans="1:4" s="823" customFormat="1" ht="11.25" x14ac:dyDescent="0.2">
      <c r="A271" s="920">
        <v>123521</v>
      </c>
      <c r="B271" s="922" t="s">
        <v>1984</v>
      </c>
      <c r="C271" s="921">
        <v>0</v>
      </c>
      <c r="D271" s="921">
        <v>60284.480000000003</v>
      </c>
    </row>
    <row r="272" spans="1:4" s="823" customFormat="1" ht="11.25" x14ac:dyDescent="0.2">
      <c r="A272" s="920">
        <v>123522</v>
      </c>
      <c r="B272" s="922" t="s">
        <v>1620</v>
      </c>
      <c r="C272" s="921">
        <v>0</v>
      </c>
      <c r="D272" s="921">
        <v>50811.199999999997</v>
      </c>
    </row>
    <row r="273" spans="1:4" s="823" customFormat="1" ht="22.5" x14ac:dyDescent="0.2">
      <c r="A273" s="920">
        <v>123523</v>
      </c>
      <c r="B273" s="922" t="s">
        <v>1982</v>
      </c>
      <c r="C273" s="921">
        <v>0</v>
      </c>
      <c r="D273" s="921">
        <v>48227.58</v>
      </c>
    </row>
    <row r="274" spans="1:4" s="823" customFormat="1" ht="11.25" x14ac:dyDescent="0.2">
      <c r="A274" s="920">
        <v>123524</v>
      </c>
      <c r="B274" s="922" t="s">
        <v>1621</v>
      </c>
      <c r="C274" s="921">
        <v>0</v>
      </c>
      <c r="D274" s="921">
        <v>29281.02</v>
      </c>
    </row>
    <row r="275" spans="1:4" s="823" customFormat="1" ht="11.25" x14ac:dyDescent="0.2">
      <c r="A275" s="920">
        <v>123525</v>
      </c>
      <c r="B275" s="922" t="s">
        <v>1622</v>
      </c>
      <c r="C275" s="921">
        <v>0</v>
      </c>
      <c r="D275" s="921">
        <v>24113.78</v>
      </c>
    </row>
    <row r="276" spans="1:4" s="823" customFormat="1" ht="11.25" x14ac:dyDescent="0.2">
      <c r="A276" s="920">
        <v>123526</v>
      </c>
      <c r="B276" s="922" t="s">
        <v>1985</v>
      </c>
      <c r="C276" s="921">
        <v>0</v>
      </c>
      <c r="D276" s="921">
        <v>24113.79</v>
      </c>
    </row>
    <row r="277" spans="1:4" s="823" customFormat="1" ht="11.25" x14ac:dyDescent="0.2">
      <c r="A277" s="920">
        <v>123527</v>
      </c>
      <c r="B277" s="922" t="s">
        <v>1624</v>
      </c>
      <c r="C277" s="921">
        <v>0</v>
      </c>
      <c r="D277" s="921">
        <v>24975</v>
      </c>
    </row>
    <row r="278" spans="1:4" s="823" customFormat="1" ht="11.25" x14ac:dyDescent="0.2">
      <c r="A278" s="920">
        <v>123528</v>
      </c>
      <c r="B278" s="922" t="s">
        <v>1625</v>
      </c>
      <c r="C278" s="921">
        <v>0</v>
      </c>
      <c r="D278" s="921">
        <v>22391.38</v>
      </c>
    </row>
    <row r="279" spans="1:4" s="823" customFormat="1" ht="11.25" x14ac:dyDescent="0.2">
      <c r="A279" s="920">
        <v>123529</v>
      </c>
      <c r="B279" s="922" t="s">
        <v>1626</v>
      </c>
      <c r="C279" s="921">
        <v>0</v>
      </c>
      <c r="D279" s="921">
        <v>22391.38</v>
      </c>
    </row>
    <row r="280" spans="1:4" s="823" customFormat="1" ht="11.25" x14ac:dyDescent="0.2">
      <c r="A280" s="920">
        <v>123530</v>
      </c>
      <c r="B280" s="922" t="s">
        <v>1757</v>
      </c>
      <c r="C280" s="921">
        <v>0</v>
      </c>
      <c r="D280" s="921">
        <v>17224.14</v>
      </c>
    </row>
    <row r="281" spans="1:4" s="823" customFormat="1" ht="11.25" x14ac:dyDescent="0.2">
      <c r="A281" s="920">
        <v>123531</v>
      </c>
      <c r="B281" s="922" t="s">
        <v>1758</v>
      </c>
      <c r="C281" s="921">
        <v>0</v>
      </c>
      <c r="D281" s="921">
        <v>17224.14</v>
      </c>
    </row>
    <row r="282" spans="1:4" s="823" customFormat="1" ht="11.25" x14ac:dyDescent="0.2">
      <c r="A282" s="920">
        <v>123532</v>
      </c>
      <c r="B282" s="922" t="s">
        <v>1759</v>
      </c>
      <c r="C282" s="921">
        <v>0</v>
      </c>
      <c r="D282" s="921">
        <v>14640.52</v>
      </c>
    </row>
    <row r="283" spans="1:4" s="823" customFormat="1" ht="11.25" x14ac:dyDescent="0.2">
      <c r="A283" s="920">
        <v>123533</v>
      </c>
      <c r="B283" s="922" t="s">
        <v>1760</v>
      </c>
      <c r="C283" s="921">
        <v>0</v>
      </c>
      <c r="D283" s="921">
        <v>15501.72</v>
      </c>
    </row>
    <row r="284" spans="1:4" s="823" customFormat="1" ht="11.25" x14ac:dyDescent="0.2">
      <c r="A284" s="920">
        <v>123534</v>
      </c>
      <c r="B284" s="922" t="s">
        <v>1986</v>
      </c>
      <c r="C284" s="921">
        <v>0</v>
      </c>
      <c r="D284" s="921">
        <v>14640.52</v>
      </c>
    </row>
    <row r="285" spans="1:4" s="823" customFormat="1" ht="11.25" x14ac:dyDescent="0.2">
      <c r="A285" s="920">
        <v>123535</v>
      </c>
      <c r="B285" s="922" t="s">
        <v>1762</v>
      </c>
      <c r="C285" s="921">
        <v>0</v>
      </c>
      <c r="D285" s="921">
        <v>13779.31</v>
      </c>
    </row>
    <row r="286" spans="1:4" s="823" customFormat="1" ht="11.25" x14ac:dyDescent="0.2">
      <c r="A286" s="920">
        <v>123536</v>
      </c>
      <c r="B286" s="922" t="s">
        <v>1760</v>
      </c>
      <c r="C286" s="921">
        <v>0</v>
      </c>
      <c r="D286" s="921">
        <v>12918.1</v>
      </c>
    </row>
    <row r="287" spans="1:4" s="823" customFormat="1" ht="11.25" x14ac:dyDescent="0.2">
      <c r="A287" s="920">
        <v>123537</v>
      </c>
      <c r="B287" s="922" t="s">
        <v>1763</v>
      </c>
      <c r="C287" s="921">
        <v>0</v>
      </c>
      <c r="D287" s="921">
        <v>12918.1</v>
      </c>
    </row>
    <row r="288" spans="1:4" s="823" customFormat="1" ht="11.25" x14ac:dyDescent="0.2">
      <c r="A288" s="920">
        <v>123538</v>
      </c>
      <c r="B288" s="922" t="s">
        <v>1764</v>
      </c>
      <c r="C288" s="921">
        <v>0</v>
      </c>
      <c r="D288" s="921">
        <v>13779.31</v>
      </c>
    </row>
    <row r="289" spans="1:4" s="823" customFormat="1" ht="11.25" x14ac:dyDescent="0.2">
      <c r="A289" s="920">
        <v>123539</v>
      </c>
      <c r="B289" s="922" t="s">
        <v>1765</v>
      </c>
      <c r="C289" s="921">
        <v>0</v>
      </c>
      <c r="D289" s="921">
        <v>12918.1</v>
      </c>
    </row>
    <row r="290" spans="1:4" s="823" customFormat="1" ht="11.25" x14ac:dyDescent="0.2">
      <c r="A290" s="920">
        <v>123540</v>
      </c>
      <c r="B290" s="922" t="s">
        <v>1766</v>
      </c>
      <c r="C290" s="921">
        <v>0</v>
      </c>
      <c r="D290" s="921">
        <v>12056.9</v>
      </c>
    </row>
    <row r="291" spans="1:4" s="823" customFormat="1" ht="11.25" x14ac:dyDescent="0.2">
      <c r="A291" s="920">
        <v>123541</v>
      </c>
      <c r="B291" s="922" t="s">
        <v>1987</v>
      </c>
      <c r="C291" s="921">
        <v>0</v>
      </c>
      <c r="D291" s="921">
        <v>12918.1</v>
      </c>
    </row>
    <row r="292" spans="1:4" s="823" customFormat="1" ht="11.25" x14ac:dyDescent="0.2">
      <c r="A292" s="920">
        <v>123542</v>
      </c>
      <c r="B292" s="922" t="s">
        <v>1988</v>
      </c>
      <c r="C292" s="921">
        <v>0</v>
      </c>
      <c r="D292" s="921">
        <v>12056.9</v>
      </c>
    </row>
    <row r="293" spans="1:4" s="823" customFormat="1" ht="11.25" x14ac:dyDescent="0.2">
      <c r="A293" s="920">
        <v>123543</v>
      </c>
      <c r="B293" s="922" t="s">
        <v>1768</v>
      </c>
      <c r="C293" s="921">
        <v>0</v>
      </c>
      <c r="D293" s="921">
        <v>11195.69</v>
      </c>
    </row>
    <row r="294" spans="1:4" s="823" customFormat="1" ht="11.25" x14ac:dyDescent="0.2">
      <c r="A294" s="920">
        <v>123544</v>
      </c>
      <c r="B294" s="922" t="s">
        <v>1769</v>
      </c>
      <c r="C294" s="921">
        <v>0</v>
      </c>
      <c r="D294" s="921">
        <v>10334.48</v>
      </c>
    </row>
    <row r="295" spans="1:4" s="823" customFormat="1" ht="11.25" x14ac:dyDescent="0.2">
      <c r="A295" s="920">
        <v>123545</v>
      </c>
      <c r="B295" s="922" t="s">
        <v>1770</v>
      </c>
      <c r="C295" s="921">
        <v>0</v>
      </c>
      <c r="D295" s="921">
        <v>12056.9</v>
      </c>
    </row>
    <row r="296" spans="1:4" s="823" customFormat="1" ht="11.25" x14ac:dyDescent="0.2">
      <c r="A296" s="920">
        <v>123546</v>
      </c>
      <c r="B296" s="922" t="s">
        <v>1771</v>
      </c>
      <c r="C296" s="921">
        <v>0</v>
      </c>
      <c r="D296" s="921">
        <v>10334.48</v>
      </c>
    </row>
    <row r="297" spans="1:4" s="823" customFormat="1" ht="11.25" x14ac:dyDescent="0.2">
      <c r="A297" s="920">
        <v>123547</v>
      </c>
      <c r="B297" s="922" t="s">
        <v>1772</v>
      </c>
      <c r="C297" s="921">
        <v>0</v>
      </c>
      <c r="D297" s="921">
        <v>10334.48</v>
      </c>
    </row>
    <row r="298" spans="1:4" s="823" customFormat="1" ht="11.25" x14ac:dyDescent="0.2">
      <c r="A298" s="920">
        <v>123548</v>
      </c>
      <c r="B298" s="922" t="s">
        <v>1773</v>
      </c>
      <c r="C298" s="921">
        <v>0</v>
      </c>
      <c r="D298" s="921">
        <v>6889.66</v>
      </c>
    </row>
    <row r="299" spans="1:4" s="823" customFormat="1" ht="11.25" x14ac:dyDescent="0.2">
      <c r="A299" s="920">
        <v>123549</v>
      </c>
      <c r="B299" s="922" t="s">
        <v>1774</v>
      </c>
      <c r="C299" s="921">
        <v>0</v>
      </c>
      <c r="D299" s="921">
        <v>6889.66</v>
      </c>
    </row>
    <row r="300" spans="1:4" s="823" customFormat="1" ht="11.25" x14ac:dyDescent="0.2">
      <c r="A300" s="920">
        <v>123550</v>
      </c>
      <c r="B300" s="922" t="s">
        <v>1775</v>
      </c>
      <c r="C300" s="921">
        <v>0</v>
      </c>
      <c r="D300" s="921">
        <v>12056.9</v>
      </c>
    </row>
    <row r="301" spans="1:4" s="823" customFormat="1" ht="11.25" x14ac:dyDescent="0.2">
      <c r="A301" s="920">
        <v>123551</v>
      </c>
      <c r="B301" s="922" t="s">
        <v>1983</v>
      </c>
      <c r="C301" s="921">
        <v>0</v>
      </c>
      <c r="D301" s="921">
        <v>17224.14</v>
      </c>
    </row>
    <row r="302" spans="1:4" s="823" customFormat="1" ht="11.25" x14ac:dyDescent="0.2">
      <c r="A302" s="920">
        <v>123552</v>
      </c>
      <c r="B302" s="922" t="s">
        <v>1776</v>
      </c>
      <c r="C302" s="921">
        <v>0</v>
      </c>
      <c r="D302" s="921">
        <v>12056.9</v>
      </c>
    </row>
    <row r="303" spans="1:4" s="823" customFormat="1" ht="11.25" x14ac:dyDescent="0.2">
      <c r="A303" s="920">
        <v>123553</v>
      </c>
      <c r="B303" s="922" t="s">
        <v>1777</v>
      </c>
      <c r="C303" s="921">
        <v>0</v>
      </c>
      <c r="D303" s="921">
        <v>15501.72</v>
      </c>
    </row>
    <row r="304" spans="1:4" s="823" customFormat="1" ht="11.25" x14ac:dyDescent="0.2">
      <c r="A304" s="920">
        <v>123554</v>
      </c>
      <c r="B304" s="922" t="s">
        <v>1778</v>
      </c>
      <c r="C304" s="921">
        <v>0</v>
      </c>
      <c r="D304" s="921">
        <v>9473.2800000000007</v>
      </c>
    </row>
    <row r="305" spans="1:4" s="823" customFormat="1" ht="11.25" x14ac:dyDescent="0.2">
      <c r="A305" s="920">
        <v>123555</v>
      </c>
      <c r="B305" s="922" t="s">
        <v>1779</v>
      </c>
      <c r="C305" s="921">
        <v>0</v>
      </c>
      <c r="D305" s="921">
        <v>13779.3</v>
      </c>
    </row>
    <row r="306" spans="1:4" s="823" customFormat="1" ht="11.25" x14ac:dyDescent="0.2">
      <c r="A306" s="920">
        <v>123603</v>
      </c>
      <c r="B306" s="922" t="s">
        <v>1628</v>
      </c>
      <c r="C306" s="921">
        <v>326868.62</v>
      </c>
      <c r="D306" s="921">
        <v>0</v>
      </c>
    </row>
    <row r="307" spans="1:4" s="823" customFormat="1" ht="22.5" x14ac:dyDescent="0.2">
      <c r="A307" s="920">
        <v>123604</v>
      </c>
      <c r="B307" s="922" t="s">
        <v>1629</v>
      </c>
      <c r="C307" s="921">
        <v>317217.31</v>
      </c>
      <c r="D307" s="921">
        <v>0</v>
      </c>
    </row>
    <row r="308" spans="1:4" s="823" customFormat="1" ht="22.5" x14ac:dyDescent="0.2">
      <c r="A308" s="920">
        <v>123605</v>
      </c>
      <c r="B308" s="922" t="s">
        <v>1630</v>
      </c>
      <c r="C308" s="921">
        <v>225669.53</v>
      </c>
      <c r="D308" s="921">
        <v>0</v>
      </c>
    </row>
    <row r="309" spans="1:4" s="823" customFormat="1" ht="22.5" x14ac:dyDescent="0.2">
      <c r="A309" s="920">
        <v>123606</v>
      </c>
      <c r="B309" s="922" t="s">
        <v>1631</v>
      </c>
      <c r="C309" s="921">
        <v>374553.11</v>
      </c>
      <c r="D309" s="921">
        <v>0</v>
      </c>
    </row>
    <row r="310" spans="1:4" s="823" customFormat="1" ht="22.5" x14ac:dyDescent="0.2">
      <c r="A310" s="920">
        <v>123607</v>
      </c>
      <c r="B310" s="922" t="s">
        <v>1632</v>
      </c>
      <c r="C310" s="921">
        <v>246666.53</v>
      </c>
      <c r="D310" s="921">
        <v>0</v>
      </c>
    </row>
    <row r="311" spans="1:4" s="823" customFormat="1" ht="22.5" x14ac:dyDescent="0.2">
      <c r="A311" s="920">
        <v>123608</v>
      </c>
      <c r="B311" s="922" t="s">
        <v>1633</v>
      </c>
      <c r="C311" s="921">
        <v>151500</v>
      </c>
      <c r="D311" s="921">
        <v>0</v>
      </c>
    </row>
    <row r="312" spans="1:4" s="823" customFormat="1" ht="22.5" x14ac:dyDescent="0.2">
      <c r="A312" s="920">
        <v>123609</v>
      </c>
      <c r="B312" s="922" t="s">
        <v>1634</v>
      </c>
      <c r="C312" s="921">
        <v>478100</v>
      </c>
      <c r="D312" s="921">
        <v>0</v>
      </c>
    </row>
    <row r="313" spans="1:4" s="823" customFormat="1" ht="11.25" x14ac:dyDescent="0.2">
      <c r="A313" s="920">
        <v>123610</v>
      </c>
      <c r="B313" s="922" t="s">
        <v>1635</v>
      </c>
      <c r="C313" s="921">
        <v>561900</v>
      </c>
      <c r="D313" s="921">
        <v>0</v>
      </c>
    </row>
    <row r="314" spans="1:4" s="823" customFormat="1" ht="22.5" x14ac:dyDescent="0.2">
      <c r="A314" s="920">
        <v>123611</v>
      </c>
      <c r="B314" s="922" t="s">
        <v>1636</v>
      </c>
      <c r="C314" s="921">
        <v>389700</v>
      </c>
      <c r="D314" s="921">
        <v>0</v>
      </c>
    </row>
    <row r="315" spans="1:4" s="823" customFormat="1" ht="11.25" x14ac:dyDescent="0.2">
      <c r="A315" s="920">
        <v>123612</v>
      </c>
      <c r="B315" s="922" t="s">
        <v>1637</v>
      </c>
      <c r="C315" s="921">
        <v>59700</v>
      </c>
      <c r="D315" s="921">
        <v>0</v>
      </c>
    </row>
    <row r="316" spans="1:4" s="823" customFormat="1" ht="11.25" x14ac:dyDescent="0.2">
      <c r="A316" s="920">
        <v>123613</v>
      </c>
      <c r="B316" s="922" t="s">
        <v>1638</v>
      </c>
      <c r="C316" s="921">
        <v>48434.12</v>
      </c>
      <c r="D316" s="921">
        <v>0</v>
      </c>
    </row>
    <row r="317" spans="1:4" s="823" customFormat="1" ht="22.5" x14ac:dyDescent="0.2">
      <c r="A317" s="920">
        <v>123614</v>
      </c>
      <c r="B317" s="922" t="s">
        <v>1639</v>
      </c>
      <c r="C317" s="921">
        <v>123905.4</v>
      </c>
      <c r="D317" s="921">
        <v>0</v>
      </c>
    </row>
    <row r="318" spans="1:4" s="823" customFormat="1" ht="11.25" x14ac:dyDescent="0.2">
      <c r="A318" s="920">
        <v>123615</v>
      </c>
      <c r="B318" s="922" t="s">
        <v>1640</v>
      </c>
      <c r="C318" s="921">
        <v>225202.15999999997</v>
      </c>
      <c r="D318" s="921">
        <v>0</v>
      </c>
    </row>
    <row r="319" spans="1:4" s="823" customFormat="1" ht="11.25" x14ac:dyDescent="0.2">
      <c r="A319" s="920">
        <v>123616</v>
      </c>
      <c r="B319" s="922" t="s">
        <v>1640</v>
      </c>
      <c r="C319" s="921">
        <v>225202.15999999997</v>
      </c>
      <c r="D319" s="921">
        <v>0</v>
      </c>
    </row>
    <row r="320" spans="1:4" s="823" customFormat="1" ht="11.25" x14ac:dyDescent="0.2">
      <c r="A320" s="920">
        <v>123617</v>
      </c>
      <c r="B320" s="922" t="s">
        <v>1640</v>
      </c>
      <c r="C320" s="921">
        <v>225202.15999999997</v>
      </c>
      <c r="D320" s="921">
        <v>0</v>
      </c>
    </row>
    <row r="321" spans="1:4" s="823" customFormat="1" ht="11.25" x14ac:dyDescent="0.2">
      <c r="A321" s="920">
        <v>123618</v>
      </c>
      <c r="B321" s="922" t="s">
        <v>1641</v>
      </c>
      <c r="C321" s="921">
        <v>225202.15999999997</v>
      </c>
      <c r="D321" s="921">
        <v>0</v>
      </c>
    </row>
    <row r="322" spans="1:4" s="823" customFormat="1" ht="11.25" x14ac:dyDescent="0.2">
      <c r="A322" s="920">
        <v>123619</v>
      </c>
      <c r="B322" s="922" t="s">
        <v>1640</v>
      </c>
      <c r="C322" s="921">
        <v>225202.15999999997</v>
      </c>
      <c r="D322" s="921">
        <v>0</v>
      </c>
    </row>
    <row r="323" spans="1:4" s="823" customFormat="1" ht="11.25" x14ac:dyDescent="0.2">
      <c r="A323" s="920">
        <v>123620</v>
      </c>
      <c r="B323" s="922" t="s">
        <v>1640</v>
      </c>
      <c r="C323" s="921">
        <v>225202.15999999997</v>
      </c>
      <c r="D323" s="921">
        <v>0</v>
      </c>
    </row>
    <row r="324" spans="1:4" s="823" customFormat="1" ht="11.25" x14ac:dyDescent="0.2">
      <c r="A324" s="920">
        <v>123621</v>
      </c>
      <c r="B324" s="922" t="s">
        <v>1642</v>
      </c>
      <c r="C324" s="921">
        <v>559445.79</v>
      </c>
      <c r="D324" s="921">
        <v>0</v>
      </c>
    </row>
    <row r="325" spans="1:4" s="823" customFormat="1" ht="11.25" x14ac:dyDescent="0.2">
      <c r="A325" s="920">
        <v>123622</v>
      </c>
      <c r="B325" s="922" t="s">
        <v>1643</v>
      </c>
      <c r="C325" s="921">
        <v>67231.600000000006</v>
      </c>
      <c r="D325" s="921">
        <v>0</v>
      </c>
    </row>
    <row r="326" spans="1:4" s="823" customFormat="1" ht="11.25" x14ac:dyDescent="0.2">
      <c r="A326" s="920">
        <v>123623</v>
      </c>
      <c r="B326" s="922" t="s">
        <v>1644</v>
      </c>
      <c r="C326" s="921">
        <v>170676.59999999998</v>
      </c>
      <c r="D326" s="921">
        <v>0</v>
      </c>
    </row>
    <row r="327" spans="1:4" s="823" customFormat="1" ht="22.5" x14ac:dyDescent="0.2">
      <c r="A327" s="920">
        <v>123624</v>
      </c>
      <c r="B327" s="922" t="s">
        <v>1645</v>
      </c>
      <c r="C327" s="921">
        <v>501682.74</v>
      </c>
      <c r="D327" s="921">
        <v>0</v>
      </c>
    </row>
    <row r="328" spans="1:4" s="823" customFormat="1" ht="22.5" x14ac:dyDescent="0.2">
      <c r="A328" s="920">
        <v>123625</v>
      </c>
      <c r="B328" s="922" t="s">
        <v>1646</v>
      </c>
      <c r="C328" s="921">
        <v>122591.48</v>
      </c>
      <c r="D328" s="921">
        <v>0</v>
      </c>
    </row>
    <row r="329" spans="1:4" s="823" customFormat="1" ht="22.5" x14ac:dyDescent="0.2">
      <c r="A329" s="920">
        <v>123626</v>
      </c>
      <c r="B329" s="922" t="s">
        <v>1647</v>
      </c>
      <c r="C329" s="921">
        <v>302354.14</v>
      </c>
      <c r="D329" s="921">
        <v>0</v>
      </c>
    </row>
    <row r="330" spans="1:4" s="823" customFormat="1" ht="11.25" x14ac:dyDescent="0.2">
      <c r="A330" s="920">
        <v>123627</v>
      </c>
      <c r="B330" s="922" t="s">
        <v>1648</v>
      </c>
      <c r="C330" s="921">
        <v>146564.79999999999</v>
      </c>
      <c r="D330" s="921">
        <v>0</v>
      </c>
    </row>
    <row r="331" spans="1:4" s="823" customFormat="1" ht="22.5" x14ac:dyDescent="0.2">
      <c r="A331" s="920">
        <v>123628</v>
      </c>
      <c r="B331" s="922" t="s">
        <v>1649</v>
      </c>
      <c r="C331" s="921">
        <v>152556.9</v>
      </c>
      <c r="D331" s="921">
        <v>0</v>
      </c>
    </row>
    <row r="332" spans="1:4" s="823" customFormat="1" ht="11.25" x14ac:dyDescent="0.2">
      <c r="A332" s="920">
        <v>123629</v>
      </c>
      <c r="B332" s="922" t="s">
        <v>1650</v>
      </c>
      <c r="C332" s="921">
        <v>174626.1</v>
      </c>
      <c r="D332" s="921">
        <v>0</v>
      </c>
    </row>
    <row r="333" spans="1:4" s="823" customFormat="1" ht="22.5" x14ac:dyDescent="0.2">
      <c r="A333" s="920">
        <v>123630</v>
      </c>
      <c r="B333" s="922" t="s">
        <v>1651</v>
      </c>
      <c r="C333" s="921">
        <v>150000</v>
      </c>
      <c r="D333" s="921">
        <v>0</v>
      </c>
    </row>
    <row r="334" spans="1:4" s="823" customFormat="1" ht="22.5" x14ac:dyDescent="0.2">
      <c r="A334" s="920">
        <v>123631</v>
      </c>
      <c r="B334" s="922" t="s">
        <v>1652</v>
      </c>
      <c r="C334" s="921">
        <v>350000</v>
      </c>
      <c r="D334" s="921">
        <v>0</v>
      </c>
    </row>
    <row r="335" spans="1:4" s="823" customFormat="1" ht="11.25" x14ac:dyDescent="0.2">
      <c r="A335" s="920">
        <v>123632</v>
      </c>
      <c r="B335" s="922" t="s">
        <v>1653</v>
      </c>
      <c r="C335" s="921">
        <v>480000</v>
      </c>
      <c r="D335" s="921">
        <v>0</v>
      </c>
    </row>
    <row r="336" spans="1:4" s="823" customFormat="1" ht="11.25" x14ac:dyDescent="0.2">
      <c r="A336" s="920">
        <v>123633</v>
      </c>
      <c r="B336" s="922" t="s">
        <v>1654</v>
      </c>
      <c r="C336" s="921">
        <v>350000</v>
      </c>
      <c r="D336" s="921">
        <v>0</v>
      </c>
    </row>
    <row r="337" spans="1:4" s="823" customFormat="1" ht="22.5" x14ac:dyDescent="0.2">
      <c r="A337" s="920">
        <v>123634</v>
      </c>
      <c r="B337" s="922" t="s">
        <v>1655</v>
      </c>
      <c r="C337" s="921">
        <v>350000</v>
      </c>
      <c r="D337" s="921">
        <v>0</v>
      </c>
    </row>
    <row r="338" spans="1:4" s="823" customFormat="1" ht="11.25" x14ac:dyDescent="0.2">
      <c r="A338" s="920">
        <v>123635</v>
      </c>
      <c r="B338" s="922" t="s">
        <v>1656</v>
      </c>
      <c r="C338" s="921">
        <v>100000</v>
      </c>
      <c r="D338" s="921">
        <v>0</v>
      </c>
    </row>
    <row r="339" spans="1:4" s="823" customFormat="1" ht="11.25" x14ac:dyDescent="0.2">
      <c r="A339" s="920">
        <v>123636</v>
      </c>
      <c r="B339" s="922" t="s">
        <v>1657</v>
      </c>
      <c r="C339" s="921">
        <v>43760</v>
      </c>
      <c r="D339" s="921">
        <v>0</v>
      </c>
    </row>
    <row r="340" spans="1:4" s="823" customFormat="1" ht="11.25" x14ac:dyDescent="0.2">
      <c r="A340" s="920">
        <v>123637</v>
      </c>
      <c r="B340" s="922" t="s">
        <v>1658</v>
      </c>
      <c r="C340" s="921">
        <v>100000</v>
      </c>
      <c r="D340" s="921">
        <v>0</v>
      </c>
    </row>
    <row r="341" spans="1:4" s="823" customFormat="1" ht="11.25" x14ac:dyDescent="0.2">
      <c r="A341" s="920">
        <v>123638</v>
      </c>
      <c r="B341" s="922" t="s">
        <v>1659</v>
      </c>
      <c r="C341" s="921">
        <v>155520</v>
      </c>
      <c r="D341" s="921">
        <v>0</v>
      </c>
    </row>
    <row r="342" spans="1:4" s="823" customFormat="1" ht="11.25" x14ac:dyDescent="0.2">
      <c r="A342" s="920">
        <v>123639</v>
      </c>
      <c r="B342" s="922" t="s">
        <v>1660</v>
      </c>
      <c r="C342" s="921">
        <v>150000</v>
      </c>
      <c r="D342" s="921">
        <v>0</v>
      </c>
    </row>
    <row r="343" spans="1:4" s="823" customFormat="1" ht="11.25" x14ac:dyDescent="0.2">
      <c r="A343" s="920">
        <v>123640</v>
      </c>
      <c r="B343" s="922" t="s">
        <v>1661</v>
      </c>
      <c r="C343" s="921">
        <v>314031.77</v>
      </c>
      <c r="D343" s="921">
        <v>0</v>
      </c>
    </row>
    <row r="344" spans="1:4" s="823" customFormat="1" ht="11.25" x14ac:dyDescent="0.2">
      <c r="A344" s="920">
        <v>123641</v>
      </c>
      <c r="B344" s="922" t="s">
        <v>1662</v>
      </c>
      <c r="C344" s="921">
        <v>499889.69</v>
      </c>
      <c r="D344" s="921">
        <v>0</v>
      </c>
    </row>
    <row r="345" spans="1:4" s="823" customFormat="1" ht="11.25" x14ac:dyDescent="0.2">
      <c r="A345" s="920">
        <v>123642</v>
      </c>
      <c r="B345" s="922" t="s">
        <v>1663</v>
      </c>
      <c r="C345" s="921">
        <v>60007.6</v>
      </c>
      <c r="D345" s="921">
        <v>0</v>
      </c>
    </row>
    <row r="346" spans="1:4" s="823" customFormat="1" ht="11.25" x14ac:dyDescent="0.2">
      <c r="A346" s="920">
        <v>123643</v>
      </c>
      <c r="B346" s="922" t="s">
        <v>1663</v>
      </c>
      <c r="C346" s="921">
        <v>45903.11</v>
      </c>
      <c r="D346" s="921">
        <v>0</v>
      </c>
    </row>
    <row r="347" spans="1:4" s="823" customFormat="1" ht="11.25" x14ac:dyDescent="0.2">
      <c r="A347" s="920">
        <v>123644</v>
      </c>
      <c r="B347" s="922" t="s">
        <v>1664</v>
      </c>
      <c r="C347" s="921">
        <v>193656.26</v>
      </c>
      <c r="D347" s="921">
        <v>0</v>
      </c>
    </row>
    <row r="348" spans="1:4" s="823" customFormat="1" ht="11.25" x14ac:dyDescent="0.2">
      <c r="A348" s="920">
        <v>123645</v>
      </c>
      <c r="B348" s="922" t="s">
        <v>1665</v>
      </c>
      <c r="C348" s="921">
        <v>326016.99</v>
      </c>
      <c r="D348" s="921">
        <v>0</v>
      </c>
    </row>
    <row r="349" spans="1:4" s="823" customFormat="1" ht="11.25" x14ac:dyDescent="0.2">
      <c r="A349" s="920">
        <v>123646</v>
      </c>
      <c r="B349" s="922" t="s">
        <v>1666</v>
      </c>
      <c r="C349" s="921">
        <v>119605.18</v>
      </c>
      <c r="D349" s="921">
        <v>0</v>
      </c>
    </row>
    <row r="350" spans="1:4" s="823" customFormat="1" ht="11.25" x14ac:dyDescent="0.2">
      <c r="A350" s="920">
        <v>123647</v>
      </c>
      <c r="B350" s="922" t="s">
        <v>1667</v>
      </c>
      <c r="C350" s="921">
        <v>335000</v>
      </c>
      <c r="D350" s="921">
        <v>0</v>
      </c>
    </row>
    <row r="351" spans="1:4" s="823" customFormat="1" ht="11.25" x14ac:dyDescent="0.2">
      <c r="A351" s="920">
        <v>123648</v>
      </c>
      <c r="B351" s="922" t="s">
        <v>1668</v>
      </c>
      <c r="C351" s="921">
        <v>456200</v>
      </c>
      <c r="D351" s="921">
        <v>0</v>
      </c>
    </row>
    <row r="352" spans="1:4" s="823" customFormat="1" ht="11.25" x14ac:dyDescent="0.2">
      <c r="A352" s="920">
        <v>123649</v>
      </c>
      <c r="B352" s="922" t="s">
        <v>1669</v>
      </c>
      <c r="C352" s="921">
        <v>254400</v>
      </c>
      <c r="D352" s="921">
        <v>0</v>
      </c>
    </row>
    <row r="353" spans="1:4" s="823" customFormat="1" ht="11.25" x14ac:dyDescent="0.2">
      <c r="A353" s="920">
        <v>123650</v>
      </c>
      <c r="B353" s="922" t="s">
        <v>1541</v>
      </c>
      <c r="C353" s="921">
        <v>48800</v>
      </c>
      <c r="D353" s="921">
        <v>0</v>
      </c>
    </row>
    <row r="354" spans="1:4" s="823" customFormat="1" ht="11.25" x14ac:dyDescent="0.2">
      <c r="A354" s="920">
        <v>123651</v>
      </c>
      <c r="B354" s="922" t="s">
        <v>1670</v>
      </c>
      <c r="C354" s="921">
        <v>146532.4</v>
      </c>
      <c r="D354" s="921">
        <v>0</v>
      </c>
    </row>
    <row r="355" spans="1:4" s="823" customFormat="1" ht="22.5" x14ac:dyDescent="0.2">
      <c r="A355" s="920">
        <v>123652</v>
      </c>
      <c r="B355" s="922" t="s">
        <v>1671</v>
      </c>
      <c r="C355" s="921">
        <v>482318.93999999994</v>
      </c>
      <c r="D355" s="921">
        <v>0</v>
      </c>
    </row>
    <row r="356" spans="1:4" s="823" customFormat="1" ht="22.5" x14ac:dyDescent="0.2">
      <c r="A356" s="920">
        <v>123653</v>
      </c>
      <c r="B356" s="922" t="s">
        <v>1672</v>
      </c>
      <c r="C356" s="921">
        <v>333898.94999999995</v>
      </c>
      <c r="D356" s="921">
        <v>0</v>
      </c>
    </row>
    <row r="357" spans="1:4" s="823" customFormat="1" ht="11.25" x14ac:dyDescent="0.2">
      <c r="A357" s="920">
        <v>123654</v>
      </c>
      <c r="B357" s="922" t="s">
        <v>1673</v>
      </c>
      <c r="C357" s="921">
        <v>238031.13</v>
      </c>
      <c r="D357" s="921">
        <v>0</v>
      </c>
    </row>
    <row r="358" spans="1:4" s="823" customFormat="1" ht="11.25" x14ac:dyDescent="0.2">
      <c r="A358" s="920">
        <v>123655</v>
      </c>
      <c r="B358" s="922" t="s">
        <v>1674</v>
      </c>
      <c r="C358" s="921">
        <v>214572.47</v>
      </c>
      <c r="D358" s="921">
        <v>0</v>
      </c>
    </row>
    <row r="359" spans="1:4" s="823" customFormat="1" ht="22.5" x14ac:dyDescent="0.2">
      <c r="A359" s="920">
        <v>123656</v>
      </c>
      <c r="B359" s="922" t="s">
        <v>1675</v>
      </c>
      <c r="C359" s="921">
        <v>54900.55</v>
      </c>
      <c r="D359" s="921">
        <v>0</v>
      </c>
    </row>
    <row r="360" spans="1:4" s="823" customFormat="1" ht="11.25" x14ac:dyDescent="0.2">
      <c r="A360" s="920">
        <v>123657</v>
      </c>
      <c r="B360" s="922" t="s">
        <v>1676</v>
      </c>
      <c r="C360" s="921">
        <v>986605</v>
      </c>
      <c r="D360" s="921">
        <v>0</v>
      </c>
    </row>
    <row r="361" spans="1:4" s="823" customFormat="1" ht="11.25" x14ac:dyDescent="0.2">
      <c r="A361" s="920">
        <v>123658</v>
      </c>
      <c r="B361" s="922" t="s">
        <v>1677</v>
      </c>
      <c r="C361" s="921">
        <v>46345.760000000002</v>
      </c>
      <c r="D361" s="921">
        <v>0</v>
      </c>
    </row>
    <row r="362" spans="1:4" s="823" customFormat="1" ht="11.25" x14ac:dyDescent="0.2">
      <c r="A362" s="920">
        <v>123659</v>
      </c>
      <c r="B362" s="922" t="s">
        <v>1678</v>
      </c>
      <c r="C362" s="921">
        <v>232835.22</v>
      </c>
      <c r="D362" s="921">
        <v>0</v>
      </c>
    </row>
    <row r="363" spans="1:4" s="823" customFormat="1" ht="11.25" x14ac:dyDescent="0.2">
      <c r="A363" s="920">
        <v>123660</v>
      </c>
      <c r="B363" s="922" t="s">
        <v>1679</v>
      </c>
      <c r="C363" s="921">
        <v>53966</v>
      </c>
      <c r="D363" s="921">
        <v>0</v>
      </c>
    </row>
    <row r="364" spans="1:4" s="823" customFormat="1" ht="11.25" x14ac:dyDescent="0.2">
      <c r="A364" s="920">
        <v>123661</v>
      </c>
      <c r="B364" s="922" t="s">
        <v>1680</v>
      </c>
      <c r="C364" s="921">
        <v>182126.57</v>
      </c>
      <c r="D364" s="921">
        <v>0</v>
      </c>
    </row>
    <row r="365" spans="1:4" s="823" customFormat="1" ht="11.25" x14ac:dyDescent="0.2">
      <c r="A365" s="920">
        <v>123662</v>
      </c>
      <c r="B365" s="922" t="s">
        <v>1681</v>
      </c>
      <c r="C365" s="921">
        <v>77229.290000000008</v>
      </c>
      <c r="D365" s="921">
        <v>0</v>
      </c>
    </row>
    <row r="366" spans="1:4" s="823" customFormat="1" ht="22.5" x14ac:dyDescent="0.2">
      <c r="A366" s="920">
        <v>123663</v>
      </c>
      <c r="B366" s="922" t="s">
        <v>1682</v>
      </c>
      <c r="C366" s="921">
        <v>275201.44</v>
      </c>
      <c r="D366" s="921">
        <v>0</v>
      </c>
    </row>
    <row r="367" spans="1:4" s="823" customFormat="1" ht="22.5" x14ac:dyDescent="0.2">
      <c r="A367" s="920">
        <v>123664</v>
      </c>
      <c r="B367" s="922" t="s">
        <v>1683</v>
      </c>
      <c r="C367" s="921">
        <v>298598.21000000002</v>
      </c>
      <c r="D367" s="921">
        <v>0</v>
      </c>
    </row>
    <row r="368" spans="1:4" s="823" customFormat="1" ht="22.5" x14ac:dyDescent="0.2">
      <c r="A368" s="920">
        <v>123665</v>
      </c>
      <c r="B368" s="922" t="s">
        <v>1684</v>
      </c>
      <c r="C368" s="921">
        <v>332718.24</v>
      </c>
      <c r="D368" s="921">
        <v>0</v>
      </c>
    </row>
    <row r="369" spans="1:4" s="823" customFormat="1" ht="11.25" x14ac:dyDescent="0.2">
      <c r="A369" s="920">
        <v>123666</v>
      </c>
      <c r="B369" s="922" t="s">
        <v>1685</v>
      </c>
      <c r="C369" s="921">
        <v>0</v>
      </c>
      <c r="D369" s="921">
        <v>1181567.43</v>
      </c>
    </row>
    <row r="370" spans="1:4" s="823" customFormat="1" ht="11.25" x14ac:dyDescent="0.2">
      <c r="A370" s="920">
        <v>123667</v>
      </c>
      <c r="B370" s="922" t="s">
        <v>1686</v>
      </c>
      <c r="C370" s="921">
        <v>0</v>
      </c>
      <c r="D370" s="921">
        <v>659593.04</v>
      </c>
    </row>
    <row r="371" spans="1:4" s="823" customFormat="1" ht="11.25" x14ac:dyDescent="0.2">
      <c r="A371" s="920">
        <v>123668</v>
      </c>
      <c r="B371" s="922" t="s">
        <v>1687</v>
      </c>
      <c r="C371" s="921">
        <v>0</v>
      </c>
      <c r="D371" s="921">
        <v>718713.66</v>
      </c>
    </row>
    <row r="372" spans="1:4" s="823" customFormat="1" ht="11.25" x14ac:dyDescent="0.2">
      <c r="A372" s="920">
        <v>123669</v>
      </c>
      <c r="B372" s="922" t="s">
        <v>1688</v>
      </c>
      <c r="C372" s="921">
        <v>0</v>
      </c>
      <c r="D372" s="921">
        <v>333887.92</v>
      </c>
    </row>
    <row r="373" spans="1:4" s="823" customFormat="1" ht="11.25" x14ac:dyDescent="0.2">
      <c r="A373" s="920">
        <v>123670</v>
      </c>
      <c r="B373" s="922" t="s">
        <v>1689</v>
      </c>
      <c r="C373" s="921">
        <v>0</v>
      </c>
      <c r="D373" s="921">
        <v>404852.03</v>
      </c>
    </row>
    <row r="374" spans="1:4" s="823" customFormat="1" ht="11.25" x14ac:dyDescent="0.2">
      <c r="A374" s="920">
        <v>123671</v>
      </c>
      <c r="B374" s="922" t="s">
        <v>1690</v>
      </c>
      <c r="C374" s="921">
        <v>0</v>
      </c>
      <c r="D374" s="921">
        <v>2041477.16</v>
      </c>
    </row>
    <row r="375" spans="1:4" s="823" customFormat="1" ht="11.25" x14ac:dyDescent="0.2">
      <c r="A375" s="920">
        <v>123672</v>
      </c>
      <c r="B375" s="922" t="s">
        <v>1691</v>
      </c>
      <c r="C375" s="921">
        <v>0</v>
      </c>
      <c r="D375" s="921">
        <v>902625.6</v>
      </c>
    </row>
    <row r="376" spans="1:4" s="823" customFormat="1" ht="11.25" x14ac:dyDescent="0.2">
      <c r="A376" s="920">
        <v>123673</v>
      </c>
      <c r="B376" s="922" t="s">
        <v>1692</v>
      </c>
      <c r="C376" s="921">
        <v>0</v>
      </c>
      <c r="D376" s="921">
        <v>544198.31000000006</v>
      </c>
    </row>
    <row r="377" spans="1:4" s="823" customFormat="1" ht="11.25" x14ac:dyDescent="0.2">
      <c r="A377" s="920">
        <v>123674</v>
      </c>
      <c r="B377" s="922" t="s">
        <v>1693</v>
      </c>
      <c r="C377" s="921">
        <v>0</v>
      </c>
      <c r="D377" s="921">
        <v>596657.9</v>
      </c>
    </row>
    <row r="378" spans="1:4" s="823" customFormat="1" ht="11.25" x14ac:dyDescent="0.2">
      <c r="A378" s="920">
        <v>123675</v>
      </c>
      <c r="B378" s="922" t="s">
        <v>1694</v>
      </c>
      <c r="C378" s="921">
        <v>0</v>
      </c>
      <c r="D378" s="921">
        <v>1794570.22</v>
      </c>
    </row>
    <row r="379" spans="1:4" s="823" customFormat="1" ht="11.25" x14ac:dyDescent="0.2">
      <c r="A379" s="920">
        <v>123676</v>
      </c>
      <c r="B379" s="922" t="s">
        <v>1695</v>
      </c>
      <c r="C379" s="921">
        <v>0</v>
      </c>
      <c r="D379" s="921">
        <v>2203758.75</v>
      </c>
    </row>
    <row r="380" spans="1:4" s="823" customFormat="1" ht="11.25" x14ac:dyDescent="0.2">
      <c r="A380" s="920">
        <v>123677</v>
      </c>
      <c r="B380" s="922" t="s">
        <v>1696</v>
      </c>
      <c r="C380" s="921">
        <v>0</v>
      </c>
      <c r="D380" s="921">
        <v>1511803.39</v>
      </c>
    </row>
    <row r="381" spans="1:4" s="823" customFormat="1" ht="11.25" x14ac:dyDescent="0.2">
      <c r="A381" s="920">
        <v>123678</v>
      </c>
      <c r="B381" s="922" t="s">
        <v>1697</v>
      </c>
      <c r="C381" s="921">
        <v>0</v>
      </c>
      <c r="D381" s="921">
        <v>1859815.12</v>
      </c>
    </row>
    <row r="382" spans="1:4" s="823" customFormat="1" ht="11.25" x14ac:dyDescent="0.2">
      <c r="A382" s="920">
        <v>123679</v>
      </c>
      <c r="B382" s="922" t="s">
        <v>1698</v>
      </c>
      <c r="C382" s="921">
        <v>0</v>
      </c>
      <c r="D382" s="921">
        <v>2618302.6800000002</v>
      </c>
    </row>
    <row r="383" spans="1:4" s="823" customFormat="1" ht="22.5" x14ac:dyDescent="0.2">
      <c r="A383" s="920">
        <v>123680</v>
      </c>
      <c r="B383" s="922" t="s">
        <v>1699</v>
      </c>
      <c r="C383" s="921">
        <v>0</v>
      </c>
      <c r="D383" s="921">
        <v>304768.83</v>
      </c>
    </row>
    <row r="384" spans="1:4" s="823" customFormat="1" ht="11.25" x14ac:dyDescent="0.2">
      <c r="A384" s="920">
        <v>123742</v>
      </c>
      <c r="B384" s="922" t="s">
        <v>1780</v>
      </c>
      <c r="C384" s="921">
        <v>0</v>
      </c>
      <c r="D384" s="921">
        <v>13952196.42</v>
      </c>
    </row>
    <row r="385" spans="1:4" s="823" customFormat="1" ht="11.25" x14ac:dyDescent="0.2">
      <c r="A385" s="920">
        <v>123743</v>
      </c>
      <c r="B385" s="922" t="s">
        <v>1989</v>
      </c>
      <c r="C385" s="921">
        <v>0</v>
      </c>
      <c r="D385" s="921">
        <v>2555172.41</v>
      </c>
    </row>
    <row r="386" spans="1:4" s="823" customFormat="1" ht="11.25" x14ac:dyDescent="0.2">
      <c r="A386" s="920">
        <v>123744</v>
      </c>
      <c r="B386" s="922" t="s">
        <v>1990</v>
      </c>
      <c r="C386" s="921">
        <v>0</v>
      </c>
      <c r="D386" s="921">
        <v>3931034.49</v>
      </c>
    </row>
    <row r="387" spans="1:4" s="823" customFormat="1" ht="11.25" x14ac:dyDescent="0.2">
      <c r="A387" s="920">
        <v>123745</v>
      </c>
      <c r="B387" s="922" t="s">
        <v>1991</v>
      </c>
      <c r="C387" s="921">
        <v>0</v>
      </c>
      <c r="D387" s="921">
        <v>2751724.14</v>
      </c>
    </row>
    <row r="388" spans="1:4" s="823" customFormat="1" ht="11.25" x14ac:dyDescent="0.2">
      <c r="A388" s="920">
        <v>123746</v>
      </c>
      <c r="B388" s="922" t="s">
        <v>1992</v>
      </c>
      <c r="C388" s="921">
        <v>0</v>
      </c>
      <c r="D388" s="921">
        <v>2555172.41</v>
      </c>
    </row>
    <row r="389" spans="1:4" s="823" customFormat="1" ht="11.25" x14ac:dyDescent="0.2">
      <c r="A389" s="920">
        <v>123747</v>
      </c>
      <c r="B389" s="922" t="s">
        <v>1993</v>
      </c>
      <c r="C389" s="921">
        <v>0</v>
      </c>
      <c r="D389" s="921">
        <v>3931034.49</v>
      </c>
    </row>
    <row r="390" spans="1:4" s="823" customFormat="1" ht="11.25" x14ac:dyDescent="0.2">
      <c r="A390" s="920">
        <v>123748</v>
      </c>
      <c r="B390" s="922" t="s">
        <v>1780</v>
      </c>
      <c r="C390" s="921">
        <v>0</v>
      </c>
      <c r="D390" s="921">
        <v>244775.38</v>
      </c>
    </row>
    <row r="391" spans="1:4" s="823" customFormat="1" ht="11.25" x14ac:dyDescent="0.2">
      <c r="A391" s="920">
        <v>123749</v>
      </c>
      <c r="B391" s="922" t="s">
        <v>1989</v>
      </c>
      <c r="C391" s="921">
        <v>0</v>
      </c>
      <c r="D391" s="921">
        <v>44827.59</v>
      </c>
    </row>
    <row r="392" spans="1:4" s="823" customFormat="1" ht="11.25" x14ac:dyDescent="0.2">
      <c r="A392" s="920">
        <v>123750</v>
      </c>
      <c r="B392" s="922" t="s">
        <v>1990</v>
      </c>
      <c r="C392" s="921">
        <v>0</v>
      </c>
      <c r="D392" s="921">
        <v>68965.509999999995</v>
      </c>
    </row>
    <row r="393" spans="1:4" s="823" customFormat="1" ht="11.25" x14ac:dyDescent="0.2">
      <c r="A393" s="920">
        <v>123751</v>
      </c>
      <c r="B393" s="922" t="s">
        <v>1991</v>
      </c>
      <c r="C393" s="921">
        <v>0</v>
      </c>
      <c r="D393" s="921">
        <v>48275.86</v>
      </c>
    </row>
    <row r="394" spans="1:4" s="823" customFormat="1" ht="11.25" x14ac:dyDescent="0.2">
      <c r="A394" s="920">
        <v>123752</v>
      </c>
      <c r="B394" s="922" t="s">
        <v>1992</v>
      </c>
      <c r="C394" s="921">
        <v>0</v>
      </c>
      <c r="D394" s="921">
        <v>44827.59</v>
      </c>
    </row>
    <row r="395" spans="1:4" s="823" customFormat="1" ht="11.25" x14ac:dyDescent="0.2">
      <c r="A395" s="920">
        <v>123753</v>
      </c>
      <c r="B395" s="922" t="s">
        <v>1993</v>
      </c>
      <c r="C395" s="921">
        <v>0</v>
      </c>
      <c r="D395" s="921">
        <v>68965.509999999995</v>
      </c>
    </row>
    <row r="396" spans="1:4" s="823" customFormat="1" ht="11.25" x14ac:dyDescent="0.2">
      <c r="A396" s="920">
        <v>125878</v>
      </c>
      <c r="B396" s="922" t="s">
        <v>1700</v>
      </c>
      <c r="C396" s="921">
        <v>238708</v>
      </c>
      <c r="D396" s="921">
        <v>0</v>
      </c>
    </row>
    <row r="397" spans="1:4" s="823" customFormat="1" ht="11.25" x14ac:dyDescent="0.2">
      <c r="A397" s="920">
        <v>125879</v>
      </c>
      <c r="B397" s="922" t="s">
        <v>1701</v>
      </c>
      <c r="C397" s="921">
        <v>42501.539999999994</v>
      </c>
      <c r="D397" s="921">
        <v>0</v>
      </c>
    </row>
    <row r="398" spans="1:4" s="823" customFormat="1" ht="22.5" x14ac:dyDescent="0.2">
      <c r="A398" s="920">
        <v>125880</v>
      </c>
      <c r="B398" s="922" t="s">
        <v>1702</v>
      </c>
      <c r="C398" s="921">
        <v>369663.86000000004</v>
      </c>
      <c r="D398" s="921">
        <v>0</v>
      </c>
    </row>
    <row r="399" spans="1:4" s="823" customFormat="1" ht="22.5" x14ac:dyDescent="0.2">
      <c r="A399" s="920">
        <v>125881</v>
      </c>
      <c r="B399" s="922" t="s">
        <v>1703</v>
      </c>
      <c r="C399" s="921">
        <v>240838.36</v>
      </c>
      <c r="D399" s="921">
        <v>0</v>
      </c>
    </row>
    <row r="400" spans="1:4" s="823" customFormat="1" ht="22.5" x14ac:dyDescent="0.2">
      <c r="A400" s="920">
        <v>125882</v>
      </c>
      <c r="B400" s="922" t="s">
        <v>1704</v>
      </c>
      <c r="C400" s="921">
        <v>100391.43</v>
      </c>
      <c r="D400" s="921">
        <v>0</v>
      </c>
    </row>
    <row r="401" spans="1:4" s="823" customFormat="1" ht="22.5" x14ac:dyDescent="0.2">
      <c r="A401" s="920">
        <v>125883</v>
      </c>
      <c r="B401" s="922" t="s">
        <v>1705</v>
      </c>
      <c r="C401" s="921">
        <v>404578.74</v>
      </c>
      <c r="D401" s="921">
        <v>0</v>
      </c>
    </row>
    <row r="402" spans="1:4" s="823" customFormat="1" ht="22.5" x14ac:dyDescent="0.2">
      <c r="A402" s="920">
        <v>125884</v>
      </c>
      <c r="B402" s="922" t="s">
        <v>1706</v>
      </c>
      <c r="C402" s="921">
        <v>293357.02</v>
      </c>
      <c r="D402" s="921">
        <v>0</v>
      </c>
    </row>
    <row r="403" spans="1:4" s="823" customFormat="1" ht="22.5" x14ac:dyDescent="0.2">
      <c r="A403" s="920">
        <v>126044</v>
      </c>
      <c r="B403" s="922" t="s">
        <v>1707</v>
      </c>
      <c r="C403" s="921">
        <v>232032.16</v>
      </c>
      <c r="D403" s="921">
        <v>0</v>
      </c>
    </row>
    <row r="404" spans="1:4" s="823" customFormat="1" ht="22.5" x14ac:dyDescent="0.2">
      <c r="A404" s="920">
        <v>126045</v>
      </c>
      <c r="B404" s="922" t="s">
        <v>1708</v>
      </c>
      <c r="C404" s="921">
        <v>228405.08000000002</v>
      </c>
      <c r="D404" s="921">
        <v>0</v>
      </c>
    </row>
    <row r="405" spans="1:4" s="823" customFormat="1" ht="11.25" x14ac:dyDescent="0.2">
      <c r="A405" s="920">
        <v>126227</v>
      </c>
      <c r="B405" s="922" t="s">
        <v>1709</v>
      </c>
      <c r="C405" s="921">
        <v>240199</v>
      </c>
      <c r="D405" s="921">
        <v>0</v>
      </c>
    </row>
    <row r="406" spans="1:4" s="823" customFormat="1" ht="11.25" x14ac:dyDescent="0.2">
      <c r="A406" s="920">
        <v>126228</v>
      </c>
      <c r="B406" s="922" t="s">
        <v>1710</v>
      </c>
      <c r="C406" s="921">
        <v>212090</v>
      </c>
      <c r="D406" s="921">
        <v>0</v>
      </c>
    </row>
    <row r="407" spans="1:4" s="823" customFormat="1" ht="11.25" x14ac:dyDescent="0.2">
      <c r="A407" s="920">
        <v>126731</v>
      </c>
      <c r="B407" s="922" t="s">
        <v>1711</v>
      </c>
      <c r="C407" s="921">
        <v>0</v>
      </c>
      <c r="D407" s="921">
        <v>0</v>
      </c>
    </row>
    <row r="408" spans="1:4" s="823" customFormat="1" ht="11.25" x14ac:dyDescent="0.2">
      <c r="A408" s="920">
        <v>126732</v>
      </c>
      <c r="B408" s="922" t="s">
        <v>1711</v>
      </c>
      <c r="C408" s="921">
        <v>0</v>
      </c>
      <c r="D408" s="921">
        <v>0</v>
      </c>
    </row>
    <row r="409" spans="1:4" s="823" customFormat="1" ht="11.25" x14ac:dyDescent="0.2">
      <c r="A409" s="920">
        <v>126733</v>
      </c>
      <c r="B409" s="922" t="s">
        <v>1528</v>
      </c>
      <c r="C409" s="921">
        <v>0</v>
      </c>
      <c r="D409" s="921">
        <v>53394.83</v>
      </c>
    </row>
    <row r="410" spans="1:4" s="823" customFormat="1" ht="11.25" x14ac:dyDescent="0.2">
      <c r="A410" s="920">
        <v>126747</v>
      </c>
      <c r="B410" s="922" t="s">
        <v>1712</v>
      </c>
      <c r="C410" s="921">
        <v>459830</v>
      </c>
      <c r="D410" s="921">
        <v>0</v>
      </c>
    </row>
    <row r="411" spans="1:4" s="823" customFormat="1" ht="11.25" x14ac:dyDescent="0.2">
      <c r="A411" s="920">
        <v>126748</v>
      </c>
      <c r="B411" s="922" t="s">
        <v>1713</v>
      </c>
      <c r="C411" s="921">
        <v>182800</v>
      </c>
      <c r="D411" s="921">
        <v>0</v>
      </c>
    </row>
    <row r="412" spans="1:4" s="823" customFormat="1" ht="11.25" x14ac:dyDescent="0.2">
      <c r="A412" s="920">
        <v>126749</v>
      </c>
      <c r="B412" s="922" t="s">
        <v>1714</v>
      </c>
      <c r="C412" s="921">
        <v>405000</v>
      </c>
      <c r="D412" s="921">
        <v>0</v>
      </c>
    </row>
    <row r="413" spans="1:4" s="823" customFormat="1" ht="22.5" x14ac:dyDescent="0.2">
      <c r="A413" s="920">
        <v>126750</v>
      </c>
      <c r="B413" s="922" t="s">
        <v>1715</v>
      </c>
      <c r="C413" s="921">
        <v>405000</v>
      </c>
      <c r="D413" s="921">
        <v>0</v>
      </c>
    </row>
    <row r="414" spans="1:4" s="823" customFormat="1" ht="11.25" x14ac:dyDescent="0.2">
      <c r="A414" s="920">
        <v>126751</v>
      </c>
      <c r="B414" s="922" t="s">
        <v>1716</v>
      </c>
      <c r="C414" s="921">
        <v>438399</v>
      </c>
      <c r="D414" s="921">
        <v>0</v>
      </c>
    </row>
    <row r="415" spans="1:4" s="823" customFormat="1" ht="11.25" x14ac:dyDescent="0.2">
      <c r="A415" s="920">
        <v>126752</v>
      </c>
      <c r="B415" s="922" t="s">
        <v>1717</v>
      </c>
      <c r="C415" s="921">
        <v>211974</v>
      </c>
      <c r="D415" s="921">
        <v>0</v>
      </c>
    </row>
    <row r="416" spans="1:4" s="823" customFormat="1" ht="11.25" x14ac:dyDescent="0.2">
      <c r="A416" s="920">
        <v>126753</v>
      </c>
      <c r="B416" s="922" t="s">
        <v>1541</v>
      </c>
      <c r="C416" s="921">
        <v>101000</v>
      </c>
      <c r="D416" s="921">
        <v>0</v>
      </c>
    </row>
    <row r="417" spans="1:4" s="823" customFormat="1" ht="11.25" x14ac:dyDescent="0.2">
      <c r="A417" s="920">
        <v>126754</v>
      </c>
      <c r="B417" s="922" t="s">
        <v>1718</v>
      </c>
      <c r="C417" s="921">
        <v>53352</v>
      </c>
      <c r="D417" s="921">
        <v>0</v>
      </c>
    </row>
    <row r="418" spans="1:4" s="823" customFormat="1" ht="22.5" x14ac:dyDescent="0.2">
      <c r="A418" s="920">
        <v>126755</v>
      </c>
      <c r="B418" s="922" t="s">
        <v>1719</v>
      </c>
      <c r="C418" s="921">
        <v>374866</v>
      </c>
      <c r="D418" s="921">
        <v>0</v>
      </c>
    </row>
    <row r="419" spans="1:4" s="823" customFormat="1" ht="11.25" x14ac:dyDescent="0.2">
      <c r="A419" s="920">
        <v>126756</v>
      </c>
      <c r="B419" s="922" t="s">
        <v>1720</v>
      </c>
      <c r="C419" s="921">
        <v>600000</v>
      </c>
      <c r="D419" s="921">
        <v>0</v>
      </c>
    </row>
    <row r="420" spans="1:4" s="823" customFormat="1" ht="22.5" x14ac:dyDescent="0.2">
      <c r="A420" s="920">
        <v>126757</v>
      </c>
      <c r="B420" s="922" t="s">
        <v>1721</v>
      </c>
      <c r="C420" s="921">
        <v>186000</v>
      </c>
      <c r="D420" s="921">
        <v>0</v>
      </c>
    </row>
    <row r="421" spans="1:4" s="823" customFormat="1" ht="11.25" x14ac:dyDescent="0.2">
      <c r="A421" s="920">
        <v>126758</v>
      </c>
      <c r="B421" s="922" t="s">
        <v>1722</v>
      </c>
      <c r="C421" s="921">
        <v>121314.12</v>
      </c>
      <c r="D421" s="921">
        <v>0</v>
      </c>
    </row>
    <row r="422" spans="1:4" s="823" customFormat="1" ht="11.25" x14ac:dyDescent="0.2">
      <c r="A422" s="920">
        <v>126759</v>
      </c>
      <c r="B422" s="922" t="s">
        <v>1723</v>
      </c>
      <c r="C422" s="921">
        <v>420117</v>
      </c>
      <c r="D422" s="921">
        <v>0</v>
      </c>
    </row>
    <row r="423" spans="1:4" s="823" customFormat="1" ht="11.25" x14ac:dyDescent="0.2">
      <c r="A423" s="920">
        <v>126760</v>
      </c>
      <c r="B423" s="922" t="s">
        <v>1724</v>
      </c>
      <c r="C423" s="921">
        <v>250906.41999999998</v>
      </c>
      <c r="D423" s="921">
        <v>0</v>
      </c>
    </row>
    <row r="424" spans="1:4" s="823" customFormat="1" ht="11.25" x14ac:dyDescent="0.2">
      <c r="A424" s="920">
        <v>126761</v>
      </c>
      <c r="B424" s="922" t="s">
        <v>1725</v>
      </c>
      <c r="C424" s="921">
        <v>158660.85</v>
      </c>
      <c r="D424" s="921">
        <v>0</v>
      </c>
    </row>
    <row r="425" spans="1:4" s="823" customFormat="1" ht="11.25" x14ac:dyDescent="0.2">
      <c r="A425" s="920">
        <v>126762</v>
      </c>
      <c r="B425" s="922" t="s">
        <v>1726</v>
      </c>
      <c r="C425" s="921">
        <v>467756.83999999997</v>
      </c>
      <c r="D425" s="921">
        <v>0</v>
      </c>
    </row>
    <row r="426" spans="1:4" s="823" customFormat="1" ht="11.25" x14ac:dyDescent="0.2">
      <c r="A426" s="920">
        <v>126763</v>
      </c>
      <c r="B426" s="922" t="s">
        <v>1727</v>
      </c>
      <c r="C426" s="921">
        <v>168881.92000000001</v>
      </c>
      <c r="D426" s="921">
        <v>0</v>
      </c>
    </row>
    <row r="427" spans="1:4" s="823" customFormat="1" ht="22.5" x14ac:dyDescent="0.2">
      <c r="A427" s="920">
        <v>126764</v>
      </c>
      <c r="B427" s="922" t="s">
        <v>1728</v>
      </c>
      <c r="C427" s="921">
        <v>289438.69</v>
      </c>
      <c r="D427" s="921">
        <v>0</v>
      </c>
    </row>
    <row r="428" spans="1:4" s="823" customFormat="1" ht="11.25" x14ac:dyDescent="0.2">
      <c r="A428" s="920">
        <v>126765</v>
      </c>
      <c r="B428" s="922" t="s">
        <v>1729</v>
      </c>
      <c r="C428" s="921">
        <v>221324.76</v>
      </c>
      <c r="D428" s="921">
        <v>0</v>
      </c>
    </row>
    <row r="429" spans="1:4" s="823" customFormat="1" ht="11.25" x14ac:dyDescent="0.2">
      <c r="A429" s="920">
        <v>126766</v>
      </c>
      <c r="B429" s="922" t="s">
        <v>1730</v>
      </c>
      <c r="C429" s="921">
        <v>423870</v>
      </c>
      <c r="D429" s="921">
        <v>0</v>
      </c>
    </row>
    <row r="430" spans="1:4" s="823" customFormat="1" ht="11.25" x14ac:dyDescent="0.2">
      <c r="A430" s="920">
        <v>126767</v>
      </c>
      <c r="B430" s="922" t="s">
        <v>1731</v>
      </c>
      <c r="C430" s="921">
        <v>400300.23</v>
      </c>
      <c r="D430" s="921">
        <v>0</v>
      </c>
    </row>
    <row r="431" spans="1:4" s="823" customFormat="1" ht="22.5" x14ac:dyDescent="0.2">
      <c r="A431" s="920">
        <v>126768</v>
      </c>
      <c r="B431" s="922" t="s">
        <v>1422</v>
      </c>
      <c r="C431" s="921">
        <v>370697.31999999995</v>
      </c>
      <c r="D431" s="921">
        <v>0</v>
      </c>
    </row>
    <row r="432" spans="1:4" s="823" customFormat="1" ht="11.25" x14ac:dyDescent="0.2">
      <c r="A432" s="920">
        <v>126769</v>
      </c>
      <c r="B432" s="922" t="s">
        <v>1732</v>
      </c>
      <c r="C432" s="921">
        <v>358897.31</v>
      </c>
      <c r="D432" s="921">
        <v>0</v>
      </c>
    </row>
    <row r="433" spans="1:4" s="823" customFormat="1" ht="11.25" x14ac:dyDescent="0.2">
      <c r="A433" s="920">
        <v>126770</v>
      </c>
      <c r="B433" s="922" t="s">
        <v>1733</v>
      </c>
      <c r="C433" s="921">
        <v>111182.14000000001</v>
      </c>
      <c r="D433" s="921">
        <v>0</v>
      </c>
    </row>
    <row r="434" spans="1:4" s="823" customFormat="1" ht="11.25" x14ac:dyDescent="0.2">
      <c r="A434" s="920">
        <v>126771</v>
      </c>
      <c r="B434" s="922" t="s">
        <v>1734</v>
      </c>
      <c r="C434" s="921">
        <v>223904.66999999998</v>
      </c>
      <c r="D434" s="921">
        <v>0</v>
      </c>
    </row>
    <row r="435" spans="1:4" s="823" customFormat="1" ht="22.5" x14ac:dyDescent="0.2">
      <c r="A435" s="920">
        <v>126772</v>
      </c>
      <c r="B435" s="922" t="s">
        <v>1735</v>
      </c>
      <c r="C435" s="921">
        <v>439750</v>
      </c>
      <c r="D435" s="921">
        <v>0</v>
      </c>
    </row>
    <row r="436" spans="1:4" s="823" customFormat="1" ht="11.25" x14ac:dyDescent="0.2">
      <c r="A436" s="920">
        <v>126773</v>
      </c>
      <c r="B436" s="922" t="s">
        <v>1736</v>
      </c>
      <c r="C436" s="921">
        <v>266247.08</v>
      </c>
      <c r="D436" s="921">
        <v>0</v>
      </c>
    </row>
    <row r="437" spans="1:4" s="823" customFormat="1" ht="11.25" x14ac:dyDescent="0.2">
      <c r="A437" s="920">
        <v>126774</v>
      </c>
      <c r="B437" s="922" t="s">
        <v>1737</v>
      </c>
      <c r="C437" s="921">
        <v>57970.75</v>
      </c>
      <c r="D437" s="921">
        <v>0</v>
      </c>
    </row>
    <row r="438" spans="1:4" s="823" customFormat="1" ht="22.5" x14ac:dyDescent="0.2">
      <c r="A438" s="920">
        <v>126775</v>
      </c>
      <c r="B438" s="922" t="s">
        <v>1738</v>
      </c>
      <c r="C438" s="921">
        <v>65857.08</v>
      </c>
      <c r="D438" s="921">
        <v>0</v>
      </c>
    </row>
    <row r="439" spans="1:4" s="823" customFormat="1" ht="22.5" x14ac:dyDescent="0.2">
      <c r="A439" s="920">
        <v>126814</v>
      </c>
      <c r="B439" s="922" t="s">
        <v>1739</v>
      </c>
      <c r="C439" s="921">
        <v>0</v>
      </c>
      <c r="D439" s="921">
        <v>2975302.78</v>
      </c>
    </row>
    <row r="440" spans="1:4" s="823" customFormat="1" ht="22.5" x14ac:dyDescent="0.2">
      <c r="A440" s="920">
        <v>126815</v>
      </c>
      <c r="B440" s="922" t="s">
        <v>1739</v>
      </c>
      <c r="C440" s="921">
        <v>0</v>
      </c>
      <c r="D440" s="921">
        <v>47579.81</v>
      </c>
    </row>
    <row r="441" spans="1:4" s="823" customFormat="1" ht="11.25" x14ac:dyDescent="0.2">
      <c r="A441" s="920">
        <v>126823</v>
      </c>
      <c r="B441" s="922" t="s">
        <v>1740</v>
      </c>
      <c r="C441" s="921">
        <v>106781.28</v>
      </c>
      <c r="D441" s="921">
        <v>0</v>
      </c>
    </row>
    <row r="442" spans="1:4" s="823" customFormat="1" ht="11.25" x14ac:dyDescent="0.2">
      <c r="A442" s="920">
        <v>126824</v>
      </c>
      <c r="B442" s="922" t="s">
        <v>1741</v>
      </c>
      <c r="C442" s="921">
        <v>486471.54</v>
      </c>
      <c r="D442" s="921">
        <v>0</v>
      </c>
    </row>
    <row r="443" spans="1:4" s="823" customFormat="1" ht="11.25" x14ac:dyDescent="0.2">
      <c r="A443" s="920">
        <v>126825</v>
      </c>
      <c r="B443" s="922" t="s">
        <v>1742</v>
      </c>
      <c r="C443" s="921">
        <v>110575.19</v>
      </c>
      <c r="D443" s="921">
        <v>0</v>
      </c>
    </row>
    <row r="444" spans="1:4" s="823" customFormat="1" ht="11.25" x14ac:dyDescent="0.2">
      <c r="A444" s="920">
        <v>126826</v>
      </c>
      <c r="B444" s="922" t="s">
        <v>1743</v>
      </c>
      <c r="C444" s="921">
        <v>592715.4</v>
      </c>
      <c r="D444" s="921">
        <v>0</v>
      </c>
    </row>
    <row r="445" spans="1:4" s="823" customFormat="1" ht="11.25" x14ac:dyDescent="0.2">
      <c r="A445" s="920">
        <v>126827</v>
      </c>
      <c r="B445" s="922" t="s">
        <v>1744</v>
      </c>
      <c r="C445" s="921">
        <v>264691.48</v>
      </c>
      <c r="D445" s="921">
        <v>0</v>
      </c>
    </row>
    <row r="446" spans="1:4" s="823" customFormat="1" ht="11.25" x14ac:dyDescent="0.2">
      <c r="A446" s="920">
        <v>126828</v>
      </c>
      <c r="B446" s="922" t="s">
        <v>1745</v>
      </c>
      <c r="C446" s="921">
        <v>238800</v>
      </c>
      <c r="D446" s="921">
        <v>0</v>
      </c>
    </row>
    <row r="447" spans="1:4" s="823" customFormat="1" ht="11.25" x14ac:dyDescent="0.2">
      <c r="A447" s="920">
        <v>127072</v>
      </c>
      <c r="B447" s="922" t="s">
        <v>1781</v>
      </c>
      <c r="C447" s="921">
        <v>704559.29</v>
      </c>
      <c r="D447" s="921">
        <v>0</v>
      </c>
    </row>
    <row r="448" spans="1:4" s="823" customFormat="1" ht="22.5" x14ac:dyDescent="0.2">
      <c r="A448" s="920">
        <v>127073</v>
      </c>
      <c r="B448" s="922" t="s">
        <v>1782</v>
      </c>
      <c r="C448" s="921">
        <v>194287.26</v>
      </c>
      <c r="D448" s="921">
        <v>0</v>
      </c>
    </row>
    <row r="449" spans="1:4" s="823" customFormat="1" ht="11.25" x14ac:dyDescent="0.2">
      <c r="A449" s="920">
        <v>127074</v>
      </c>
      <c r="B449" s="922" t="s">
        <v>1783</v>
      </c>
      <c r="C449" s="921">
        <v>246640.05</v>
      </c>
      <c r="D449" s="921">
        <v>0</v>
      </c>
    </row>
    <row r="450" spans="1:4" s="823" customFormat="1" ht="22.5" x14ac:dyDescent="0.2">
      <c r="A450" s="920">
        <v>127075</v>
      </c>
      <c r="B450" s="922" t="s">
        <v>1784</v>
      </c>
      <c r="C450" s="921">
        <v>308317.99</v>
      </c>
      <c r="D450" s="921">
        <v>0</v>
      </c>
    </row>
    <row r="451" spans="1:4" s="823" customFormat="1" ht="11.25" x14ac:dyDescent="0.2">
      <c r="A451" s="920">
        <v>127076</v>
      </c>
      <c r="B451" s="922" t="s">
        <v>1785</v>
      </c>
      <c r="C451" s="921">
        <v>496828.79</v>
      </c>
      <c r="D451" s="921">
        <v>0</v>
      </c>
    </row>
    <row r="452" spans="1:4" s="823" customFormat="1" ht="11.25" x14ac:dyDescent="0.2">
      <c r="A452" s="920">
        <v>127077</v>
      </c>
      <c r="B452" s="922" t="s">
        <v>1786</v>
      </c>
      <c r="C452" s="921">
        <v>121891.3</v>
      </c>
      <c r="D452" s="921">
        <v>0</v>
      </c>
    </row>
    <row r="453" spans="1:4" s="823" customFormat="1" ht="11.25" x14ac:dyDescent="0.2">
      <c r="A453" s="920">
        <v>127078</v>
      </c>
      <c r="B453" s="922" t="s">
        <v>1787</v>
      </c>
      <c r="C453" s="921">
        <v>106598.1</v>
      </c>
      <c r="D453" s="921">
        <v>0</v>
      </c>
    </row>
    <row r="454" spans="1:4" s="823" customFormat="1" ht="11.25" x14ac:dyDescent="0.2">
      <c r="A454" s="920">
        <v>127079</v>
      </c>
      <c r="B454" s="922" t="s">
        <v>1788</v>
      </c>
      <c r="C454" s="921">
        <v>89216.72</v>
      </c>
      <c r="D454" s="921">
        <v>0</v>
      </c>
    </row>
    <row r="455" spans="1:4" s="823" customFormat="1" ht="11.25" x14ac:dyDescent="0.2">
      <c r="A455" s="920">
        <v>127080</v>
      </c>
      <c r="B455" s="922" t="s">
        <v>1789</v>
      </c>
      <c r="C455" s="921">
        <v>619038.17999999993</v>
      </c>
      <c r="D455" s="921">
        <v>0</v>
      </c>
    </row>
    <row r="456" spans="1:4" s="823" customFormat="1" ht="11.25" x14ac:dyDescent="0.2">
      <c r="A456" s="920">
        <v>127081</v>
      </c>
      <c r="B456" s="922" t="s">
        <v>1790</v>
      </c>
      <c r="C456" s="921">
        <v>438558.13</v>
      </c>
      <c r="D456" s="921">
        <v>0</v>
      </c>
    </row>
    <row r="457" spans="1:4" s="823" customFormat="1" ht="11.25" x14ac:dyDescent="0.2">
      <c r="A457" s="920">
        <v>127082</v>
      </c>
      <c r="B457" s="922" t="s">
        <v>1788</v>
      </c>
      <c r="C457" s="921">
        <v>173390.06999999998</v>
      </c>
      <c r="D457" s="921">
        <v>0</v>
      </c>
    </row>
    <row r="458" spans="1:4" s="823" customFormat="1" ht="11.25" x14ac:dyDescent="0.2">
      <c r="A458" s="920">
        <v>127083</v>
      </c>
      <c r="B458" s="922" t="s">
        <v>1791</v>
      </c>
      <c r="C458" s="921">
        <v>362140.01</v>
      </c>
      <c r="D458" s="921">
        <v>0</v>
      </c>
    </row>
    <row r="459" spans="1:4" s="823" customFormat="1" ht="11.25" x14ac:dyDescent="0.2">
      <c r="A459" s="920">
        <v>127084</v>
      </c>
      <c r="B459" s="922" t="s">
        <v>1792</v>
      </c>
      <c r="C459" s="921">
        <v>495965.16000000003</v>
      </c>
      <c r="D459" s="921">
        <v>0</v>
      </c>
    </row>
    <row r="460" spans="1:4" s="823" customFormat="1" ht="11.25" x14ac:dyDescent="0.2">
      <c r="A460" s="920">
        <v>127085</v>
      </c>
      <c r="B460" s="922" t="s">
        <v>1793</v>
      </c>
      <c r="C460" s="921">
        <v>39464.18</v>
      </c>
      <c r="D460" s="921">
        <v>0</v>
      </c>
    </row>
    <row r="461" spans="1:4" s="823" customFormat="1" ht="11.25" x14ac:dyDescent="0.2">
      <c r="A461" s="920">
        <v>127086</v>
      </c>
      <c r="B461" s="922" t="s">
        <v>1794</v>
      </c>
      <c r="C461" s="921">
        <v>436770.94</v>
      </c>
      <c r="D461" s="921">
        <v>0</v>
      </c>
    </row>
    <row r="462" spans="1:4" s="823" customFormat="1" ht="11.25" x14ac:dyDescent="0.2">
      <c r="A462" s="920">
        <v>127087</v>
      </c>
      <c r="B462" s="922" t="s">
        <v>1795</v>
      </c>
      <c r="C462" s="921">
        <v>264049.71999999997</v>
      </c>
      <c r="D462" s="921">
        <v>0</v>
      </c>
    </row>
    <row r="463" spans="1:4" s="823" customFormat="1" ht="11.25" x14ac:dyDescent="0.2">
      <c r="A463" s="920">
        <v>127088</v>
      </c>
      <c r="B463" s="922" t="s">
        <v>1796</v>
      </c>
      <c r="C463" s="921">
        <v>691000</v>
      </c>
      <c r="D463" s="921">
        <v>0</v>
      </c>
    </row>
    <row r="464" spans="1:4" s="823" customFormat="1" ht="11.25" x14ac:dyDescent="0.2">
      <c r="A464" s="920">
        <v>127089</v>
      </c>
      <c r="B464" s="922" t="s">
        <v>1797</v>
      </c>
      <c r="C464" s="921">
        <v>701000</v>
      </c>
      <c r="D464" s="921">
        <v>0</v>
      </c>
    </row>
    <row r="465" spans="1:4" s="823" customFormat="1" ht="11.25" x14ac:dyDescent="0.2">
      <c r="A465" s="920">
        <v>127090</v>
      </c>
      <c r="B465" s="922" t="s">
        <v>1798</v>
      </c>
      <c r="C465" s="921">
        <v>491000</v>
      </c>
      <c r="D465" s="921">
        <v>0</v>
      </c>
    </row>
    <row r="466" spans="1:4" s="823" customFormat="1" ht="22.5" x14ac:dyDescent="0.2">
      <c r="A466" s="920">
        <v>127091</v>
      </c>
      <c r="B466" s="922" t="s">
        <v>1799</v>
      </c>
      <c r="C466" s="921">
        <v>298000</v>
      </c>
      <c r="D466" s="921">
        <v>0</v>
      </c>
    </row>
    <row r="467" spans="1:4" s="823" customFormat="1" ht="11.25" x14ac:dyDescent="0.2">
      <c r="A467" s="920">
        <v>127092</v>
      </c>
      <c r="B467" s="922" t="s">
        <v>1800</v>
      </c>
      <c r="C467" s="921">
        <v>701000</v>
      </c>
      <c r="D467" s="921">
        <v>0</v>
      </c>
    </row>
    <row r="468" spans="1:4" s="823" customFormat="1" ht="11.25" x14ac:dyDescent="0.2">
      <c r="A468" s="920">
        <v>127093</v>
      </c>
      <c r="B468" s="922" t="s">
        <v>1801</v>
      </c>
      <c r="C468" s="921">
        <v>601000</v>
      </c>
      <c r="D468" s="921">
        <v>0</v>
      </c>
    </row>
    <row r="469" spans="1:4" s="823" customFormat="1" ht="11.25" x14ac:dyDescent="0.2">
      <c r="A469" s="920">
        <v>127094</v>
      </c>
      <c r="B469" s="922" t="s">
        <v>1802</v>
      </c>
      <c r="C469" s="921">
        <v>641000</v>
      </c>
      <c r="D469" s="921">
        <v>0</v>
      </c>
    </row>
    <row r="470" spans="1:4" s="823" customFormat="1" ht="11.25" x14ac:dyDescent="0.2">
      <c r="A470" s="920">
        <v>127095</v>
      </c>
      <c r="B470" s="922" t="s">
        <v>1803</v>
      </c>
      <c r="C470" s="921">
        <v>291000</v>
      </c>
      <c r="D470" s="921">
        <v>0</v>
      </c>
    </row>
    <row r="471" spans="1:4" s="823" customFormat="1" ht="11.25" x14ac:dyDescent="0.2">
      <c r="A471" s="920">
        <v>127096</v>
      </c>
      <c r="B471" s="922" t="s">
        <v>1804</v>
      </c>
      <c r="C471" s="921">
        <v>121000</v>
      </c>
      <c r="D471" s="921">
        <v>0</v>
      </c>
    </row>
    <row r="472" spans="1:4" s="823" customFormat="1" ht="11.25" x14ac:dyDescent="0.2">
      <c r="A472" s="920">
        <v>127097</v>
      </c>
      <c r="B472" s="922" t="s">
        <v>1805</v>
      </c>
      <c r="C472" s="921">
        <v>801000</v>
      </c>
      <c r="D472" s="921">
        <v>0</v>
      </c>
    </row>
    <row r="473" spans="1:4" s="823" customFormat="1" ht="11.25" x14ac:dyDescent="0.2">
      <c r="A473" s="920">
        <v>127098</v>
      </c>
      <c r="B473" s="922" t="s">
        <v>1806</v>
      </c>
      <c r="C473" s="921">
        <v>681000</v>
      </c>
      <c r="D473" s="921">
        <v>0</v>
      </c>
    </row>
    <row r="474" spans="1:4" s="823" customFormat="1" ht="11.25" x14ac:dyDescent="0.2">
      <c r="A474" s="920">
        <v>127099</v>
      </c>
      <c r="B474" s="922" t="s">
        <v>1807</v>
      </c>
      <c r="C474" s="921">
        <v>641000</v>
      </c>
      <c r="D474" s="921">
        <v>0</v>
      </c>
    </row>
    <row r="475" spans="1:4" s="823" customFormat="1" ht="11.25" x14ac:dyDescent="0.2">
      <c r="A475" s="920">
        <v>127100</v>
      </c>
      <c r="B475" s="922" t="s">
        <v>1808</v>
      </c>
      <c r="C475" s="921">
        <v>441461.81</v>
      </c>
      <c r="D475" s="921">
        <v>0</v>
      </c>
    </row>
    <row r="476" spans="1:4" s="823" customFormat="1" ht="11.25" x14ac:dyDescent="0.2">
      <c r="A476" s="920">
        <v>127101</v>
      </c>
      <c r="B476" s="922" t="s">
        <v>1809</v>
      </c>
      <c r="C476" s="921">
        <v>421000</v>
      </c>
      <c r="D476" s="921">
        <v>0</v>
      </c>
    </row>
    <row r="477" spans="1:4" s="823" customFormat="1" ht="11.25" x14ac:dyDescent="0.2">
      <c r="A477" s="920">
        <v>127102</v>
      </c>
      <c r="B477" s="922" t="s">
        <v>1810</v>
      </c>
      <c r="C477" s="921">
        <v>601000</v>
      </c>
      <c r="D477" s="921">
        <v>0</v>
      </c>
    </row>
    <row r="478" spans="1:4" s="823" customFormat="1" ht="11.25" x14ac:dyDescent="0.2">
      <c r="A478" s="920">
        <v>127103</v>
      </c>
      <c r="B478" s="922" t="s">
        <v>1550</v>
      </c>
      <c r="C478" s="921">
        <v>551000</v>
      </c>
      <c r="D478" s="921">
        <v>0</v>
      </c>
    </row>
    <row r="479" spans="1:4" s="823" customFormat="1" ht="11.25" x14ac:dyDescent="0.2">
      <c r="A479" s="920">
        <v>127104</v>
      </c>
      <c r="B479" s="922" t="s">
        <v>1550</v>
      </c>
      <c r="C479" s="921">
        <v>501000</v>
      </c>
      <c r="D479" s="921">
        <v>0</v>
      </c>
    </row>
    <row r="480" spans="1:4" s="823" customFormat="1" ht="11.25" x14ac:dyDescent="0.2">
      <c r="A480" s="920">
        <v>127105</v>
      </c>
      <c r="B480" s="922" t="s">
        <v>1550</v>
      </c>
      <c r="C480" s="921">
        <v>601000</v>
      </c>
      <c r="D480" s="921">
        <v>0</v>
      </c>
    </row>
    <row r="481" spans="1:4" s="823" customFormat="1" ht="11.25" x14ac:dyDescent="0.2">
      <c r="A481" s="920">
        <v>127106</v>
      </c>
      <c r="B481" s="922" t="s">
        <v>1550</v>
      </c>
      <c r="C481" s="921">
        <v>501000</v>
      </c>
      <c r="D481" s="921">
        <v>0</v>
      </c>
    </row>
    <row r="482" spans="1:4" s="823" customFormat="1" ht="11.25" x14ac:dyDescent="0.2">
      <c r="A482" s="920">
        <v>127107</v>
      </c>
      <c r="B482" s="922" t="s">
        <v>1811</v>
      </c>
      <c r="C482" s="921">
        <v>701000</v>
      </c>
      <c r="D482" s="921">
        <v>0</v>
      </c>
    </row>
    <row r="483" spans="1:4" s="823" customFormat="1" ht="11.25" x14ac:dyDescent="0.2">
      <c r="A483" s="920">
        <v>127108</v>
      </c>
      <c r="B483" s="922" t="s">
        <v>1812</v>
      </c>
      <c r="C483" s="921">
        <v>501000</v>
      </c>
      <c r="D483" s="921">
        <v>0</v>
      </c>
    </row>
    <row r="484" spans="1:4" s="823" customFormat="1" ht="11.25" x14ac:dyDescent="0.2">
      <c r="A484" s="920">
        <v>127109</v>
      </c>
      <c r="B484" s="922" t="s">
        <v>1813</v>
      </c>
      <c r="C484" s="921">
        <v>501000</v>
      </c>
      <c r="D484" s="921">
        <v>0</v>
      </c>
    </row>
    <row r="485" spans="1:4" s="823" customFormat="1" ht="11.25" x14ac:dyDescent="0.2">
      <c r="A485" s="920">
        <v>127110</v>
      </c>
      <c r="B485" s="922" t="s">
        <v>1814</v>
      </c>
      <c r="C485" s="921">
        <v>308850</v>
      </c>
      <c r="D485" s="921">
        <v>0</v>
      </c>
    </row>
    <row r="486" spans="1:4" s="823" customFormat="1" ht="11.25" x14ac:dyDescent="0.2">
      <c r="A486" s="920">
        <v>127111</v>
      </c>
      <c r="B486" s="922" t="s">
        <v>1815</v>
      </c>
      <c r="C486" s="921">
        <v>292150</v>
      </c>
      <c r="D486" s="921">
        <v>0</v>
      </c>
    </row>
    <row r="487" spans="1:4" s="823" customFormat="1" ht="11.25" x14ac:dyDescent="0.2">
      <c r="A487" s="920">
        <v>127112</v>
      </c>
      <c r="B487" s="922" t="s">
        <v>1550</v>
      </c>
      <c r="C487" s="921">
        <v>501000</v>
      </c>
      <c r="D487" s="921">
        <v>0</v>
      </c>
    </row>
    <row r="488" spans="1:4" s="823" customFormat="1" ht="11.25" x14ac:dyDescent="0.2">
      <c r="A488" s="920">
        <v>127113</v>
      </c>
      <c r="B488" s="922" t="s">
        <v>1812</v>
      </c>
      <c r="C488" s="921">
        <v>551000</v>
      </c>
      <c r="D488" s="921">
        <v>0</v>
      </c>
    </row>
    <row r="489" spans="1:4" s="823" customFormat="1" ht="11.25" x14ac:dyDescent="0.2">
      <c r="A489" s="920">
        <v>127114</v>
      </c>
      <c r="B489" s="922" t="s">
        <v>1816</v>
      </c>
      <c r="C489" s="921">
        <v>501000</v>
      </c>
      <c r="D489" s="921">
        <v>0</v>
      </c>
    </row>
    <row r="490" spans="1:4" s="823" customFormat="1" ht="11.25" x14ac:dyDescent="0.2">
      <c r="A490" s="920">
        <v>127115</v>
      </c>
      <c r="B490" s="922" t="s">
        <v>1817</v>
      </c>
      <c r="C490" s="921">
        <v>501000</v>
      </c>
      <c r="D490" s="921">
        <v>0</v>
      </c>
    </row>
    <row r="491" spans="1:4" s="823" customFormat="1" ht="11.25" x14ac:dyDescent="0.2">
      <c r="A491" s="920">
        <v>127116</v>
      </c>
      <c r="B491" s="922" t="s">
        <v>1818</v>
      </c>
      <c r="C491" s="921">
        <v>251000</v>
      </c>
      <c r="D491" s="921">
        <v>0</v>
      </c>
    </row>
    <row r="492" spans="1:4" s="823" customFormat="1" ht="22.5" x14ac:dyDescent="0.2">
      <c r="A492" s="920">
        <v>127117</v>
      </c>
      <c r="B492" s="922" t="s">
        <v>1819</v>
      </c>
      <c r="C492" s="921">
        <v>450000</v>
      </c>
      <c r="D492" s="921">
        <v>0</v>
      </c>
    </row>
    <row r="493" spans="1:4" s="823" customFormat="1" ht="22.5" x14ac:dyDescent="0.2">
      <c r="A493" s="920">
        <v>127118</v>
      </c>
      <c r="B493" s="922" t="s">
        <v>1820</v>
      </c>
      <c r="C493" s="921">
        <v>351000</v>
      </c>
      <c r="D493" s="921">
        <v>0</v>
      </c>
    </row>
    <row r="494" spans="1:4" s="823" customFormat="1" ht="11.25" x14ac:dyDescent="0.2">
      <c r="A494" s="920">
        <v>127119</v>
      </c>
      <c r="B494" s="922" t="s">
        <v>1821</v>
      </c>
      <c r="C494" s="921">
        <v>501000</v>
      </c>
      <c r="D494" s="921">
        <v>0</v>
      </c>
    </row>
    <row r="495" spans="1:4" s="823" customFormat="1" ht="11.25" x14ac:dyDescent="0.2">
      <c r="A495" s="920">
        <v>127120</v>
      </c>
      <c r="B495" s="922" t="s">
        <v>1812</v>
      </c>
      <c r="C495" s="921">
        <v>501000</v>
      </c>
      <c r="D495" s="921">
        <v>0</v>
      </c>
    </row>
    <row r="496" spans="1:4" s="823" customFormat="1" ht="11.25" x14ac:dyDescent="0.2">
      <c r="A496" s="920">
        <v>127121</v>
      </c>
      <c r="B496" s="922" t="s">
        <v>1822</v>
      </c>
      <c r="C496" s="921">
        <v>551000</v>
      </c>
      <c r="D496" s="921">
        <v>0</v>
      </c>
    </row>
    <row r="497" spans="1:4" s="823" customFormat="1" ht="22.5" x14ac:dyDescent="0.2">
      <c r="A497" s="920">
        <v>127122</v>
      </c>
      <c r="B497" s="922" t="s">
        <v>1823</v>
      </c>
      <c r="C497" s="921">
        <v>601000</v>
      </c>
      <c r="D497" s="921">
        <v>0</v>
      </c>
    </row>
    <row r="498" spans="1:4" s="823" customFormat="1" ht="11.25" x14ac:dyDescent="0.2">
      <c r="A498" s="920">
        <v>127123</v>
      </c>
      <c r="B498" s="922" t="s">
        <v>1812</v>
      </c>
      <c r="C498" s="921">
        <v>501000</v>
      </c>
      <c r="D498" s="921">
        <v>0</v>
      </c>
    </row>
    <row r="499" spans="1:4" s="823" customFormat="1" ht="11.25" x14ac:dyDescent="0.2">
      <c r="A499" s="920">
        <v>127124</v>
      </c>
      <c r="B499" s="922" t="s">
        <v>1824</v>
      </c>
      <c r="C499" s="921">
        <v>501000</v>
      </c>
      <c r="D499" s="921">
        <v>0</v>
      </c>
    </row>
    <row r="500" spans="1:4" s="823" customFormat="1" ht="11.25" x14ac:dyDescent="0.2">
      <c r="A500" s="920">
        <v>127125</v>
      </c>
      <c r="B500" s="922" t="s">
        <v>1812</v>
      </c>
      <c r="C500" s="921">
        <v>601000</v>
      </c>
      <c r="D500" s="921">
        <v>0</v>
      </c>
    </row>
    <row r="501" spans="1:4" s="823" customFormat="1" ht="11.25" x14ac:dyDescent="0.2">
      <c r="A501" s="920">
        <v>127126</v>
      </c>
      <c r="B501" s="922" t="s">
        <v>1812</v>
      </c>
      <c r="C501" s="921">
        <v>601000</v>
      </c>
      <c r="D501" s="921">
        <v>0</v>
      </c>
    </row>
    <row r="502" spans="1:4" s="823" customFormat="1" ht="22.5" x14ac:dyDescent="0.2">
      <c r="A502" s="920">
        <v>127127</v>
      </c>
      <c r="B502" s="922" t="s">
        <v>1825</v>
      </c>
      <c r="C502" s="921">
        <v>635000</v>
      </c>
      <c r="D502" s="921">
        <v>0</v>
      </c>
    </row>
    <row r="503" spans="1:4" s="823" customFormat="1" ht="11.25" x14ac:dyDescent="0.2">
      <c r="A503" s="920">
        <v>127128</v>
      </c>
      <c r="B503" s="922" t="s">
        <v>1824</v>
      </c>
      <c r="C503" s="921">
        <v>551000</v>
      </c>
      <c r="D503" s="921">
        <v>0</v>
      </c>
    </row>
    <row r="504" spans="1:4" s="823" customFormat="1" ht="11.25" x14ac:dyDescent="0.2">
      <c r="A504" s="920">
        <v>127129</v>
      </c>
      <c r="B504" s="922" t="s">
        <v>1812</v>
      </c>
      <c r="C504" s="921">
        <v>501000</v>
      </c>
      <c r="D504" s="921">
        <v>0</v>
      </c>
    </row>
    <row r="505" spans="1:4" s="823" customFormat="1" ht="11.25" x14ac:dyDescent="0.2">
      <c r="A505" s="920">
        <v>127130</v>
      </c>
      <c r="B505" s="922" t="s">
        <v>1812</v>
      </c>
      <c r="C505" s="921">
        <v>501000</v>
      </c>
      <c r="D505" s="921">
        <v>0</v>
      </c>
    </row>
    <row r="506" spans="1:4" s="823" customFormat="1" ht="11.25" x14ac:dyDescent="0.2">
      <c r="A506" s="920">
        <v>127131</v>
      </c>
      <c r="B506" s="922" t="s">
        <v>1826</v>
      </c>
      <c r="C506" s="921">
        <v>501000</v>
      </c>
      <c r="D506" s="921">
        <v>0</v>
      </c>
    </row>
    <row r="507" spans="1:4" s="823" customFormat="1" ht="11.25" x14ac:dyDescent="0.2">
      <c r="A507" s="920">
        <v>127132</v>
      </c>
      <c r="B507" s="922" t="s">
        <v>1827</v>
      </c>
      <c r="C507" s="921">
        <v>501000</v>
      </c>
      <c r="D507" s="921">
        <v>0</v>
      </c>
    </row>
    <row r="508" spans="1:4" s="823" customFormat="1" ht="11.25" x14ac:dyDescent="0.2">
      <c r="A508" s="920">
        <v>127133</v>
      </c>
      <c r="B508" s="922" t="s">
        <v>1983</v>
      </c>
      <c r="C508" s="921">
        <v>0</v>
      </c>
      <c r="D508" s="921">
        <v>477967.05</v>
      </c>
    </row>
    <row r="509" spans="1:4" s="823" customFormat="1" ht="11.25" x14ac:dyDescent="0.2">
      <c r="A509" s="920">
        <v>127134</v>
      </c>
      <c r="B509" s="922" t="s">
        <v>1983</v>
      </c>
      <c r="C509" s="921">
        <v>0</v>
      </c>
      <c r="D509" s="921">
        <v>503808.81</v>
      </c>
    </row>
    <row r="510" spans="1:4" s="823" customFormat="1" ht="22.5" x14ac:dyDescent="0.2">
      <c r="A510" s="920">
        <v>127135</v>
      </c>
      <c r="B510" s="922" t="s">
        <v>1828</v>
      </c>
      <c r="C510" s="921">
        <v>700000</v>
      </c>
      <c r="D510" s="921">
        <v>0</v>
      </c>
    </row>
    <row r="511" spans="1:4" s="823" customFormat="1" ht="22.5" x14ac:dyDescent="0.2">
      <c r="A511" s="920">
        <v>127143</v>
      </c>
      <c r="B511" s="922" t="s">
        <v>1829</v>
      </c>
      <c r="C511" s="921">
        <v>537627.81000000006</v>
      </c>
      <c r="D511" s="921">
        <v>0</v>
      </c>
    </row>
    <row r="512" spans="1:4" s="823" customFormat="1" ht="11.25" x14ac:dyDescent="0.2">
      <c r="A512" s="920">
        <v>127149</v>
      </c>
      <c r="B512" s="922" t="s">
        <v>1994</v>
      </c>
      <c r="C512" s="921">
        <v>275000</v>
      </c>
      <c r="D512" s="921">
        <v>0</v>
      </c>
    </row>
    <row r="513" spans="1:4" s="823" customFormat="1" ht="11.25" x14ac:dyDescent="0.2">
      <c r="A513" s="920">
        <v>127150</v>
      </c>
      <c r="B513" s="922" t="s">
        <v>1995</v>
      </c>
      <c r="C513" s="921">
        <v>810000</v>
      </c>
      <c r="D513" s="921">
        <v>0</v>
      </c>
    </row>
    <row r="514" spans="1:4" s="823" customFormat="1" ht="11.25" x14ac:dyDescent="0.2">
      <c r="A514" s="920">
        <v>127151</v>
      </c>
      <c r="B514" s="922" t="s">
        <v>1996</v>
      </c>
      <c r="C514" s="921">
        <v>321100</v>
      </c>
      <c r="D514" s="921">
        <v>0</v>
      </c>
    </row>
    <row r="515" spans="1:4" s="823" customFormat="1" ht="11.25" x14ac:dyDescent="0.2">
      <c r="A515" s="920">
        <v>127152</v>
      </c>
      <c r="B515" s="922" t="s">
        <v>1997</v>
      </c>
      <c r="C515" s="921">
        <v>488900</v>
      </c>
      <c r="D515" s="921">
        <v>0</v>
      </c>
    </row>
    <row r="516" spans="1:4" s="823" customFormat="1" ht="11.25" x14ac:dyDescent="0.2">
      <c r="A516" s="920">
        <v>127153</v>
      </c>
      <c r="B516" s="922" t="s">
        <v>1998</v>
      </c>
      <c r="C516" s="921">
        <v>810000</v>
      </c>
      <c r="D516" s="921">
        <v>0</v>
      </c>
    </row>
    <row r="517" spans="1:4" s="823" customFormat="1" ht="11.25" x14ac:dyDescent="0.2">
      <c r="A517" s="920">
        <v>127154</v>
      </c>
      <c r="B517" s="922" t="s">
        <v>1999</v>
      </c>
      <c r="C517" s="921">
        <v>366000</v>
      </c>
      <c r="D517" s="921">
        <v>0</v>
      </c>
    </row>
    <row r="518" spans="1:4" s="823" customFormat="1" ht="11.25" x14ac:dyDescent="0.2">
      <c r="A518" s="920">
        <v>127155</v>
      </c>
      <c r="B518" s="922" t="s">
        <v>2000</v>
      </c>
      <c r="C518" s="921">
        <v>450000</v>
      </c>
      <c r="D518" s="921">
        <v>0</v>
      </c>
    </row>
    <row r="519" spans="1:4" s="823" customFormat="1" ht="11.25" x14ac:dyDescent="0.2">
      <c r="A519" s="920">
        <v>127156</v>
      </c>
      <c r="B519" s="922" t="s">
        <v>1660</v>
      </c>
      <c r="C519" s="921">
        <v>810000</v>
      </c>
      <c r="D519" s="921">
        <v>0</v>
      </c>
    </row>
    <row r="520" spans="1:4" s="823" customFormat="1" ht="11.25" x14ac:dyDescent="0.2">
      <c r="A520" s="920">
        <v>127157</v>
      </c>
      <c r="B520" s="922" t="s">
        <v>2001</v>
      </c>
      <c r="C520" s="921">
        <v>791000</v>
      </c>
      <c r="D520" s="921">
        <v>0</v>
      </c>
    </row>
    <row r="521" spans="1:4" s="823" customFormat="1" ht="22.5" x14ac:dyDescent="0.2">
      <c r="A521" s="920">
        <v>127158</v>
      </c>
      <c r="B521" s="922" t="s">
        <v>2002</v>
      </c>
      <c r="C521" s="921">
        <v>807000</v>
      </c>
      <c r="D521" s="921">
        <v>0</v>
      </c>
    </row>
    <row r="522" spans="1:4" s="823" customFormat="1" ht="22.5" x14ac:dyDescent="0.2">
      <c r="A522" s="920">
        <v>127159</v>
      </c>
      <c r="B522" s="922" t="s">
        <v>2003</v>
      </c>
      <c r="C522" s="921">
        <v>217500</v>
      </c>
      <c r="D522" s="921">
        <v>0</v>
      </c>
    </row>
    <row r="523" spans="1:4" s="823" customFormat="1" ht="33.75" x14ac:dyDescent="0.2">
      <c r="A523" s="920">
        <v>127160</v>
      </c>
      <c r="B523" s="922" t="s">
        <v>1981</v>
      </c>
      <c r="C523" s="921">
        <v>0</v>
      </c>
      <c r="D523" s="921">
        <v>561786.86</v>
      </c>
    </row>
    <row r="524" spans="1:4" s="823" customFormat="1" ht="33.75" x14ac:dyDescent="0.2">
      <c r="A524" s="920">
        <v>127161</v>
      </c>
      <c r="B524" s="922" t="s">
        <v>1981</v>
      </c>
      <c r="C524" s="921">
        <v>0</v>
      </c>
      <c r="D524" s="921">
        <v>772204.98</v>
      </c>
    </row>
    <row r="525" spans="1:4" s="823" customFormat="1" ht="33.75" x14ac:dyDescent="0.2">
      <c r="A525" s="920">
        <v>127162</v>
      </c>
      <c r="B525" s="922" t="s">
        <v>1981</v>
      </c>
      <c r="C525" s="921">
        <v>0</v>
      </c>
      <c r="D525" s="921">
        <v>634552.61</v>
      </c>
    </row>
    <row r="526" spans="1:4" s="823" customFormat="1" ht="22.5" x14ac:dyDescent="0.2">
      <c r="A526" s="920">
        <v>127163</v>
      </c>
      <c r="B526" s="922" t="s">
        <v>1980</v>
      </c>
      <c r="C526" s="921">
        <v>0</v>
      </c>
      <c r="D526" s="921">
        <v>2731987.36</v>
      </c>
    </row>
    <row r="527" spans="1:4" s="823" customFormat="1" ht="22.5" x14ac:dyDescent="0.2">
      <c r="A527" s="920">
        <v>127164</v>
      </c>
      <c r="B527" s="922" t="s">
        <v>1980</v>
      </c>
      <c r="C527" s="921">
        <v>0</v>
      </c>
      <c r="D527" s="921">
        <v>2961064.11</v>
      </c>
    </row>
    <row r="528" spans="1:4" s="823" customFormat="1" ht="11.25" x14ac:dyDescent="0.2">
      <c r="A528" s="920">
        <v>127165</v>
      </c>
      <c r="B528" s="922" t="s">
        <v>2004</v>
      </c>
      <c r="C528" s="921">
        <v>470500</v>
      </c>
      <c r="D528" s="921">
        <v>0</v>
      </c>
    </row>
    <row r="529" spans="1:4" s="823" customFormat="1" ht="11.25" x14ac:dyDescent="0.2">
      <c r="A529" s="920">
        <v>127166</v>
      </c>
      <c r="B529" s="922" t="s">
        <v>2005</v>
      </c>
      <c r="C529" s="921">
        <v>387000</v>
      </c>
      <c r="D529" s="921">
        <v>0</v>
      </c>
    </row>
    <row r="530" spans="1:4" s="823" customFormat="1" ht="11.25" x14ac:dyDescent="0.2">
      <c r="A530" s="920">
        <v>127167</v>
      </c>
      <c r="B530" s="922" t="s">
        <v>2006</v>
      </c>
      <c r="C530" s="921">
        <v>526000</v>
      </c>
      <c r="D530" s="921">
        <v>0</v>
      </c>
    </row>
    <row r="531" spans="1:4" s="823" customFormat="1" ht="11.25" x14ac:dyDescent="0.2">
      <c r="A531" s="920">
        <v>127168</v>
      </c>
      <c r="B531" s="922" t="s">
        <v>2007</v>
      </c>
      <c r="C531" s="921">
        <v>787000</v>
      </c>
      <c r="D531" s="921">
        <v>0</v>
      </c>
    </row>
    <row r="532" spans="1:4" s="823" customFormat="1" ht="11.25" x14ac:dyDescent="0.2">
      <c r="A532" s="920">
        <v>127169</v>
      </c>
      <c r="B532" s="922" t="s">
        <v>2008</v>
      </c>
      <c r="C532" s="921">
        <v>810000</v>
      </c>
      <c r="D532" s="921">
        <v>0</v>
      </c>
    </row>
    <row r="533" spans="1:4" s="823" customFormat="1" ht="11.25" x14ac:dyDescent="0.2">
      <c r="A533" s="920">
        <v>127170</v>
      </c>
      <c r="B533" s="922" t="s">
        <v>2009</v>
      </c>
      <c r="C533" s="921">
        <v>727000</v>
      </c>
      <c r="D533" s="921">
        <v>0</v>
      </c>
    </row>
    <row r="534" spans="1:4" s="823" customFormat="1" ht="11.25" x14ac:dyDescent="0.2">
      <c r="A534" s="920">
        <v>127171</v>
      </c>
      <c r="B534" s="922" t="s">
        <v>2010</v>
      </c>
      <c r="C534" s="921">
        <v>791000</v>
      </c>
      <c r="D534" s="921">
        <v>0</v>
      </c>
    </row>
    <row r="535" spans="1:4" s="823" customFormat="1" ht="11.25" x14ac:dyDescent="0.2">
      <c r="A535" s="920">
        <v>127172</v>
      </c>
      <c r="B535" s="922" t="s">
        <v>2011</v>
      </c>
      <c r="C535" s="921">
        <v>88500</v>
      </c>
      <c r="D535" s="921">
        <v>0</v>
      </c>
    </row>
    <row r="536" spans="1:4" s="823" customFormat="1" ht="11.25" x14ac:dyDescent="0.2">
      <c r="A536" s="920">
        <v>127173</v>
      </c>
      <c r="B536" s="922" t="s">
        <v>2012</v>
      </c>
      <c r="C536" s="921">
        <v>217500</v>
      </c>
      <c r="D536" s="921">
        <v>0</v>
      </c>
    </row>
    <row r="537" spans="1:4" s="823" customFormat="1" ht="11.25" x14ac:dyDescent="0.2">
      <c r="A537" s="920">
        <v>127174</v>
      </c>
      <c r="B537" s="922" t="s">
        <v>2013</v>
      </c>
      <c r="C537" s="921">
        <v>310000</v>
      </c>
      <c r="D537" s="921">
        <v>0</v>
      </c>
    </row>
    <row r="538" spans="1:4" s="823" customFormat="1" ht="11.25" x14ac:dyDescent="0.2">
      <c r="A538" s="920">
        <v>127175</v>
      </c>
      <c r="B538" s="922" t="s">
        <v>2014</v>
      </c>
      <c r="C538" s="921">
        <v>369000</v>
      </c>
      <c r="D538" s="921">
        <v>0</v>
      </c>
    </row>
    <row r="539" spans="1:4" s="823" customFormat="1" ht="11.25" x14ac:dyDescent="0.2">
      <c r="A539" s="920">
        <v>127176</v>
      </c>
      <c r="B539" s="922" t="s">
        <v>2015</v>
      </c>
      <c r="C539" s="921">
        <v>601000</v>
      </c>
      <c r="D539" s="921">
        <v>0</v>
      </c>
    </row>
    <row r="540" spans="1:4" s="823" customFormat="1" ht="11.25" x14ac:dyDescent="0.2">
      <c r="A540" s="920">
        <v>127177</v>
      </c>
      <c r="B540" s="922" t="s">
        <v>2016</v>
      </c>
      <c r="C540" s="921">
        <v>650000</v>
      </c>
      <c r="D540" s="921">
        <v>0</v>
      </c>
    </row>
    <row r="541" spans="1:4" s="823" customFormat="1" ht="11.25" x14ac:dyDescent="0.2">
      <c r="A541" s="920">
        <v>127178</v>
      </c>
      <c r="B541" s="922" t="s">
        <v>2017</v>
      </c>
      <c r="C541" s="921">
        <v>636000</v>
      </c>
      <c r="D541" s="921">
        <v>0</v>
      </c>
    </row>
    <row r="542" spans="1:4" s="823" customFormat="1" ht="11.25" x14ac:dyDescent="0.2">
      <c r="A542" s="920">
        <v>127179</v>
      </c>
      <c r="B542" s="922" t="s">
        <v>2018</v>
      </c>
      <c r="C542" s="921">
        <v>126250</v>
      </c>
      <c r="D542" s="921">
        <v>0</v>
      </c>
    </row>
    <row r="543" spans="1:4" s="823" customFormat="1" ht="22.5" x14ac:dyDescent="0.2">
      <c r="A543" s="920">
        <v>127180</v>
      </c>
      <c r="B543" s="922" t="s">
        <v>2019</v>
      </c>
      <c r="C543" s="921">
        <v>142250</v>
      </c>
      <c r="D543" s="921">
        <v>0</v>
      </c>
    </row>
    <row r="544" spans="1:4" s="823" customFormat="1" ht="11.25" x14ac:dyDescent="0.2">
      <c r="A544" s="920">
        <v>127181</v>
      </c>
      <c r="B544" s="922" t="s">
        <v>2020</v>
      </c>
      <c r="C544" s="921">
        <v>160500</v>
      </c>
      <c r="D544" s="921">
        <v>0</v>
      </c>
    </row>
    <row r="545" spans="1:4" s="823" customFormat="1" ht="11.25" x14ac:dyDescent="0.2">
      <c r="A545" s="920">
        <v>127182</v>
      </c>
      <c r="B545" s="922" t="s">
        <v>2021</v>
      </c>
      <c r="C545" s="921">
        <v>750000</v>
      </c>
      <c r="D545" s="921">
        <v>0</v>
      </c>
    </row>
    <row r="546" spans="1:4" s="823" customFormat="1" ht="11.25" x14ac:dyDescent="0.2">
      <c r="A546" s="920">
        <v>127183</v>
      </c>
      <c r="B546" s="922" t="s">
        <v>2022</v>
      </c>
      <c r="C546" s="921">
        <v>714000</v>
      </c>
      <c r="D546" s="921">
        <v>0</v>
      </c>
    </row>
    <row r="547" spans="1:4" s="823" customFormat="1" ht="22.5" x14ac:dyDescent="0.2">
      <c r="A547" s="920">
        <v>127184</v>
      </c>
      <c r="B547" s="922" t="s">
        <v>2023</v>
      </c>
      <c r="C547" s="921">
        <v>800000</v>
      </c>
      <c r="D547" s="921">
        <v>0</v>
      </c>
    </row>
    <row r="548" spans="1:4" s="823" customFormat="1" ht="22.5" x14ac:dyDescent="0.2">
      <c r="A548" s="920">
        <v>127185</v>
      </c>
      <c r="B548" s="922" t="s">
        <v>2024</v>
      </c>
      <c r="C548" s="921">
        <v>160500</v>
      </c>
      <c r="D548" s="921">
        <v>0</v>
      </c>
    </row>
    <row r="549" spans="1:4" s="823" customFormat="1" ht="11.25" x14ac:dyDescent="0.2">
      <c r="A549" s="920">
        <v>127186</v>
      </c>
      <c r="B549" s="922" t="s">
        <v>2186</v>
      </c>
      <c r="C549" s="921">
        <v>319500</v>
      </c>
      <c r="D549" s="921">
        <v>0</v>
      </c>
    </row>
    <row r="550" spans="1:4" s="823" customFormat="1" ht="11.25" x14ac:dyDescent="0.2">
      <c r="A550" s="920">
        <v>127187</v>
      </c>
      <c r="B550" s="922" t="s">
        <v>2025</v>
      </c>
      <c r="C550" s="921">
        <v>2000000</v>
      </c>
      <c r="D550" s="921">
        <v>0</v>
      </c>
    </row>
    <row r="551" spans="1:4" s="823" customFormat="1" ht="22.5" x14ac:dyDescent="0.2">
      <c r="A551" s="920">
        <v>127188</v>
      </c>
      <c r="B551" s="922" t="s">
        <v>2026</v>
      </c>
      <c r="C551" s="921">
        <v>1500000</v>
      </c>
      <c r="D551" s="921">
        <v>0</v>
      </c>
    </row>
    <row r="552" spans="1:4" s="823" customFormat="1" ht="22.5" x14ac:dyDescent="0.2">
      <c r="A552" s="920">
        <v>127259</v>
      </c>
      <c r="B552" s="922" t="s">
        <v>2027</v>
      </c>
      <c r="C552" s="921">
        <v>601000</v>
      </c>
      <c r="D552" s="921">
        <v>0</v>
      </c>
    </row>
    <row r="553" spans="1:4" s="823" customFormat="1" ht="11.25" x14ac:dyDescent="0.2">
      <c r="A553" s="920">
        <v>127277</v>
      </c>
      <c r="B553" s="922" t="s">
        <v>2028</v>
      </c>
      <c r="C553" s="921">
        <v>212341.58</v>
      </c>
      <c r="D553" s="921">
        <v>0</v>
      </c>
    </row>
    <row r="554" spans="1:4" s="823" customFormat="1" ht="22.5" x14ac:dyDescent="0.2">
      <c r="A554" s="920">
        <v>127278</v>
      </c>
      <c r="B554" s="922" t="s">
        <v>2029</v>
      </c>
      <c r="C554" s="921">
        <v>273960.56</v>
      </c>
      <c r="D554" s="921">
        <v>0</v>
      </c>
    </row>
    <row r="555" spans="1:4" s="823" customFormat="1" ht="22.5" x14ac:dyDescent="0.2">
      <c r="A555" s="920">
        <v>127279</v>
      </c>
      <c r="B555" s="922" t="s">
        <v>2030</v>
      </c>
      <c r="C555" s="921">
        <v>558012.67000000004</v>
      </c>
      <c r="D555" s="921">
        <v>0</v>
      </c>
    </row>
    <row r="556" spans="1:4" s="823" customFormat="1" ht="11.25" x14ac:dyDescent="0.2">
      <c r="A556" s="920">
        <v>127280</v>
      </c>
      <c r="B556" s="922" t="s">
        <v>2031</v>
      </c>
      <c r="C556" s="921">
        <v>239257.22999999998</v>
      </c>
      <c r="D556" s="921">
        <v>0</v>
      </c>
    </row>
    <row r="557" spans="1:4" s="823" customFormat="1" ht="11.25" x14ac:dyDescent="0.2">
      <c r="A557" s="920">
        <v>127314</v>
      </c>
      <c r="B557" s="922" t="s">
        <v>1812</v>
      </c>
      <c r="C557" s="921">
        <v>501000</v>
      </c>
      <c r="D557" s="921">
        <v>0</v>
      </c>
    </row>
    <row r="558" spans="1:4" s="823" customFormat="1" ht="22.5" x14ac:dyDescent="0.2">
      <c r="A558" s="920">
        <v>127315</v>
      </c>
      <c r="B558" s="922" t="s">
        <v>2032</v>
      </c>
      <c r="C558" s="921">
        <v>501000</v>
      </c>
      <c r="D558" s="921">
        <v>0</v>
      </c>
    </row>
    <row r="559" spans="1:4" s="823" customFormat="1" ht="11.25" x14ac:dyDescent="0.2">
      <c r="A559" s="920">
        <v>127316</v>
      </c>
      <c r="B559" s="922" t="s">
        <v>2033</v>
      </c>
      <c r="C559" s="921">
        <v>192700</v>
      </c>
      <c r="D559" s="921">
        <v>0</v>
      </c>
    </row>
    <row r="560" spans="1:4" s="823" customFormat="1" ht="22.5" x14ac:dyDescent="0.2">
      <c r="A560" s="920">
        <v>127317</v>
      </c>
      <c r="B560" s="922" t="s">
        <v>2034</v>
      </c>
      <c r="C560" s="921">
        <v>342300</v>
      </c>
      <c r="D560" s="921">
        <v>0</v>
      </c>
    </row>
    <row r="561" spans="1:4" s="823" customFormat="1" ht="11.25" x14ac:dyDescent="0.2">
      <c r="A561" s="920">
        <v>127318</v>
      </c>
      <c r="B561" s="922" t="s">
        <v>2035</v>
      </c>
      <c r="C561" s="921">
        <v>650000</v>
      </c>
      <c r="D561" s="921">
        <v>0</v>
      </c>
    </row>
    <row r="562" spans="1:4" s="823" customFormat="1" ht="11.25" x14ac:dyDescent="0.2">
      <c r="A562" s="920">
        <v>127319</v>
      </c>
      <c r="B562" s="922" t="s">
        <v>2036</v>
      </c>
      <c r="C562" s="921">
        <v>501000</v>
      </c>
      <c r="D562" s="921">
        <v>0</v>
      </c>
    </row>
    <row r="563" spans="1:4" s="823" customFormat="1" ht="11.25" x14ac:dyDescent="0.2">
      <c r="A563" s="920">
        <v>127487</v>
      </c>
      <c r="B563" s="922" t="s">
        <v>2037</v>
      </c>
      <c r="C563" s="921">
        <v>235463.44</v>
      </c>
      <c r="D563" s="921">
        <v>0</v>
      </c>
    </row>
    <row r="564" spans="1:4" s="823" customFormat="1" ht="11.25" x14ac:dyDescent="0.2">
      <c r="A564" s="920">
        <v>127488</v>
      </c>
      <c r="B564" s="922" t="s">
        <v>2038</v>
      </c>
      <c r="C564" s="921">
        <v>131551.29999999999</v>
      </c>
      <c r="D564" s="921">
        <v>0</v>
      </c>
    </row>
    <row r="565" spans="1:4" s="823" customFormat="1" ht="22.5" x14ac:dyDescent="0.2">
      <c r="A565" s="920">
        <v>127489</v>
      </c>
      <c r="B565" s="922" t="s">
        <v>2039</v>
      </c>
      <c r="C565" s="921">
        <v>105341.95000000001</v>
      </c>
      <c r="D565" s="921">
        <v>0</v>
      </c>
    </row>
    <row r="566" spans="1:4" s="823" customFormat="1" ht="11.25" x14ac:dyDescent="0.2">
      <c r="A566" s="920">
        <v>127490</v>
      </c>
      <c r="B566" s="922" t="s">
        <v>2040</v>
      </c>
      <c r="C566" s="921">
        <v>206424.51</v>
      </c>
      <c r="D566" s="921">
        <v>0</v>
      </c>
    </row>
    <row r="567" spans="1:4" s="823" customFormat="1" ht="22.5" x14ac:dyDescent="0.2">
      <c r="A567" s="920">
        <v>127491</v>
      </c>
      <c r="B567" s="922" t="s">
        <v>2041</v>
      </c>
      <c r="C567" s="921">
        <v>321341.32</v>
      </c>
      <c r="D567" s="921">
        <v>0</v>
      </c>
    </row>
    <row r="568" spans="1:4" s="823" customFormat="1" ht="11.25" x14ac:dyDescent="0.2">
      <c r="A568" s="920">
        <v>127492</v>
      </c>
      <c r="B568" s="922" t="s">
        <v>2042</v>
      </c>
      <c r="C568" s="921">
        <v>152017.69</v>
      </c>
      <c r="D568" s="921">
        <v>0</v>
      </c>
    </row>
    <row r="569" spans="1:4" s="823" customFormat="1" ht="22.5" x14ac:dyDescent="0.2">
      <c r="A569" s="920">
        <v>127493</v>
      </c>
      <c r="B569" s="922" t="s">
        <v>2043</v>
      </c>
      <c r="C569" s="921">
        <v>161700.18</v>
      </c>
      <c r="D569" s="921">
        <v>0</v>
      </c>
    </row>
    <row r="570" spans="1:4" s="823" customFormat="1" ht="22.5" x14ac:dyDescent="0.2">
      <c r="A570" s="920">
        <v>127494</v>
      </c>
      <c r="B570" s="922" t="s">
        <v>2044</v>
      </c>
      <c r="C570" s="921">
        <v>431428.57</v>
      </c>
      <c r="D570" s="921">
        <v>0</v>
      </c>
    </row>
    <row r="571" spans="1:4" s="823" customFormat="1" ht="22.5" x14ac:dyDescent="0.2">
      <c r="A571" s="920">
        <v>127495</v>
      </c>
      <c r="B571" s="922" t="s">
        <v>2045</v>
      </c>
      <c r="C571" s="921">
        <v>161965.70000000001</v>
      </c>
      <c r="D571" s="921">
        <v>0</v>
      </c>
    </row>
    <row r="572" spans="1:4" s="823" customFormat="1" ht="11.25" x14ac:dyDescent="0.2">
      <c r="A572" s="920">
        <v>127496</v>
      </c>
      <c r="B572" s="922" t="s">
        <v>2046</v>
      </c>
      <c r="C572" s="921">
        <v>328382.28999999998</v>
      </c>
      <c r="D572" s="921">
        <v>0</v>
      </c>
    </row>
    <row r="573" spans="1:4" s="823" customFormat="1" ht="22.5" x14ac:dyDescent="0.2">
      <c r="A573" s="920">
        <v>127497</v>
      </c>
      <c r="B573" s="922" t="s">
        <v>2047</v>
      </c>
      <c r="C573" s="921">
        <v>326450.01</v>
      </c>
      <c r="D573" s="921">
        <v>0</v>
      </c>
    </row>
    <row r="574" spans="1:4" s="823" customFormat="1" ht="11.25" x14ac:dyDescent="0.2">
      <c r="A574" s="920">
        <v>127498</v>
      </c>
      <c r="B574" s="922" t="s">
        <v>2048</v>
      </c>
      <c r="C574" s="921">
        <v>437751.44</v>
      </c>
      <c r="D574" s="921">
        <v>0</v>
      </c>
    </row>
    <row r="575" spans="1:4" s="823" customFormat="1" ht="11.25" x14ac:dyDescent="0.2">
      <c r="A575" s="920">
        <v>127499</v>
      </c>
      <c r="B575" s="922" t="s">
        <v>2049</v>
      </c>
      <c r="C575" s="921">
        <v>363789.07</v>
      </c>
      <c r="D575" s="921">
        <v>0</v>
      </c>
    </row>
    <row r="576" spans="1:4" s="823" customFormat="1" ht="11.25" x14ac:dyDescent="0.2">
      <c r="A576" s="920">
        <v>127500</v>
      </c>
      <c r="B576" s="922" t="s">
        <v>2050</v>
      </c>
      <c r="C576" s="921">
        <v>281625.8</v>
      </c>
      <c r="D576" s="921">
        <v>0</v>
      </c>
    </row>
    <row r="577" spans="1:4" s="823" customFormat="1" ht="11.25" x14ac:dyDescent="0.2">
      <c r="A577" s="920">
        <v>127501</v>
      </c>
      <c r="B577" s="922" t="s">
        <v>2051</v>
      </c>
      <c r="C577" s="921">
        <v>249500</v>
      </c>
      <c r="D577" s="921">
        <v>0</v>
      </c>
    </row>
    <row r="578" spans="1:4" s="823" customFormat="1" ht="22.5" x14ac:dyDescent="0.2">
      <c r="A578" s="920">
        <v>127502</v>
      </c>
      <c r="B578" s="922" t="s">
        <v>2052</v>
      </c>
      <c r="C578" s="921">
        <v>385956.6</v>
      </c>
      <c r="D578" s="921">
        <v>0</v>
      </c>
    </row>
    <row r="579" spans="1:4" s="823" customFormat="1" ht="22.5" x14ac:dyDescent="0.2">
      <c r="A579" s="920">
        <v>127503</v>
      </c>
      <c r="B579" s="922" t="s">
        <v>2053</v>
      </c>
      <c r="C579" s="921">
        <v>77593.22</v>
      </c>
      <c r="D579" s="921">
        <v>0</v>
      </c>
    </row>
    <row r="580" spans="1:4" s="823" customFormat="1" ht="11.25" x14ac:dyDescent="0.2">
      <c r="A580" s="920">
        <v>127504</v>
      </c>
      <c r="B580" s="922" t="s">
        <v>2054</v>
      </c>
      <c r="C580" s="921">
        <v>372776.45999999996</v>
      </c>
      <c r="D580" s="921">
        <v>0</v>
      </c>
    </row>
    <row r="581" spans="1:4" s="823" customFormat="1" ht="11.25" x14ac:dyDescent="0.2">
      <c r="A581" s="920">
        <v>127505</v>
      </c>
      <c r="B581" s="922" t="s">
        <v>2055</v>
      </c>
      <c r="C581" s="921">
        <v>56010.8</v>
      </c>
      <c r="D581" s="921">
        <v>0</v>
      </c>
    </row>
    <row r="582" spans="1:4" s="823" customFormat="1" ht="11.25" x14ac:dyDescent="0.2">
      <c r="A582" s="920">
        <v>127506</v>
      </c>
      <c r="B582" s="922" t="s">
        <v>2056</v>
      </c>
      <c r="C582" s="921">
        <v>75695.199999999997</v>
      </c>
      <c r="D582" s="921">
        <v>0</v>
      </c>
    </row>
    <row r="583" spans="1:4" s="823" customFormat="1" ht="11.25" x14ac:dyDescent="0.2">
      <c r="A583" s="920">
        <v>127507</v>
      </c>
      <c r="B583" s="922" t="s">
        <v>2057</v>
      </c>
      <c r="C583" s="921">
        <v>422667.1</v>
      </c>
      <c r="D583" s="921">
        <v>0</v>
      </c>
    </row>
    <row r="584" spans="1:4" s="823" customFormat="1" ht="11.25" x14ac:dyDescent="0.2">
      <c r="A584" s="920">
        <v>127508</v>
      </c>
      <c r="B584" s="922" t="s">
        <v>2058</v>
      </c>
      <c r="C584" s="921">
        <v>118700</v>
      </c>
      <c r="D584" s="921">
        <v>0</v>
      </c>
    </row>
    <row r="585" spans="1:4" s="823" customFormat="1" ht="11.25" x14ac:dyDescent="0.2">
      <c r="A585" s="920">
        <v>127509</v>
      </c>
      <c r="B585" s="922" t="s">
        <v>2059</v>
      </c>
      <c r="C585" s="921">
        <v>38020</v>
      </c>
      <c r="D585" s="921">
        <v>0</v>
      </c>
    </row>
    <row r="586" spans="1:4" s="823" customFormat="1" ht="22.5" x14ac:dyDescent="0.2">
      <c r="A586" s="920">
        <v>127510</v>
      </c>
      <c r="B586" s="922" t="s">
        <v>2060</v>
      </c>
      <c r="C586" s="921">
        <v>76030</v>
      </c>
      <c r="D586" s="921">
        <v>0</v>
      </c>
    </row>
    <row r="587" spans="1:4" s="823" customFormat="1" ht="22.5" x14ac:dyDescent="0.2">
      <c r="A587" s="920">
        <v>127511</v>
      </c>
      <c r="B587" s="922" t="s">
        <v>2061</v>
      </c>
      <c r="C587" s="921">
        <v>43950</v>
      </c>
      <c r="D587" s="921">
        <v>0</v>
      </c>
    </row>
    <row r="588" spans="1:4" s="823" customFormat="1" ht="22.5" x14ac:dyDescent="0.2">
      <c r="A588" s="920">
        <v>127512</v>
      </c>
      <c r="B588" s="922" t="s">
        <v>2062</v>
      </c>
      <c r="C588" s="921">
        <v>67180</v>
      </c>
      <c r="D588" s="921">
        <v>0</v>
      </c>
    </row>
    <row r="589" spans="1:4" s="823" customFormat="1" ht="22.5" x14ac:dyDescent="0.2">
      <c r="A589" s="920">
        <v>127513</v>
      </c>
      <c r="B589" s="922" t="s">
        <v>2063</v>
      </c>
      <c r="C589" s="921">
        <v>317038.82</v>
      </c>
      <c r="D589" s="921">
        <v>0</v>
      </c>
    </row>
    <row r="590" spans="1:4" s="823" customFormat="1" ht="11.25" x14ac:dyDescent="0.2">
      <c r="A590" s="920">
        <v>127514</v>
      </c>
      <c r="B590" s="922" t="s">
        <v>2064</v>
      </c>
      <c r="C590" s="921">
        <v>96179.58</v>
      </c>
      <c r="D590" s="921">
        <v>0</v>
      </c>
    </row>
    <row r="591" spans="1:4" s="823" customFormat="1" ht="11.25" x14ac:dyDescent="0.2">
      <c r="A591" s="920">
        <v>127515</v>
      </c>
      <c r="B591" s="922" t="s">
        <v>2065</v>
      </c>
      <c r="C591" s="921">
        <v>94859.24</v>
      </c>
      <c r="D591" s="921">
        <v>0</v>
      </c>
    </row>
    <row r="592" spans="1:4" s="823" customFormat="1" ht="11.25" x14ac:dyDescent="0.2">
      <c r="A592" s="920">
        <v>127516</v>
      </c>
      <c r="B592" s="922" t="s">
        <v>2066</v>
      </c>
      <c r="C592" s="921">
        <v>494844.02999999997</v>
      </c>
      <c r="D592" s="921">
        <v>0</v>
      </c>
    </row>
    <row r="593" spans="1:4" s="823" customFormat="1" ht="11.25" x14ac:dyDescent="0.2">
      <c r="A593" s="920">
        <v>127517</v>
      </c>
      <c r="B593" s="922" t="s">
        <v>2067</v>
      </c>
      <c r="C593" s="921">
        <v>468843.87</v>
      </c>
      <c r="D593" s="921">
        <v>0</v>
      </c>
    </row>
    <row r="594" spans="1:4" s="823" customFormat="1" ht="22.5" x14ac:dyDescent="0.2">
      <c r="A594" s="920">
        <v>127518</v>
      </c>
      <c r="B594" s="922" t="s">
        <v>2068</v>
      </c>
      <c r="C594" s="921">
        <v>89617.56</v>
      </c>
      <c r="D594" s="921">
        <v>0</v>
      </c>
    </row>
    <row r="595" spans="1:4" s="823" customFormat="1" ht="11.25" x14ac:dyDescent="0.2">
      <c r="A595" s="920">
        <v>127519</v>
      </c>
      <c r="B595" s="922" t="s">
        <v>2069</v>
      </c>
      <c r="C595" s="921">
        <v>237167.07</v>
      </c>
      <c r="D595" s="921">
        <v>0</v>
      </c>
    </row>
    <row r="596" spans="1:4" s="823" customFormat="1" ht="11.25" x14ac:dyDescent="0.2">
      <c r="A596" s="920">
        <v>127520</v>
      </c>
      <c r="B596" s="922" t="s">
        <v>2070</v>
      </c>
      <c r="C596" s="921">
        <v>630081.94999999995</v>
      </c>
      <c r="D596" s="921">
        <v>0</v>
      </c>
    </row>
    <row r="597" spans="1:4" s="823" customFormat="1" ht="11.25" x14ac:dyDescent="0.2">
      <c r="A597" s="920">
        <v>127521</v>
      </c>
      <c r="B597" s="922" t="s">
        <v>1569</v>
      </c>
      <c r="C597" s="921">
        <v>357900</v>
      </c>
      <c r="D597" s="921">
        <v>0</v>
      </c>
    </row>
    <row r="598" spans="1:4" s="823" customFormat="1" ht="22.5" x14ac:dyDescent="0.2">
      <c r="A598" s="920">
        <v>127522</v>
      </c>
      <c r="B598" s="922" t="s">
        <v>2071</v>
      </c>
      <c r="C598" s="921">
        <v>498193.4</v>
      </c>
      <c r="D598" s="921">
        <v>0</v>
      </c>
    </row>
    <row r="599" spans="1:4" s="823" customFormat="1" ht="22.5" x14ac:dyDescent="0.2">
      <c r="A599" s="920">
        <v>127646</v>
      </c>
      <c r="B599" s="922" t="s">
        <v>2072</v>
      </c>
      <c r="C599" s="921">
        <v>0</v>
      </c>
      <c r="D599" s="921">
        <v>883598.28</v>
      </c>
    </row>
    <row r="600" spans="1:4" s="823" customFormat="1" ht="11.25" x14ac:dyDescent="0.2">
      <c r="A600" s="920">
        <v>127647</v>
      </c>
      <c r="B600" s="922" t="s">
        <v>2073</v>
      </c>
      <c r="C600" s="921">
        <v>0</v>
      </c>
      <c r="D600" s="921">
        <v>1963551.72</v>
      </c>
    </row>
    <row r="601" spans="1:4" s="823" customFormat="1" ht="11.25" x14ac:dyDescent="0.2">
      <c r="A601" s="920">
        <v>127648</v>
      </c>
      <c r="B601" s="922" t="s">
        <v>2074</v>
      </c>
      <c r="C601" s="921">
        <v>0</v>
      </c>
      <c r="D601" s="921">
        <v>883598.28</v>
      </c>
    </row>
    <row r="602" spans="1:4" s="823" customFormat="1" ht="11.25" x14ac:dyDescent="0.2">
      <c r="A602" s="920">
        <v>127649</v>
      </c>
      <c r="B602" s="922" t="s">
        <v>2075</v>
      </c>
      <c r="C602" s="921">
        <v>0</v>
      </c>
      <c r="D602" s="921">
        <v>883598.28</v>
      </c>
    </row>
    <row r="603" spans="1:4" s="823" customFormat="1" ht="11.25" x14ac:dyDescent="0.2">
      <c r="A603" s="920">
        <v>127650</v>
      </c>
      <c r="B603" s="922" t="s">
        <v>2076</v>
      </c>
      <c r="C603" s="921">
        <v>0</v>
      </c>
      <c r="D603" s="921">
        <v>981775.86</v>
      </c>
    </row>
    <row r="604" spans="1:4" s="823" customFormat="1" ht="22.5" x14ac:dyDescent="0.2">
      <c r="A604" s="920">
        <v>127651</v>
      </c>
      <c r="B604" s="922" t="s">
        <v>2077</v>
      </c>
      <c r="C604" s="921">
        <v>0</v>
      </c>
      <c r="D604" s="921">
        <v>981775.86</v>
      </c>
    </row>
    <row r="605" spans="1:4" s="823" customFormat="1" ht="11.25" x14ac:dyDescent="0.2">
      <c r="A605" s="920">
        <v>127652</v>
      </c>
      <c r="B605" s="922" t="s">
        <v>2078</v>
      </c>
      <c r="C605" s="921">
        <v>0</v>
      </c>
      <c r="D605" s="921">
        <v>10799534.48</v>
      </c>
    </row>
    <row r="606" spans="1:4" s="823" customFormat="1" ht="11.25" x14ac:dyDescent="0.2">
      <c r="A606" s="920">
        <v>127653</v>
      </c>
      <c r="B606" s="922" t="s">
        <v>2074</v>
      </c>
      <c r="C606" s="921">
        <v>0</v>
      </c>
      <c r="D606" s="921">
        <v>15501.72</v>
      </c>
    </row>
    <row r="607" spans="1:4" s="823" customFormat="1" ht="22.5" x14ac:dyDescent="0.2">
      <c r="A607" s="920">
        <v>127654</v>
      </c>
      <c r="B607" s="922" t="s">
        <v>2072</v>
      </c>
      <c r="C607" s="921">
        <v>0</v>
      </c>
      <c r="D607" s="921">
        <v>15501.72</v>
      </c>
    </row>
    <row r="608" spans="1:4" s="823" customFormat="1" ht="22.5" x14ac:dyDescent="0.2">
      <c r="A608" s="920">
        <v>127655</v>
      </c>
      <c r="B608" s="922" t="s">
        <v>2077</v>
      </c>
      <c r="C608" s="921">
        <v>0</v>
      </c>
      <c r="D608" s="921">
        <v>17224.14</v>
      </c>
    </row>
    <row r="609" spans="1:4" s="823" customFormat="1" ht="11.25" x14ac:dyDescent="0.2">
      <c r="A609" s="920">
        <v>127656</v>
      </c>
      <c r="B609" s="922" t="s">
        <v>2078</v>
      </c>
      <c r="C609" s="921">
        <v>0</v>
      </c>
      <c r="D609" s="921">
        <v>189465.52</v>
      </c>
    </row>
    <row r="610" spans="1:4" s="823" customFormat="1" ht="11.25" x14ac:dyDescent="0.2">
      <c r="A610" s="920">
        <v>127657</v>
      </c>
      <c r="B610" s="922" t="s">
        <v>2073</v>
      </c>
      <c r="C610" s="921">
        <v>0</v>
      </c>
      <c r="D610" s="921">
        <v>34448.28</v>
      </c>
    </row>
    <row r="611" spans="1:4" s="823" customFormat="1" ht="11.25" x14ac:dyDescent="0.2">
      <c r="A611" s="920">
        <v>127658</v>
      </c>
      <c r="B611" s="922" t="s">
        <v>2075</v>
      </c>
      <c r="C611" s="921">
        <v>0</v>
      </c>
      <c r="D611" s="921">
        <v>15501.72</v>
      </c>
    </row>
    <row r="612" spans="1:4" s="823" customFormat="1" ht="11.25" x14ac:dyDescent="0.2">
      <c r="A612" s="920">
        <v>127659</v>
      </c>
      <c r="B612" s="922" t="s">
        <v>2076</v>
      </c>
      <c r="C612" s="921">
        <v>0</v>
      </c>
      <c r="D612" s="921">
        <v>17224.14</v>
      </c>
    </row>
    <row r="613" spans="1:4" s="823" customFormat="1" ht="22.5" x14ac:dyDescent="0.2">
      <c r="A613" s="920">
        <v>127660</v>
      </c>
      <c r="B613" s="922" t="s">
        <v>2079</v>
      </c>
      <c r="C613" s="921">
        <v>0</v>
      </c>
      <c r="D613" s="921">
        <v>7854206.9000000004</v>
      </c>
    </row>
    <row r="614" spans="1:4" s="823" customFormat="1" ht="11.25" x14ac:dyDescent="0.2">
      <c r="A614" s="920">
        <v>127661</v>
      </c>
      <c r="B614" s="922" t="s">
        <v>2080</v>
      </c>
      <c r="C614" s="921">
        <v>0</v>
      </c>
      <c r="D614" s="921">
        <v>883598.28</v>
      </c>
    </row>
    <row r="615" spans="1:4" s="823" customFormat="1" ht="11.25" x14ac:dyDescent="0.2">
      <c r="A615" s="920">
        <v>127662</v>
      </c>
      <c r="B615" s="922" t="s">
        <v>2081</v>
      </c>
      <c r="C615" s="921">
        <v>0</v>
      </c>
      <c r="D615" s="921">
        <v>1178131.03</v>
      </c>
    </row>
    <row r="616" spans="1:4" s="823" customFormat="1" ht="11.25" x14ac:dyDescent="0.2">
      <c r="A616" s="920">
        <v>127663</v>
      </c>
      <c r="B616" s="922" t="s">
        <v>2082</v>
      </c>
      <c r="C616" s="921">
        <v>0</v>
      </c>
      <c r="D616" s="921">
        <v>1963551.72</v>
      </c>
    </row>
    <row r="617" spans="1:4" s="823" customFormat="1" ht="22.5" x14ac:dyDescent="0.2">
      <c r="A617" s="920">
        <v>127664</v>
      </c>
      <c r="B617" s="922" t="s">
        <v>2083</v>
      </c>
      <c r="C617" s="921">
        <v>0</v>
      </c>
      <c r="D617" s="921">
        <v>981775.86</v>
      </c>
    </row>
    <row r="618" spans="1:4" s="823" customFormat="1" ht="22.5" x14ac:dyDescent="0.2">
      <c r="A618" s="920">
        <v>127665</v>
      </c>
      <c r="B618" s="922" t="s">
        <v>2084</v>
      </c>
      <c r="C618" s="921">
        <v>0</v>
      </c>
      <c r="D618" s="921">
        <v>883598.28</v>
      </c>
    </row>
    <row r="619" spans="1:4" s="823" customFormat="1" ht="11.25" x14ac:dyDescent="0.2">
      <c r="A619" s="920">
        <v>127666</v>
      </c>
      <c r="B619" s="922" t="s">
        <v>2085</v>
      </c>
      <c r="C619" s="921">
        <v>0</v>
      </c>
      <c r="D619" s="921">
        <v>1963551.72</v>
      </c>
    </row>
    <row r="620" spans="1:4" s="823" customFormat="1" ht="11.25" x14ac:dyDescent="0.2">
      <c r="A620" s="920">
        <v>127667</v>
      </c>
      <c r="B620" s="922" t="s">
        <v>2086</v>
      </c>
      <c r="C620" s="921">
        <v>0</v>
      </c>
      <c r="D620" s="921">
        <v>981775.86</v>
      </c>
    </row>
    <row r="621" spans="1:4" s="823" customFormat="1" ht="11.25" x14ac:dyDescent="0.2">
      <c r="A621" s="920">
        <v>127668</v>
      </c>
      <c r="B621" s="922" t="s">
        <v>2087</v>
      </c>
      <c r="C621" s="921">
        <v>0</v>
      </c>
      <c r="D621" s="921">
        <v>981775.86</v>
      </c>
    </row>
    <row r="622" spans="1:4" s="823" customFormat="1" ht="22.5" x14ac:dyDescent="0.2">
      <c r="A622" s="920">
        <v>127669</v>
      </c>
      <c r="B622" s="922" t="s">
        <v>2079</v>
      </c>
      <c r="C622" s="921">
        <v>0</v>
      </c>
      <c r="D622" s="921">
        <v>137793.1</v>
      </c>
    </row>
    <row r="623" spans="1:4" s="823" customFormat="1" ht="22.5" x14ac:dyDescent="0.2">
      <c r="A623" s="920">
        <v>127670</v>
      </c>
      <c r="B623" s="922" t="s">
        <v>2084</v>
      </c>
      <c r="C623" s="921">
        <v>0</v>
      </c>
      <c r="D623" s="921">
        <v>15501.72</v>
      </c>
    </row>
    <row r="624" spans="1:4" s="823" customFormat="1" ht="11.25" x14ac:dyDescent="0.2">
      <c r="A624" s="920">
        <v>127671</v>
      </c>
      <c r="B624" s="922" t="s">
        <v>2080</v>
      </c>
      <c r="C624" s="921">
        <v>0</v>
      </c>
      <c r="D624" s="921">
        <v>15501.72</v>
      </c>
    </row>
    <row r="625" spans="1:4" s="823" customFormat="1" ht="11.25" x14ac:dyDescent="0.2">
      <c r="A625" s="920">
        <v>127672</v>
      </c>
      <c r="B625" s="922" t="s">
        <v>2087</v>
      </c>
      <c r="C625" s="921">
        <v>0</v>
      </c>
      <c r="D625" s="921">
        <v>17224.14</v>
      </c>
    </row>
    <row r="626" spans="1:4" s="823" customFormat="1" ht="11.25" x14ac:dyDescent="0.2">
      <c r="A626" s="920">
        <v>127673</v>
      </c>
      <c r="B626" s="922" t="s">
        <v>2086</v>
      </c>
      <c r="C626" s="921">
        <v>0</v>
      </c>
      <c r="D626" s="921">
        <v>17224.14</v>
      </c>
    </row>
    <row r="627" spans="1:4" s="823" customFormat="1" ht="22.5" x14ac:dyDescent="0.2">
      <c r="A627" s="920">
        <v>127674</v>
      </c>
      <c r="B627" s="922" t="s">
        <v>2083</v>
      </c>
      <c r="C627" s="921">
        <v>0</v>
      </c>
      <c r="D627" s="921">
        <v>17224.14</v>
      </c>
    </row>
    <row r="628" spans="1:4" s="823" customFormat="1" ht="11.25" x14ac:dyDescent="0.2">
      <c r="A628" s="920">
        <v>127675</v>
      </c>
      <c r="B628" s="922" t="s">
        <v>2081</v>
      </c>
      <c r="C628" s="921">
        <v>0</v>
      </c>
      <c r="D628" s="921">
        <v>20668.97</v>
      </c>
    </row>
    <row r="629" spans="1:4" s="823" customFormat="1" ht="11.25" x14ac:dyDescent="0.2">
      <c r="A629" s="920">
        <v>127676</v>
      </c>
      <c r="B629" s="922" t="s">
        <v>2085</v>
      </c>
      <c r="C629" s="921">
        <v>0</v>
      </c>
      <c r="D629" s="921">
        <v>34448.28</v>
      </c>
    </row>
    <row r="630" spans="1:4" s="823" customFormat="1" ht="11.25" x14ac:dyDescent="0.2">
      <c r="A630" s="920">
        <v>127677</v>
      </c>
      <c r="B630" s="922" t="s">
        <v>2082</v>
      </c>
      <c r="C630" s="921">
        <v>0</v>
      </c>
      <c r="D630" s="921">
        <v>34448.28</v>
      </c>
    </row>
    <row r="631" spans="1:4" s="823" customFormat="1" ht="22.5" x14ac:dyDescent="0.2">
      <c r="A631" s="920">
        <v>127678</v>
      </c>
      <c r="B631" s="922" t="s">
        <v>2088</v>
      </c>
      <c r="C631" s="921">
        <v>0</v>
      </c>
      <c r="D631" s="921">
        <v>2945327.59</v>
      </c>
    </row>
    <row r="632" spans="1:4" s="823" customFormat="1" ht="11.25" x14ac:dyDescent="0.2">
      <c r="A632" s="920">
        <v>127679</v>
      </c>
      <c r="B632" s="922" t="s">
        <v>2089</v>
      </c>
      <c r="C632" s="921">
        <v>0</v>
      </c>
      <c r="D632" s="921">
        <v>883598.28</v>
      </c>
    </row>
    <row r="633" spans="1:4" s="823" customFormat="1" ht="22.5" x14ac:dyDescent="0.2">
      <c r="A633" s="920">
        <v>127680</v>
      </c>
      <c r="B633" s="922" t="s">
        <v>2090</v>
      </c>
      <c r="C633" s="921">
        <v>0</v>
      </c>
      <c r="D633" s="921">
        <v>883598.28</v>
      </c>
    </row>
    <row r="634" spans="1:4" s="823" customFormat="1" ht="11.25" x14ac:dyDescent="0.2">
      <c r="A634" s="920">
        <v>127681</v>
      </c>
      <c r="B634" s="922" t="s">
        <v>2091</v>
      </c>
      <c r="C634" s="921">
        <v>0</v>
      </c>
      <c r="D634" s="921">
        <v>883598.28</v>
      </c>
    </row>
    <row r="635" spans="1:4" s="823" customFormat="1" ht="22.5" x14ac:dyDescent="0.2">
      <c r="A635" s="920">
        <v>127682</v>
      </c>
      <c r="B635" s="922" t="s">
        <v>2092</v>
      </c>
      <c r="C635" s="921">
        <v>0</v>
      </c>
      <c r="D635" s="921">
        <v>883598.28</v>
      </c>
    </row>
    <row r="636" spans="1:4" s="823" customFormat="1" ht="11.25" x14ac:dyDescent="0.2">
      <c r="A636" s="920">
        <v>127683</v>
      </c>
      <c r="B636" s="922" t="s">
        <v>2093</v>
      </c>
      <c r="C636" s="921">
        <v>0</v>
      </c>
      <c r="D636" s="921">
        <v>981775.86</v>
      </c>
    </row>
    <row r="637" spans="1:4" s="823" customFormat="1" ht="11.25" x14ac:dyDescent="0.2">
      <c r="A637" s="920">
        <v>127684</v>
      </c>
      <c r="B637" s="922" t="s">
        <v>2094</v>
      </c>
      <c r="C637" s="921">
        <v>0</v>
      </c>
      <c r="D637" s="921">
        <v>1079953.45</v>
      </c>
    </row>
    <row r="638" spans="1:4" s="823" customFormat="1" ht="22.5" x14ac:dyDescent="0.2">
      <c r="A638" s="920">
        <v>127685</v>
      </c>
      <c r="B638" s="922" t="s">
        <v>2095</v>
      </c>
      <c r="C638" s="921">
        <v>0</v>
      </c>
      <c r="D638" s="921">
        <v>1963551.72</v>
      </c>
    </row>
    <row r="639" spans="1:4" s="823" customFormat="1" ht="11.25" x14ac:dyDescent="0.2">
      <c r="A639" s="920">
        <v>127686</v>
      </c>
      <c r="B639" s="922" t="s">
        <v>2096</v>
      </c>
      <c r="C639" s="921">
        <v>0</v>
      </c>
      <c r="D639" s="921">
        <v>1963551.72</v>
      </c>
    </row>
    <row r="640" spans="1:4" s="823" customFormat="1" ht="22.5" x14ac:dyDescent="0.2">
      <c r="A640" s="920">
        <v>127687</v>
      </c>
      <c r="B640" s="922" t="s">
        <v>2097</v>
      </c>
      <c r="C640" s="921">
        <v>0</v>
      </c>
      <c r="D640" s="921">
        <v>51672.41</v>
      </c>
    </row>
    <row r="641" spans="1:4" s="823" customFormat="1" ht="11.25" x14ac:dyDescent="0.2">
      <c r="A641" s="920">
        <v>127688</v>
      </c>
      <c r="B641" s="922" t="s">
        <v>2094</v>
      </c>
      <c r="C641" s="921">
        <v>0</v>
      </c>
      <c r="D641" s="921">
        <v>18946.55</v>
      </c>
    </row>
    <row r="642" spans="1:4" s="823" customFormat="1" ht="22.5" x14ac:dyDescent="0.2">
      <c r="A642" s="920">
        <v>127689</v>
      </c>
      <c r="B642" s="922" t="s">
        <v>2092</v>
      </c>
      <c r="C642" s="921">
        <v>0</v>
      </c>
      <c r="D642" s="921">
        <v>15501.72</v>
      </c>
    </row>
    <row r="643" spans="1:4" s="823" customFormat="1" ht="11.25" x14ac:dyDescent="0.2">
      <c r="A643" s="920">
        <v>127690</v>
      </c>
      <c r="B643" s="922" t="s">
        <v>2089</v>
      </c>
      <c r="C643" s="921">
        <v>0</v>
      </c>
      <c r="D643" s="921">
        <v>15501.72</v>
      </c>
    </row>
    <row r="644" spans="1:4" s="823" customFormat="1" ht="11.25" x14ac:dyDescent="0.2">
      <c r="A644" s="920">
        <v>127691</v>
      </c>
      <c r="B644" s="922" t="s">
        <v>2096</v>
      </c>
      <c r="C644" s="921">
        <v>0</v>
      </c>
      <c r="D644" s="921">
        <v>34448.28</v>
      </c>
    </row>
    <row r="645" spans="1:4" s="823" customFormat="1" ht="11.25" x14ac:dyDescent="0.2">
      <c r="A645" s="920">
        <v>127692</v>
      </c>
      <c r="B645" s="922" t="s">
        <v>2091</v>
      </c>
      <c r="C645" s="921">
        <v>0</v>
      </c>
      <c r="D645" s="921">
        <v>15501.72</v>
      </c>
    </row>
    <row r="646" spans="1:4" s="823" customFormat="1" ht="22.5" x14ac:dyDescent="0.2">
      <c r="A646" s="920">
        <v>127693</v>
      </c>
      <c r="B646" s="922" t="s">
        <v>2090</v>
      </c>
      <c r="C646" s="921">
        <v>0</v>
      </c>
      <c r="D646" s="921">
        <v>15501.72</v>
      </c>
    </row>
    <row r="647" spans="1:4" s="823" customFormat="1" ht="11.25" x14ac:dyDescent="0.2">
      <c r="A647" s="920">
        <v>127694</v>
      </c>
      <c r="B647" s="922" t="s">
        <v>2093</v>
      </c>
      <c r="C647" s="921">
        <v>0</v>
      </c>
      <c r="D647" s="921">
        <v>17224.14</v>
      </c>
    </row>
    <row r="648" spans="1:4" s="823" customFormat="1" ht="22.5" x14ac:dyDescent="0.2">
      <c r="A648" s="920">
        <v>127695</v>
      </c>
      <c r="B648" s="922" t="s">
        <v>2095</v>
      </c>
      <c r="C648" s="921">
        <v>0</v>
      </c>
      <c r="D648" s="921">
        <v>34448.28</v>
      </c>
    </row>
    <row r="649" spans="1:4" s="823" customFormat="1" ht="11.25" x14ac:dyDescent="0.2">
      <c r="A649" s="920">
        <v>127696</v>
      </c>
      <c r="B649" s="922" t="s">
        <v>2098</v>
      </c>
      <c r="C649" s="921">
        <v>0</v>
      </c>
      <c r="D649" s="921">
        <v>1472663.79</v>
      </c>
    </row>
    <row r="650" spans="1:4" s="823" customFormat="1" ht="11.25" x14ac:dyDescent="0.2">
      <c r="A650" s="920">
        <v>127697</v>
      </c>
      <c r="B650" s="922" t="s">
        <v>2099</v>
      </c>
      <c r="C650" s="921">
        <v>0</v>
      </c>
      <c r="D650" s="921">
        <v>1276308.6200000001</v>
      </c>
    </row>
    <row r="651" spans="1:4" s="823" customFormat="1" ht="22.5" x14ac:dyDescent="0.2">
      <c r="A651" s="920">
        <v>127698</v>
      </c>
      <c r="B651" s="922" t="s">
        <v>2100</v>
      </c>
      <c r="C651" s="921">
        <v>0</v>
      </c>
      <c r="D651" s="921">
        <v>981775.86</v>
      </c>
    </row>
    <row r="652" spans="1:4" s="823" customFormat="1" ht="22.5" x14ac:dyDescent="0.2">
      <c r="A652" s="920">
        <v>127699</v>
      </c>
      <c r="B652" s="922" t="s">
        <v>2101</v>
      </c>
      <c r="C652" s="921">
        <v>0</v>
      </c>
      <c r="D652" s="921">
        <v>981775.86</v>
      </c>
    </row>
    <row r="653" spans="1:4" s="823" customFormat="1" ht="22.5" x14ac:dyDescent="0.2">
      <c r="A653" s="920">
        <v>127700</v>
      </c>
      <c r="B653" s="922" t="s">
        <v>2102</v>
      </c>
      <c r="C653" s="921">
        <v>0</v>
      </c>
      <c r="D653" s="921">
        <v>1963551.72</v>
      </c>
    </row>
    <row r="654" spans="1:4" s="823" customFormat="1" ht="11.25" x14ac:dyDescent="0.2">
      <c r="A654" s="920">
        <v>127701</v>
      </c>
      <c r="B654" s="922" t="s">
        <v>2103</v>
      </c>
      <c r="C654" s="921">
        <v>0</v>
      </c>
      <c r="D654" s="921">
        <v>932687.07</v>
      </c>
    </row>
    <row r="655" spans="1:4" s="823" customFormat="1" ht="11.25" x14ac:dyDescent="0.2">
      <c r="A655" s="920">
        <v>127702</v>
      </c>
      <c r="B655" s="922" t="s">
        <v>2104</v>
      </c>
      <c r="C655" s="921">
        <v>0</v>
      </c>
      <c r="D655" s="921">
        <v>785420.69</v>
      </c>
    </row>
    <row r="656" spans="1:4" s="823" customFormat="1" ht="11.25" x14ac:dyDescent="0.2">
      <c r="A656" s="920">
        <v>127703</v>
      </c>
      <c r="B656" s="922" t="s">
        <v>2104</v>
      </c>
      <c r="C656" s="921">
        <v>0</v>
      </c>
      <c r="D656" s="921">
        <v>13779.31</v>
      </c>
    </row>
    <row r="657" spans="1:4" s="823" customFormat="1" ht="11.25" x14ac:dyDescent="0.2">
      <c r="A657" s="920">
        <v>127704</v>
      </c>
      <c r="B657" s="922" t="s">
        <v>2103</v>
      </c>
      <c r="C657" s="921">
        <v>0</v>
      </c>
      <c r="D657" s="921">
        <v>16362.93</v>
      </c>
    </row>
    <row r="658" spans="1:4" s="823" customFormat="1" ht="22.5" x14ac:dyDescent="0.2">
      <c r="A658" s="920">
        <v>127705</v>
      </c>
      <c r="B658" s="922" t="s">
        <v>2101</v>
      </c>
      <c r="C658" s="921">
        <v>0</v>
      </c>
      <c r="D658" s="921">
        <v>17224.14</v>
      </c>
    </row>
    <row r="659" spans="1:4" s="823" customFormat="1" ht="22.5" x14ac:dyDescent="0.2">
      <c r="A659" s="920">
        <v>127706</v>
      </c>
      <c r="B659" s="922" t="s">
        <v>2100</v>
      </c>
      <c r="C659" s="921">
        <v>0</v>
      </c>
      <c r="D659" s="921">
        <v>17224.14</v>
      </c>
    </row>
    <row r="660" spans="1:4" s="823" customFormat="1" ht="11.25" x14ac:dyDescent="0.2">
      <c r="A660" s="920">
        <v>127707</v>
      </c>
      <c r="B660" s="922" t="s">
        <v>2099</v>
      </c>
      <c r="C660" s="921">
        <v>0</v>
      </c>
      <c r="D660" s="921">
        <v>22391.38</v>
      </c>
    </row>
    <row r="661" spans="1:4" s="823" customFormat="1" ht="11.25" x14ac:dyDescent="0.2">
      <c r="A661" s="920">
        <v>127708</v>
      </c>
      <c r="B661" s="922" t="s">
        <v>2098</v>
      </c>
      <c r="C661" s="921">
        <v>0</v>
      </c>
      <c r="D661" s="921">
        <v>25836.21</v>
      </c>
    </row>
    <row r="662" spans="1:4" s="823" customFormat="1" ht="22.5" x14ac:dyDescent="0.2">
      <c r="A662" s="920">
        <v>127709</v>
      </c>
      <c r="B662" s="922" t="s">
        <v>2102</v>
      </c>
      <c r="C662" s="921">
        <v>0</v>
      </c>
      <c r="D662" s="921">
        <v>34448.28</v>
      </c>
    </row>
    <row r="663" spans="1:4" s="823" customFormat="1" ht="11.25" x14ac:dyDescent="0.2">
      <c r="A663" s="920">
        <v>127710</v>
      </c>
      <c r="B663" s="922" t="s">
        <v>2105</v>
      </c>
      <c r="C663" s="921">
        <v>0</v>
      </c>
      <c r="D663" s="921">
        <v>834509.48</v>
      </c>
    </row>
    <row r="664" spans="1:4" s="823" customFormat="1" ht="11.25" x14ac:dyDescent="0.2">
      <c r="A664" s="920">
        <v>127711</v>
      </c>
      <c r="B664" s="922" t="s">
        <v>2106</v>
      </c>
      <c r="C664" s="921">
        <v>0</v>
      </c>
      <c r="D664" s="921">
        <v>1472663.79</v>
      </c>
    </row>
    <row r="665" spans="1:4" s="823" customFormat="1" ht="22.5" x14ac:dyDescent="0.2">
      <c r="A665" s="920">
        <v>127712</v>
      </c>
      <c r="B665" s="922" t="s">
        <v>2107</v>
      </c>
      <c r="C665" s="921">
        <v>0</v>
      </c>
      <c r="D665" s="921">
        <v>883598.28</v>
      </c>
    </row>
    <row r="666" spans="1:4" s="823" customFormat="1" ht="11.25" x14ac:dyDescent="0.2">
      <c r="A666" s="920">
        <v>127713</v>
      </c>
      <c r="B666" s="922" t="s">
        <v>2108</v>
      </c>
      <c r="C666" s="921">
        <v>0</v>
      </c>
      <c r="D666" s="921">
        <v>981775.86</v>
      </c>
    </row>
    <row r="667" spans="1:4" s="823" customFormat="1" ht="22.5" x14ac:dyDescent="0.2">
      <c r="A667" s="920">
        <v>127714</v>
      </c>
      <c r="B667" s="922" t="s">
        <v>2109</v>
      </c>
      <c r="C667" s="921">
        <v>0</v>
      </c>
      <c r="D667" s="921">
        <v>883598.28</v>
      </c>
    </row>
    <row r="668" spans="1:4" s="823" customFormat="1" ht="11.25" x14ac:dyDescent="0.2">
      <c r="A668" s="920">
        <v>127715</v>
      </c>
      <c r="B668" s="922" t="s">
        <v>2110</v>
      </c>
      <c r="C668" s="921">
        <v>0</v>
      </c>
      <c r="D668" s="921">
        <v>1276308.6200000001</v>
      </c>
    </row>
    <row r="669" spans="1:4" s="823" customFormat="1" ht="22.5" x14ac:dyDescent="0.2">
      <c r="A669" s="920">
        <v>127716</v>
      </c>
      <c r="B669" s="922" t="s">
        <v>2111</v>
      </c>
      <c r="C669" s="921">
        <v>0</v>
      </c>
      <c r="D669" s="921">
        <v>1963551.72</v>
      </c>
    </row>
    <row r="670" spans="1:4" s="823" customFormat="1" ht="11.25" x14ac:dyDescent="0.2">
      <c r="A670" s="920">
        <v>127717</v>
      </c>
      <c r="B670" s="922" t="s">
        <v>2112</v>
      </c>
      <c r="C670" s="921">
        <v>0</v>
      </c>
      <c r="D670" s="921">
        <v>883598.28</v>
      </c>
    </row>
    <row r="671" spans="1:4" s="823" customFormat="1" ht="11.25" x14ac:dyDescent="0.2">
      <c r="A671" s="920">
        <v>127718</v>
      </c>
      <c r="B671" s="922" t="s">
        <v>2105</v>
      </c>
      <c r="C671" s="921">
        <v>0</v>
      </c>
      <c r="D671" s="921">
        <v>14640.52</v>
      </c>
    </row>
    <row r="672" spans="1:4" s="823" customFormat="1" ht="11.25" x14ac:dyDescent="0.2">
      <c r="A672" s="920">
        <v>127719</v>
      </c>
      <c r="B672" s="922" t="s">
        <v>2110</v>
      </c>
      <c r="C672" s="921">
        <v>0</v>
      </c>
      <c r="D672" s="921">
        <v>22391.38</v>
      </c>
    </row>
    <row r="673" spans="1:4" s="823" customFormat="1" ht="11.25" x14ac:dyDescent="0.2">
      <c r="A673" s="920">
        <v>127720</v>
      </c>
      <c r="B673" s="922" t="s">
        <v>2106</v>
      </c>
      <c r="C673" s="921">
        <v>0</v>
      </c>
      <c r="D673" s="921">
        <v>25836.21</v>
      </c>
    </row>
    <row r="674" spans="1:4" s="823" customFormat="1" ht="22.5" x14ac:dyDescent="0.2">
      <c r="A674" s="920">
        <v>127721</v>
      </c>
      <c r="B674" s="922" t="s">
        <v>2111</v>
      </c>
      <c r="C674" s="921">
        <v>0</v>
      </c>
      <c r="D674" s="921">
        <v>34448.28</v>
      </c>
    </row>
    <row r="675" spans="1:4" s="823" customFormat="1" ht="22.5" x14ac:dyDescent="0.2">
      <c r="A675" s="920">
        <v>127722</v>
      </c>
      <c r="B675" s="922" t="s">
        <v>2109</v>
      </c>
      <c r="C675" s="921">
        <v>0</v>
      </c>
      <c r="D675" s="921">
        <v>15501.72</v>
      </c>
    </row>
    <row r="676" spans="1:4" s="823" customFormat="1" ht="11.25" x14ac:dyDescent="0.2">
      <c r="A676" s="920">
        <v>127723</v>
      </c>
      <c r="B676" s="922" t="s">
        <v>2108</v>
      </c>
      <c r="C676" s="921">
        <v>0</v>
      </c>
      <c r="D676" s="921">
        <v>17224.14</v>
      </c>
    </row>
    <row r="677" spans="1:4" s="823" customFormat="1" ht="11.25" x14ac:dyDescent="0.2">
      <c r="A677" s="920">
        <v>127724</v>
      </c>
      <c r="B677" s="922" t="s">
        <v>2112</v>
      </c>
      <c r="C677" s="921">
        <v>0</v>
      </c>
      <c r="D677" s="921">
        <v>15501.72</v>
      </c>
    </row>
    <row r="678" spans="1:4" s="823" customFormat="1" ht="22.5" x14ac:dyDescent="0.2">
      <c r="A678" s="920">
        <v>127725</v>
      </c>
      <c r="B678" s="922" t="s">
        <v>2107</v>
      </c>
      <c r="C678" s="921">
        <v>0</v>
      </c>
      <c r="D678" s="921">
        <v>15501.72</v>
      </c>
    </row>
    <row r="679" spans="1:4" s="823" customFormat="1" ht="11.25" x14ac:dyDescent="0.2">
      <c r="A679" s="920">
        <v>127726</v>
      </c>
      <c r="B679" s="922" t="s">
        <v>2113</v>
      </c>
      <c r="C679" s="921">
        <v>0</v>
      </c>
      <c r="D679" s="921">
        <v>981775.86</v>
      </c>
    </row>
    <row r="680" spans="1:4" s="823" customFormat="1" ht="11.25" x14ac:dyDescent="0.2">
      <c r="A680" s="920">
        <v>127727</v>
      </c>
      <c r="B680" s="922" t="s">
        <v>2114</v>
      </c>
      <c r="C680" s="921">
        <v>0</v>
      </c>
      <c r="D680" s="921">
        <v>883598.28</v>
      </c>
    </row>
    <row r="681" spans="1:4" s="823" customFormat="1" ht="11.25" x14ac:dyDescent="0.2">
      <c r="A681" s="920">
        <v>127728</v>
      </c>
      <c r="B681" s="922" t="s">
        <v>2115</v>
      </c>
      <c r="C681" s="921">
        <v>0</v>
      </c>
      <c r="D681" s="921">
        <v>981775.86</v>
      </c>
    </row>
    <row r="682" spans="1:4" s="823" customFormat="1" ht="22.5" x14ac:dyDescent="0.2">
      <c r="A682" s="920">
        <v>127729</v>
      </c>
      <c r="B682" s="922" t="s">
        <v>2116</v>
      </c>
      <c r="C682" s="921">
        <v>0</v>
      </c>
      <c r="D682" s="921">
        <v>883598.28</v>
      </c>
    </row>
    <row r="683" spans="1:4" s="823" customFormat="1" ht="11.25" x14ac:dyDescent="0.2">
      <c r="A683" s="920">
        <v>127730</v>
      </c>
      <c r="B683" s="922" t="s">
        <v>2117</v>
      </c>
      <c r="C683" s="921">
        <v>0</v>
      </c>
      <c r="D683" s="921">
        <v>883598.28</v>
      </c>
    </row>
    <row r="684" spans="1:4" s="823" customFormat="1" ht="11.25" x14ac:dyDescent="0.2">
      <c r="A684" s="920">
        <v>127731</v>
      </c>
      <c r="B684" s="922" t="s">
        <v>2118</v>
      </c>
      <c r="C684" s="921">
        <v>0</v>
      </c>
      <c r="D684" s="921">
        <v>981775.86</v>
      </c>
    </row>
    <row r="685" spans="1:4" s="823" customFormat="1" ht="11.25" x14ac:dyDescent="0.2">
      <c r="A685" s="920">
        <v>127732</v>
      </c>
      <c r="B685" s="922" t="s">
        <v>2119</v>
      </c>
      <c r="C685" s="921">
        <v>0</v>
      </c>
      <c r="D685" s="921">
        <v>1472663.79</v>
      </c>
    </row>
    <row r="686" spans="1:4" s="823" customFormat="1" ht="11.25" x14ac:dyDescent="0.2">
      <c r="A686" s="920">
        <v>127733</v>
      </c>
      <c r="B686" s="922" t="s">
        <v>2114</v>
      </c>
      <c r="C686" s="921">
        <v>0</v>
      </c>
      <c r="D686" s="921">
        <v>15501.72</v>
      </c>
    </row>
    <row r="687" spans="1:4" s="823" customFormat="1" ht="11.25" x14ac:dyDescent="0.2">
      <c r="A687" s="920">
        <v>127734</v>
      </c>
      <c r="B687" s="922" t="s">
        <v>2115</v>
      </c>
      <c r="C687" s="921">
        <v>0</v>
      </c>
      <c r="D687" s="921">
        <v>17224.14</v>
      </c>
    </row>
    <row r="688" spans="1:4" s="823" customFormat="1" ht="22.5" x14ac:dyDescent="0.2">
      <c r="A688" s="920">
        <v>127735</v>
      </c>
      <c r="B688" s="922" t="s">
        <v>2116</v>
      </c>
      <c r="C688" s="921">
        <v>0</v>
      </c>
      <c r="D688" s="921">
        <v>15501.72</v>
      </c>
    </row>
    <row r="689" spans="1:4" s="823" customFormat="1" ht="11.25" x14ac:dyDescent="0.2">
      <c r="A689" s="920">
        <v>127736</v>
      </c>
      <c r="B689" s="922" t="s">
        <v>2119</v>
      </c>
      <c r="C689" s="921">
        <v>0</v>
      </c>
      <c r="D689" s="921">
        <v>25836.21</v>
      </c>
    </row>
    <row r="690" spans="1:4" s="823" customFormat="1" ht="11.25" x14ac:dyDescent="0.2">
      <c r="A690" s="920">
        <v>127737</v>
      </c>
      <c r="B690" s="922" t="s">
        <v>2113</v>
      </c>
      <c r="C690" s="921">
        <v>0</v>
      </c>
      <c r="D690" s="921">
        <v>17224.14</v>
      </c>
    </row>
    <row r="691" spans="1:4" s="823" customFormat="1" ht="11.25" x14ac:dyDescent="0.2">
      <c r="A691" s="920">
        <v>127738</v>
      </c>
      <c r="B691" s="922" t="s">
        <v>2118</v>
      </c>
      <c r="C691" s="921">
        <v>0</v>
      </c>
      <c r="D691" s="921">
        <v>17224.14</v>
      </c>
    </row>
    <row r="692" spans="1:4" s="823" customFormat="1" ht="11.25" x14ac:dyDescent="0.2">
      <c r="A692" s="920">
        <v>127739</v>
      </c>
      <c r="B692" s="922" t="s">
        <v>2117</v>
      </c>
      <c r="C692" s="921">
        <v>0</v>
      </c>
      <c r="D692" s="921">
        <v>15501.72</v>
      </c>
    </row>
    <row r="693" spans="1:4" s="823" customFormat="1" ht="11.25" x14ac:dyDescent="0.2">
      <c r="A693" s="920">
        <v>127740</v>
      </c>
      <c r="B693" s="922" t="s">
        <v>2120</v>
      </c>
      <c r="C693" s="921">
        <v>0</v>
      </c>
      <c r="D693" s="921">
        <v>981775.86</v>
      </c>
    </row>
    <row r="694" spans="1:4" s="823" customFormat="1" ht="11.25" x14ac:dyDescent="0.2">
      <c r="A694" s="920">
        <v>127741</v>
      </c>
      <c r="B694" s="922" t="s">
        <v>2121</v>
      </c>
      <c r="C694" s="921">
        <v>0</v>
      </c>
      <c r="D694" s="921">
        <v>883598.28</v>
      </c>
    </row>
    <row r="695" spans="1:4" s="823" customFormat="1" ht="22.5" x14ac:dyDescent="0.2">
      <c r="A695" s="920">
        <v>127742</v>
      </c>
      <c r="B695" s="922" t="s">
        <v>2122</v>
      </c>
      <c r="C695" s="921">
        <v>0</v>
      </c>
      <c r="D695" s="921">
        <v>883598.28</v>
      </c>
    </row>
    <row r="696" spans="1:4" s="823" customFormat="1" ht="11.25" x14ac:dyDescent="0.2">
      <c r="A696" s="920">
        <v>127743</v>
      </c>
      <c r="B696" s="922" t="s">
        <v>2123</v>
      </c>
      <c r="C696" s="921">
        <v>0</v>
      </c>
      <c r="D696" s="921">
        <v>1178131.03</v>
      </c>
    </row>
    <row r="697" spans="1:4" s="823" customFormat="1" ht="22.5" x14ac:dyDescent="0.2">
      <c r="A697" s="920">
        <v>127744</v>
      </c>
      <c r="B697" s="922" t="s">
        <v>2124</v>
      </c>
      <c r="C697" s="921">
        <v>0</v>
      </c>
      <c r="D697" s="921">
        <v>1472663.79</v>
      </c>
    </row>
    <row r="698" spans="1:4" s="823" customFormat="1" ht="22.5" x14ac:dyDescent="0.2">
      <c r="A698" s="920">
        <v>127745</v>
      </c>
      <c r="B698" s="922" t="s">
        <v>2125</v>
      </c>
      <c r="C698" s="921">
        <v>0</v>
      </c>
      <c r="D698" s="921">
        <v>981775.86</v>
      </c>
    </row>
    <row r="699" spans="1:4" s="823" customFormat="1" ht="11.25" x14ac:dyDescent="0.2">
      <c r="A699" s="920">
        <v>127746</v>
      </c>
      <c r="B699" s="922" t="s">
        <v>2126</v>
      </c>
      <c r="C699" s="921">
        <v>0</v>
      </c>
      <c r="D699" s="921">
        <v>2454439.66</v>
      </c>
    </row>
    <row r="700" spans="1:4" s="823" customFormat="1" ht="11.25" x14ac:dyDescent="0.2">
      <c r="A700" s="920">
        <v>127747</v>
      </c>
      <c r="B700" s="922" t="s">
        <v>2121</v>
      </c>
      <c r="C700" s="921">
        <v>0</v>
      </c>
      <c r="D700" s="921">
        <v>15501.72</v>
      </c>
    </row>
    <row r="701" spans="1:4" s="823" customFormat="1" ht="22.5" x14ac:dyDescent="0.2">
      <c r="A701" s="920">
        <v>127748</v>
      </c>
      <c r="B701" s="922" t="s">
        <v>2125</v>
      </c>
      <c r="C701" s="921">
        <v>0</v>
      </c>
      <c r="D701" s="921">
        <v>17224.14</v>
      </c>
    </row>
    <row r="702" spans="1:4" s="823" customFormat="1" ht="11.25" x14ac:dyDescent="0.2">
      <c r="A702" s="920">
        <v>127749</v>
      </c>
      <c r="B702" s="922" t="s">
        <v>2120</v>
      </c>
      <c r="C702" s="921">
        <v>0</v>
      </c>
      <c r="D702" s="921">
        <v>17224.14</v>
      </c>
    </row>
    <row r="703" spans="1:4" s="823" customFormat="1" ht="11.25" x14ac:dyDescent="0.2">
      <c r="A703" s="920">
        <v>127750</v>
      </c>
      <c r="B703" s="922" t="s">
        <v>2126</v>
      </c>
      <c r="C703" s="921">
        <v>0</v>
      </c>
      <c r="D703" s="921">
        <v>43060.34</v>
      </c>
    </row>
    <row r="704" spans="1:4" s="823" customFormat="1" ht="22.5" x14ac:dyDescent="0.2">
      <c r="A704" s="920">
        <v>127751</v>
      </c>
      <c r="B704" s="922" t="s">
        <v>2122</v>
      </c>
      <c r="C704" s="921">
        <v>0</v>
      </c>
      <c r="D704" s="921">
        <v>15501.72</v>
      </c>
    </row>
    <row r="705" spans="1:4" s="823" customFormat="1" ht="11.25" x14ac:dyDescent="0.2">
      <c r="A705" s="920">
        <v>127752</v>
      </c>
      <c r="B705" s="922" t="s">
        <v>2123</v>
      </c>
      <c r="C705" s="921">
        <v>0</v>
      </c>
      <c r="D705" s="921">
        <v>20668.97</v>
      </c>
    </row>
    <row r="706" spans="1:4" s="823" customFormat="1" ht="22.5" x14ac:dyDescent="0.2">
      <c r="A706" s="920">
        <v>127753</v>
      </c>
      <c r="B706" s="922" t="s">
        <v>2124</v>
      </c>
      <c r="C706" s="921">
        <v>0</v>
      </c>
      <c r="D706" s="921">
        <v>25836.21</v>
      </c>
    </row>
    <row r="707" spans="1:4" s="823" customFormat="1" ht="11.25" x14ac:dyDescent="0.2">
      <c r="A707" s="920">
        <v>127754</v>
      </c>
      <c r="B707" s="922" t="s">
        <v>2127</v>
      </c>
      <c r="C707" s="921">
        <v>0</v>
      </c>
      <c r="D707" s="921">
        <v>10799534.48</v>
      </c>
    </row>
    <row r="708" spans="1:4" s="823" customFormat="1" ht="22.5" x14ac:dyDescent="0.2">
      <c r="A708" s="920">
        <v>127755</v>
      </c>
      <c r="B708" s="922" t="s">
        <v>2128</v>
      </c>
      <c r="C708" s="921">
        <v>0</v>
      </c>
      <c r="D708" s="921">
        <v>1374486.21</v>
      </c>
    </row>
    <row r="709" spans="1:4" s="823" customFormat="1" ht="11.25" x14ac:dyDescent="0.2">
      <c r="A709" s="920">
        <v>127756</v>
      </c>
      <c r="B709" s="922" t="s">
        <v>2129</v>
      </c>
      <c r="C709" s="921">
        <v>0</v>
      </c>
      <c r="D709" s="921">
        <v>981775.86</v>
      </c>
    </row>
    <row r="710" spans="1:4" s="823" customFormat="1" ht="22.5" x14ac:dyDescent="0.2">
      <c r="A710" s="920">
        <v>127757</v>
      </c>
      <c r="B710" s="922" t="s">
        <v>2130</v>
      </c>
      <c r="C710" s="921">
        <v>0</v>
      </c>
      <c r="D710" s="921">
        <v>981775.86</v>
      </c>
    </row>
    <row r="711" spans="1:4" s="823" customFormat="1" ht="11.25" x14ac:dyDescent="0.2">
      <c r="A711" s="920">
        <v>127758</v>
      </c>
      <c r="B711" s="922" t="s">
        <v>2131</v>
      </c>
      <c r="C711" s="921">
        <v>0</v>
      </c>
      <c r="D711" s="921">
        <v>981775.86</v>
      </c>
    </row>
    <row r="712" spans="1:4" s="823" customFormat="1" ht="11.25" x14ac:dyDescent="0.2">
      <c r="A712" s="920">
        <v>127759</v>
      </c>
      <c r="B712" s="922" t="s">
        <v>2132</v>
      </c>
      <c r="C712" s="921">
        <v>0</v>
      </c>
      <c r="D712" s="921">
        <v>883598.28</v>
      </c>
    </row>
    <row r="713" spans="1:4" s="823" customFormat="1" ht="11.25" x14ac:dyDescent="0.2">
      <c r="A713" s="920">
        <v>127760</v>
      </c>
      <c r="B713" s="922" t="s">
        <v>2133</v>
      </c>
      <c r="C713" s="921">
        <v>0</v>
      </c>
      <c r="D713" s="921">
        <v>883598.28</v>
      </c>
    </row>
    <row r="714" spans="1:4" s="823" customFormat="1" ht="11.25" x14ac:dyDescent="0.2">
      <c r="A714" s="920">
        <v>127761</v>
      </c>
      <c r="B714" s="922" t="s">
        <v>2132</v>
      </c>
      <c r="C714" s="921">
        <v>0</v>
      </c>
      <c r="D714" s="921">
        <v>15501.72</v>
      </c>
    </row>
    <row r="715" spans="1:4" s="823" customFormat="1" ht="11.25" x14ac:dyDescent="0.2">
      <c r="A715" s="920">
        <v>127762</v>
      </c>
      <c r="B715" s="922" t="s">
        <v>2133</v>
      </c>
      <c r="C715" s="921">
        <v>0</v>
      </c>
      <c r="D715" s="921">
        <v>15501.72</v>
      </c>
    </row>
    <row r="716" spans="1:4" s="823" customFormat="1" ht="22.5" x14ac:dyDescent="0.2">
      <c r="A716" s="920">
        <v>127763</v>
      </c>
      <c r="B716" s="922" t="s">
        <v>2130</v>
      </c>
      <c r="C716" s="921">
        <v>0</v>
      </c>
      <c r="D716" s="921">
        <v>17224.14</v>
      </c>
    </row>
    <row r="717" spans="1:4" s="823" customFormat="1" ht="11.25" x14ac:dyDescent="0.2">
      <c r="A717" s="920">
        <v>127764</v>
      </c>
      <c r="B717" s="922" t="s">
        <v>2129</v>
      </c>
      <c r="C717" s="921">
        <v>0</v>
      </c>
      <c r="D717" s="921">
        <v>17224.14</v>
      </c>
    </row>
    <row r="718" spans="1:4" s="823" customFormat="1" ht="11.25" x14ac:dyDescent="0.2">
      <c r="A718" s="920">
        <v>127765</v>
      </c>
      <c r="B718" s="922" t="s">
        <v>2131</v>
      </c>
      <c r="C718" s="921">
        <v>0</v>
      </c>
      <c r="D718" s="921">
        <v>17224.14</v>
      </c>
    </row>
    <row r="719" spans="1:4" s="823" customFormat="1" ht="22.5" x14ac:dyDescent="0.2">
      <c r="A719" s="920">
        <v>127766</v>
      </c>
      <c r="B719" s="922" t="s">
        <v>2128</v>
      </c>
      <c r="C719" s="921">
        <v>0</v>
      </c>
      <c r="D719" s="921">
        <v>24113.79</v>
      </c>
    </row>
    <row r="720" spans="1:4" s="823" customFormat="1" ht="11.25" x14ac:dyDescent="0.2">
      <c r="A720" s="920">
        <v>127767</v>
      </c>
      <c r="B720" s="922" t="s">
        <v>2127</v>
      </c>
      <c r="C720" s="921">
        <v>0</v>
      </c>
      <c r="D720" s="921">
        <v>189465.52</v>
      </c>
    </row>
    <row r="721" spans="1:4" s="823" customFormat="1" ht="22.5" x14ac:dyDescent="0.2">
      <c r="A721" s="920">
        <v>127768</v>
      </c>
      <c r="B721" s="922" t="s">
        <v>2134</v>
      </c>
      <c r="C721" s="921">
        <v>0</v>
      </c>
      <c r="D721" s="921">
        <v>785420.69</v>
      </c>
    </row>
    <row r="722" spans="1:4" s="823" customFormat="1" ht="11.25" x14ac:dyDescent="0.2">
      <c r="A722" s="920">
        <v>127769</v>
      </c>
      <c r="B722" s="922" t="s">
        <v>2135</v>
      </c>
      <c r="C722" s="921">
        <v>0</v>
      </c>
      <c r="D722" s="921">
        <v>883598.28</v>
      </c>
    </row>
    <row r="723" spans="1:4" s="823" customFormat="1" ht="11.25" x14ac:dyDescent="0.2">
      <c r="A723" s="920">
        <v>127770</v>
      </c>
      <c r="B723" s="922" t="s">
        <v>2136</v>
      </c>
      <c r="C723" s="921">
        <v>0</v>
      </c>
      <c r="D723" s="921">
        <v>981775.86</v>
      </c>
    </row>
    <row r="724" spans="1:4" s="823" customFormat="1" ht="11.25" x14ac:dyDescent="0.2">
      <c r="A724" s="920">
        <v>127771</v>
      </c>
      <c r="B724" s="922" t="s">
        <v>2137</v>
      </c>
      <c r="C724" s="921">
        <v>0</v>
      </c>
      <c r="D724" s="921">
        <v>981775.86</v>
      </c>
    </row>
    <row r="725" spans="1:4" s="823" customFormat="1" ht="22.5" x14ac:dyDescent="0.2">
      <c r="A725" s="920">
        <v>127772</v>
      </c>
      <c r="B725" s="922" t="s">
        <v>2138</v>
      </c>
      <c r="C725" s="921">
        <v>0</v>
      </c>
      <c r="D725" s="921">
        <v>981775.86</v>
      </c>
    </row>
    <row r="726" spans="1:4" s="823" customFormat="1" ht="22.5" x14ac:dyDescent="0.2">
      <c r="A726" s="920">
        <v>127773</v>
      </c>
      <c r="B726" s="922" t="s">
        <v>2139</v>
      </c>
      <c r="C726" s="921">
        <v>0</v>
      </c>
      <c r="D726" s="921">
        <v>981775.86</v>
      </c>
    </row>
    <row r="727" spans="1:4" s="823" customFormat="1" ht="22.5" x14ac:dyDescent="0.2">
      <c r="A727" s="920">
        <v>127774</v>
      </c>
      <c r="B727" s="922" t="s">
        <v>2140</v>
      </c>
      <c r="C727" s="921">
        <v>0</v>
      </c>
      <c r="D727" s="921">
        <v>11977665.52</v>
      </c>
    </row>
    <row r="728" spans="1:4" s="823" customFormat="1" ht="22.5" x14ac:dyDescent="0.2">
      <c r="A728" s="920">
        <v>127775</v>
      </c>
      <c r="B728" s="922" t="s">
        <v>2139</v>
      </c>
      <c r="C728" s="921">
        <v>0</v>
      </c>
      <c r="D728" s="921">
        <v>17224.14</v>
      </c>
    </row>
    <row r="729" spans="1:4" s="823" customFormat="1" ht="11.25" x14ac:dyDescent="0.2">
      <c r="A729" s="920">
        <v>127776</v>
      </c>
      <c r="B729" s="922" t="s">
        <v>2136</v>
      </c>
      <c r="C729" s="921">
        <v>0</v>
      </c>
      <c r="D729" s="921">
        <v>17224.14</v>
      </c>
    </row>
    <row r="730" spans="1:4" s="823" customFormat="1" ht="11.25" x14ac:dyDescent="0.2">
      <c r="A730" s="920">
        <v>127777</v>
      </c>
      <c r="B730" s="922" t="s">
        <v>2135</v>
      </c>
      <c r="C730" s="921">
        <v>0</v>
      </c>
      <c r="D730" s="921">
        <v>15501.72</v>
      </c>
    </row>
    <row r="731" spans="1:4" s="823" customFormat="1" ht="22.5" x14ac:dyDescent="0.2">
      <c r="A731" s="920">
        <v>127778</v>
      </c>
      <c r="B731" s="922" t="s">
        <v>2140</v>
      </c>
      <c r="C731" s="921">
        <v>0</v>
      </c>
      <c r="D731" s="921">
        <v>210134.48</v>
      </c>
    </row>
    <row r="732" spans="1:4" s="823" customFormat="1" ht="22.5" x14ac:dyDescent="0.2">
      <c r="A732" s="920">
        <v>127779</v>
      </c>
      <c r="B732" s="922" t="s">
        <v>2134</v>
      </c>
      <c r="C732" s="921">
        <v>0</v>
      </c>
      <c r="D732" s="921">
        <v>13779.31</v>
      </c>
    </row>
    <row r="733" spans="1:4" s="823" customFormat="1" ht="11.25" x14ac:dyDescent="0.2">
      <c r="A733" s="920">
        <v>127780</v>
      </c>
      <c r="B733" s="922" t="s">
        <v>2137</v>
      </c>
      <c r="C733" s="921">
        <v>0</v>
      </c>
      <c r="D733" s="921">
        <v>17224.14</v>
      </c>
    </row>
    <row r="734" spans="1:4" s="823" customFormat="1" ht="22.5" x14ac:dyDescent="0.2">
      <c r="A734" s="920">
        <v>127781</v>
      </c>
      <c r="B734" s="922" t="s">
        <v>2138</v>
      </c>
      <c r="C734" s="921">
        <v>0</v>
      </c>
      <c r="D734" s="921">
        <v>17224.14</v>
      </c>
    </row>
    <row r="735" spans="1:4" s="823" customFormat="1" ht="11.25" x14ac:dyDescent="0.2">
      <c r="A735" s="920">
        <v>127782</v>
      </c>
      <c r="B735" s="922" t="s">
        <v>2141</v>
      </c>
      <c r="C735" s="921">
        <v>0</v>
      </c>
      <c r="D735" s="921">
        <v>981775.86</v>
      </c>
    </row>
    <row r="736" spans="1:4" s="823" customFormat="1" ht="11.25" x14ac:dyDescent="0.2">
      <c r="A736" s="920">
        <v>127783</v>
      </c>
      <c r="B736" s="922" t="s">
        <v>2142</v>
      </c>
      <c r="C736" s="921">
        <v>0</v>
      </c>
      <c r="D736" s="921">
        <v>883598.28</v>
      </c>
    </row>
    <row r="737" spans="1:4" s="823" customFormat="1" ht="11.25" x14ac:dyDescent="0.2">
      <c r="A737" s="920">
        <v>127784</v>
      </c>
      <c r="B737" s="922" t="s">
        <v>2143</v>
      </c>
      <c r="C737" s="921">
        <v>0</v>
      </c>
      <c r="D737" s="921">
        <v>981775.86</v>
      </c>
    </row>
    <row r="738" spans="1:4" s="823" customFormat="1" ht="22.5" x14ac:dyDescent="0.2">
      <c r="A738" s="920">
        <v>127785</v>
      </c>
      <c r="B738" s="922" t="s">
        <v>2144</v>
      </c>
      <c r="C738" s="921">
        <v>0</v>
      </c>
      <c r="D738" s="921">
        <v>981775.86</v>
      </c>
    </row>
    <row r="739" spans="1:4" s="823" customFormat="1" ht="11.25" x14ac:dyDescent="0.2">
      <c r="A739" s="920">
        <v>127786</v>
      </c>
      <c r="B739" s="922" t="s">
        <v>2145</v>
      </c>
      <c r="C739" s="921">
        <v>0</v>
      </c>
      <c r="D739" s="921">
        <v>981775.86</v>
      </c>
    </row>
    <row r="740" spans="1:4" s="823" customFormat="1" ht="22.5" x14ac:dyDescent="0.2">
      <c r="A740" s="920">
        <v>127787</v>
      </c>
      <c r="B740" s="922" t="s">
        <v>2146</v>
      </c>
      <c r="C740" s="921">
        <v>0</v>
      </c>
      <c r="D740" s="921">
        <v>2454439.66</v>
      </c>
    </row>
    <row r="741" spans="1:4" s="823" customFormat="1" ht="11.25" x14ac:dyDescent="0.2">
      <c r="A741" s="920">
        <v>127788</v>
      </c>
      <c r="B741" s="922" t="s">
        <v>2147</v>
      </c>
      <c r="C741" s="921">
        <v>0</v>
      </c>
      <c r="D741" s="921">
        <v>883598.28</v>
      </c>
    </row>
    <row r="742" spans="1:4" s="823" customFormat="1" ht="11.25" x14ac:dyDescent="0.2">
      <c r="A742" s="920">
        <v>127789</v>
      </c>
      <c r="B742" s="922" t="s">
        <v>2141</v>
      </c>
      <c r="C742" s="921">
        <v>0</v>
      </c>
      <c r="D742" s="921">
        <v>17224.14</v>
      </c>
    </row>
    <row r="743" spans="1:4" s="823" customFormat="1" ht="22.5" x14ac:dyDescent="0.2">
      <c r="A743" s="920">
        <v>127790</v>
      </c>
      <c r="B743" s="922" t="s">
        <v>2144</v>
      </c>
      <c r="C743" s="921">
        <v>0</v>
      </c>
      <c r="D743" s="921">
        <v>17224.14</v>
      </c>
    </row>
    <row r="744" spans="1:4" s="823" customFormat="1" ht="22.5" x14ac:dyDescent="0.2">
      <c r="A744" s="920">
        <v>127791</v>
      </c>
      <c r="B744" s="922" t="s">
        <v>2146</v>
      </c>
      <c r="C744" s="921">
        <v>0</v>
      </c>
      <c r="D744" s="921">
        <v>43060.34</v>
      </c>
    </row>
    <row r="745" spans="1:4" s="823" customFormat="1" ht="11.25" x14ac:dyDescent="0.2">
      <c r="A745" s="920">
        <v>127792</v>
      </c>
      <c r="B745" s="922" t="s">
        <v>2145</v>
      </c>
      <c r="C745" s="921">
        <v>0</v>
      </c>
      <c r="D745" s="921">
        <v>17224.14</v>
      </c>
    </row>
    <row r="746" spans="1:4" s="823" customFormat="1" ht="11.25" x14ac:dyDescent="0.2">
      <c r="A746" s="920">
        <v>127793</v>
      </c>
      <c r="B746" s="922" t="s">
        <v>2142</v>
      </c>
      <c r="C746" s="921">
        <v>0</v>
      </c>
      <c r="D746" s="921">
        <v>15501.72</v>
      </c>
    </row>
    <row r="747" spans="1:4" s="823" customFormat="1" ht="11.25" x14ac:dyDescent="0.2">
      <c r="A747" s="920">
        <v>127794</v>
      </c>
      <c r="B747" s="922" t="s">
        <v>2147</v>
      </c>
      <c r="C747" s="921">
        <v>0</v>
      </c>
      <c r="D747" s="921">
        <v>15501.72</v>
      </c>
    </row>
    <row r="748" spans="1:4" s="823" customFormat="1" ht="11.25" x14ac:dyDescent="0.2">
      <c r="A748" s="920">
        <v>127795</v>
      </c>
      <c r="B748" s="922" t="s">
        <v>2143</v>
      </c>
      <c r="C748" s="921">
        <v>0</v>
      </c>
      <c r="D748" s="921">
        <v>17224.14</v>
      </c>
    </row>
    <row r="749" spans="1:4" s="823" customFormat="1" ht="22.5" x14ac:dyDescent="0.2">
      <c r="A749" s="920">
        <v>127798</v>
      </c>
      <c r="B749" s="922" t="s">
        <v>2148</v>
      </c>
      <c r="C749" s="921">
        <v>416100</v>
      </c>
      <c r="D749" s="921">
        <v>0</v>
      </c>
    </row>
    <row r="750" spans="1:4" s="823" customFormat="1" ht="22.5" x14ac:dyDescent="0.2">
      <c r="A750" s="920">
        <v>127799</v>
      </c>
      <c r="B750" s="922" t="s">
        <v>2149</v>
      </c>
      <c r="C750" s="921">
        <v>296314.65000000002</v>
      </c>
      <c r="D750" s="921">
        <v>0</v>
      </c>
    </row>
    <row r="751" spans="1:4" s="823" customFormat="1" ht="11.25" x14ac:dyDescent="0.2">
      <c r="A751" s="920">
        <v>127808</v>
      </c>
      <c r="B751" s="922" t="s">
        <v>2150</v>
      </c>
      <c r="C751" s="921">
        <v>243071.69</v>
      </c>
      <c r="D751" s="921">
        <v>0</v>
      </c>
    </row>
    <row r="752" spans="1:4" s="823" customFormat="1" ht="11.25" x14ac:dyDescent="0.2">
      <c r="A752" s="920">
        <v>127955</v>
      </c>
      <c r="B752" s="922" t="s">
        <v>2151</v>
      </c>
      <c r="C752" s="921">
        <v>0</v>
      </c>
      <c r="D752" s="921">
        <v>11898367.189999999</v>
      </c>
    </row>
    <row r="753" spans="1:4" s="823" customFormat="1" ht="11.25" x14ac:dyDescent="0.2">
      <c r="A753" s="920">
        <v>127956</v>
      </c>
      <c r="B753" s="922" t="s">
        <v>2151</v>
      </c>
      <c r="C753" s="921">
        <v>0</v>
      </c>
      <c r="D753" s="921">
        <v>208743.28</v>
      </c>
    </row>
    <row r="754" spans="1:4" s="823" customFormat="1" ht="11.25" x14ac:dyDescent="0.2">
      <c r="A754" s="920">
        <v>127957</v>
      </c>
      <c r="B754" s="922" t="s">
        <v>2152</v>
      </c>
      <c r="C754" s="921">
        <v>0</v>
      </c>
      <c r="D754" s="921">
        <v>9602419.8300000001</v>
      </c>
    </row>
    <row r="755" spans="1:4" s="823" customFormat="1" ht="11.25" x14ac:dyDescent="0.2">
      <c r="A755" s="920">
        <v>127958</v>
      </c>
      <c r="B755" s="922" t="s">
        <v>2152</v>
      </c>
      <c r="C755" s="921">
        <v>0</v>
      </c>
      <c r="D755" s="921">
        <v>168463.51</v>
      </c>
    </row>
    <row r="756" spans="1:4" s="823" customFormat="1" ht="11.25" x14ac:dyDescent="0.2">
      <c r="A756" s="920">
        <v>127959</v>
      </c>
      <c r="B756" s="922" t="s">
        <v>2153</v>
      </c>
      <c r="C756" s="921">
        <v>0</v>
      </c>
      <c r="D756" s="921">
        <v>8139025.2199999997</v>
      </c>
    </row>
    <row r="757" spans="1:4" s="823" customFormat="1" ht="11.25" x14ac:dyDescent="0.2">
      <c r="A757" s="920">
        <v>127960</v>
      </c>
      <c r="B757" s="922" t="s">
        <v>2153</v>
      </c>
      <c r="C757" s="921">
        <v>0</v>
      </c>
      <c r="D757" s="921">
        <v>142789.92000000001</v>
      </c>
    </row>
    <row r="758" spans="1:4" s="823" customFormat="1" ht="11.25" x14ac:dyDescent="0.2">
      <c r="A758" s="920">
        <v>127961</v>
      </c>
      <c r="B758" s="922" t="s">
        <v>2154</v>
      </c>
      <c r="C758" s="921">
        <v>0</v>
      </c>
      <c r="D758" s="921">
        <v>8835982.7599999998</v>
      </c>
    </row>
    <row r="759" spans="1:4" s="823" customFormat="1" ht="11.25" x14ac:dyDescent="0.2">
      <c r="A759" s="920">
        <v>127962</v>
      </c>
      <c r="B759" s="922" t="s">
        <v>2154</v>
      </c>
      <c r="C759" s="921">
        <v>0</v>
      </c>
      <c r="D759" s="921">
        <v>155017.24</v>
      </c>
    </row>
    <row r="760" spans="1:4" s="823" customFormat="1" ht="11.25" x14ac:dyDescent="0.2">
      <c r="A760" s="920">
        <v>127963</v>
      </c>
      <c r="B760" s="922" t="s">
        <v>2155</v>
      </c>
      <c r="C760" s="921">
        <v>0</v>
      </c>
      <c r="D760" s="921">
        <v>6872431.0300000003</v>
      </c>
    </row>
    <row r="761" spans="1:4" s="823" customFormat="1" ht="11.25" x14ac:dyDescent="0.2">
      <c r="A761" s="920">
        <v>127964</v>
      </c>
      <c r="B761" s="922" t="s">
        <v>2155</v>
      </c>
      <c r="C761" s="921">
        <v>0</v>
      </c>
      <c r="D761" s="921">
        <v>120568.97</v>
      </c>
    </row>
    <row r="762" spans="1:4" s="823" customFormat="1" ht="22.5" x14ac:dyDescent="0.2">
      <c r="A762" s="920">
        <v>128064</v>
      </c>
      <c r="B762" s="922" t="s">
        <v>2156</v>
      </c>
      <c r="C762" s="921">
        <v>258891.61</v>
      </c>
      <c r="D762" s="921">
        <v>0</v>
      </c>
    </row>
    <row r="763" spans="1:4" s="823" customFormat="1" ht="11.25" x14ac:dyDescent="0.2">
      <c r="A763" s="920">
        <v>128065</v>
      </c>
      <c r="B763" s="922" t="s">
        <v>2157</v>
      </c>
      <c r="C763" s="921">
        <v>416488.13</v>
      </c>
      <c r="D763" s="921">
        <v>0</v>
      </c>
    </row>
    <row r="764" spans="1:4" s="823" customFormat="1" ht="22.5" x14ac:dyDescent="0.2">
      <c r="A764" s="920">
        <v>128066</v>
      </c>
      <c r="B764" s="922" t="s">
        <v>2158</v>
      </c>
      <c r="C764" s="921">
        <v>696670.27</v>
      </c>
      <c r="D764" s="921">
        <v>0</v>
      </c>
    </row>
    <row r="765" spans="1:4" s="823" customFormat="1" ht="22.5" x14ac:dyDescent="0.2">
      <c r="A765" s="920">
        <v>128067</v>
      </c>
      <c r="B765" s="922" t="s">
        <v>2159</v>
      </c>
      <c r="C765" s="921">
        <v>72365.59</v>
      </c>
      <c r="D765" s="921">
        <v>0</v>
      </c>
    </row>
    <row r="766" spans="1:4" s="823" customFormat="1" ht="22.5" x14ac:dyDescent="0.2">
      <c r="A766" s="920">
        <v>128068</v>
      </c>
      <c r="B766" s="922" t="s">
        <v>2160</v>
      </c>
      <c r="C766" s="921">
        <v>107824.24</v>
      </c>
      <c r="D766" s="921">
        <v>0</v>
      </c>
    </row>
    <row r="767" spans="1:4" s="823" customFormat="1" ht="22.5" x14ac:dyDescent="0.2">
      <c r="A767" s="920">
        <v>128069</v>
      </c>
      <c r="B767" s="922" t="s">
        <v>2161</v>
      </c>
      <c r="C767" s="921">
        <v>35175.72</v>
      </c>
      <c r="D767" s="921">
        <v>0</v>
      </c>
    </row>
    <row r="768" spans="1:4" s="823" customFormat="1" ht="22.5" x14ac:dyDescent="0.2">
      <c r="A768" s="920">
        <v>128070</v>
      </c>
      <c r="B768" s="922" t="s">
        <v>2162</v>
      </c>
      <c r="C768" s="921">
        <v>72526.33</v>
      </c>
      <c r="D768" s="921">
        <v>0</v>
      </c>
    </row>
    <row r="769" spans="1:4" s="823" customFormat="1" ht="22.5" x14ac:dyDescent="0.2">
      <c r="A769" s="920">
        <v>128071</v>
      </c>
      <c r="B769" s="922" t="s">
        <v>2163</v>
      </c>
      <c r="C769" s="921">
        <v>205750.49</v>
      </c>
      <c r="D769" s="921">
        <v>0</v>
      </c>
    </row>
    <row r="770" spans="1:4" s="823" customFormat="1" ht="11.25" x14ac:dyDescent="0.2">
      <c r="A770" s="920">
        <v>128072</v>
      </c>
      <c r="B770" s="922" t="s">
        <v>2164</v>
      </c>
      <c r="C770" s="921">
        <v>30321.71</v>
      </c>
      <c r="D770" s="921">
        <v>0</v>
      </c>
    </row>
    <row r="771" spans="1:4" s="919" customFormat="1" x14ac:dyDescent="0.2">
      <c r="A771" s="920">
        <v>128073</v>
      </c>
      <c r="B771" s="922" t="s">
        <v>2187</v>
      </c>
      <c r="C771" s="921">
        <v>221969.47999999998</v>
      </c>
      <c r="D771" s="921">
        <v>0</v>
      </c>
    </row>
    <row r="772" spans="1:4" s="919" customFormat="1" ht="22.5" x14ac:dyDescent="0.2">
      <c r="A772" s="920">
        <v>128074</v>
      </c>
      <c r="B772" s="922" t="s">
        <v>2188</v>
      </c>
      <c r="C772" s="921">
        <v>295837.41000000003</v>
      </c>
      <c r="D772" s="921">
        <v>0</v>
      </c>
    </row>
    <row r="773" spans="1:4" s="919" customFormat="1" x14ac:dyDescent="0.2">
      <c r="A773" s="920">
        <v>128075</v>
      </c>
      <c r="B773" s="922" t="s">
        <v>2189</v>
      </c>
      <c r="C773" s="921">
        <v>127001.83</v>
      </c>
      <c r="D773" s="921">
        <v>0</v>
      </c>
    </row>
    <row r="774" spans="1:4" s="919" customFormat="1" ht="22.5" x14ac:dyDescent="0.2">
      <c r="A774" s="920">
        <v>128076</v>
      </c>
      <c r="B774" s="922" t="s">
        <v>2190</v>
      </c>
      <c r="C774" s="921">
        <v>40651.369999999995</v>
      </c>
      <c r="D774" s="921">
        <v>0</v>
      </c>
    </row>
    <row r="775" spans="1:4" s="919" customFormat="1" ht="22.5" x14ac:dyDescent="0.2">
      <c r="A775" s="920">
        <v>128077</v>
      </c>
      <c r="B775" s="922" t="s">
        <v>2191</v>
      </c>
      <c r="C775" s="921">
        <v>100373.73999999999</v>
      </c>
      <c r="D775" s="921">
        <v>0</v>
      </c>
    </row>
    <row r="776" spans="1:4" s="919" customFormat="1" x14ac:dyDescent="0.2">
      <c r="A776" s="920">
        <v>128078</v>
      </c>
      <c r="B776" s="922" t="s">
        <v>2192</v>
      </c>
      <c r="C776" s="921">
        <v>121749.28</v>
      </c>
      <c r="D776" s="921">
        <v>0</v>
      </c>
    </row>
    <row r="777" spans="1:4" s="919" customFormat="1" x14ac:dyDescent="0.2">
      <c r="A777" s="920">
        <v>128079</v>
      </c>
      <c r="B777" s="922" t="s">
        <v>2193</v>
      </c>
      <c r="C777" s="921">
        <v>155644.04</v>
      </c>
      <c r="D777" s="921">
        <v>0</v>
      </c>
    </row>
    <row r="778" spans="1:4" s="919" customFormat="1" ht="22.5" x14ac:dyDescent="0.2">
      <c r="A778" s="920">
        <v>128080</v>
      </c>
      <c r="B778" s="922" t="s">
        <v>2194</v>
      </c>
      <c r="C778" s="921">
        <v>381226.88</v>
      </c>
      <c r="D778" s="921">
        <v>0</v>
      </c>
    </row>
    <row r="779" spans="1:4" s="919" customFormat="1" ht="22.5" x14ac:dyDescent="0.2">
      <c r="A779" s="920">
        <v>128081</v>
      </c>
      <c r="B779" s="922" t="s">
        <v>2195</v>
      </c>
      <c r="C779" s="921">
        <v>394860.87</v>
      </c>
      <c r="D779" s="921">
        <v>0</v>
      </c>
    </row>
    <row r="780" spans="1:4" s="919" customFormat="1" x14ac:dyDescent="0.2">
      <c r="A780" s="920">
        <v>128082</v>
      </c>
      <c r="B780" s="922" t="s">
        <v>2196</v>
      </c>
      <c r="C780" s="921">
        <v>218813.94</v>
      </c>
      <c r="D780" s="921">
        <v>0</v>
      </c>
    </row>
    <row r="781" spans="1:4" s="919" customFormat="1" x14ac:dyDescent="0.2">
      <c r="A781" s="920">
        <v>128083</v>
      </c>
      <c r="B781" s="922" t="s">
        <v>2197</v>
      </c>
      <c r="C781" s="921">
        <v>202719.28</v>
      </c>
      <c r="D781" s="921">
        <v>0</v>
      </c>
    </row>
    <row r="782" spans="1:4" s="919" customFormat="1" x14ac:dyDescent="0.2">
      <c r="A782" s="920">
        <v>128084</v>
      </c>
      <c r="B782" s="922" t="s">
        <v>2197</v>
      </c>
      <c r="C782" s="921">
        <v>202719.28</v>
      </c>
      <c r="D782" s="921">
        <v>0</v>
      </c>
    </row>
    <row r="783" spans="1:4" s="919" customFormat="1" x14ac:dyDescent="0.2">
      <c r="A783" s="920">
        <v>128085</v>
      </c>
      <c r="B783" s="922" t="s">
        <v>2198</v>
      </c>
      <c r="C783" s="921">
        <v>549313.26</v>
      </c>
      <c r="D783" s="921">
        <v>0</v>
      </c>
    </row>
    <row r="784" spans="1:4" s="919" customFormat="1" x14ac:dyDescent="0.2">
      <c r="A784" s="920">
        <v>128086</v>
      </c>
      <c r="B784" s="922" t="s">
        <v>2199</v>
      </c>
      <c r="C784" s="921">
        <v>99699.88</v>
      </c>
      <c r="D784" s="921">
        <v>0</v>
      </c>
    </row>
    <row r="785" spans="1:4" s="919" customFormat="1" x14ac:dyDescent="0.2">
      <c r="A785" s="920">
        <v>128087</v>
      </c>
      <c r="B785" s="922" t="s">
        <v>2200</v>
      </c>
      <c r="C785" s="921">
        <v>578688.84</v>
      </c>
      <c r="D785" s="921">
        <v>0</v>
      </c>
    </row>
    <row r="786" spans="1:4" s="919" customFormat="1" x14ac:dyDescent="0.2">
      <c r="A786" s="920">
        <v>128088</v>
      </c>
      <c r="B786" s="922" t="s">
        <v>2201</v>
      </c>
      <c r="C786" s="921">
        <v>119740.25</v>
      </c>
      <c r="D786" s="921">
        <v>0</v>
      </c>
    </row>
    <row r="787" spans="1:4" s="919" customFormat="1" ht="22.5" x14ac:dyDescent="0.2">
      <c r="A787" s="920">
        <v>128089</v>
      </c>
      <c r="B787" s="922" t="s">
        <v>2202</v>
      </c>
      <c r="C787" s="921">
        <v>143347.89000000001</v>
      </c>
      <c r="D787" s="921">
        <v>0</v>
      </c>
    </row>
    <row r="788" spans="1:4" s="919" customFormat="1" ht="22.5" x14ac:dyDescent="0.2">
      <c r="A788" s="920">
        <v>128090</v>
      </c>
      <c r="B788" s="922" t="s">
        <v>2203</v>
      </c>
      <c r="C788" s="921">
        <v>255562.5</v>
      </c>
      <c r="D788" s="921">
        <v>0</v>
      </c>
    </row>
    <row r="789" spans="1:4" s="919" customFormat="1" ht="22.5" x14ac:dyDescent="0.2">
      <c r="A789" s="920">
        <v>128091</v>
      </c>
      <c r="B789" s="922" t="s">
        <v>2204</v>
      </c>
      <c r="C789" s="921">
        <v>25567.78</v>
      </c>
      <c r="D789" s="921">
        <v>0</v>
      </c>
    </row>
    <row r="790" spans="1:4" s="919" customFormat="1" x14ac:dyDescent="0.2">
      <c r="A790" s="920">
        <v>128092</v>
      </c>
      <c r="B790" s="922" t="s">
        <v>2205</v>
      </c>
      <c r="C790" s="921">
        <v>226213.96</v>
      </c>
      <c r="D790" s="921">
        <v>0</v>
      </c>
    </row>
    <row r="791" spans="1:4" s="919" customFormat="1" ht="22.5" x14ac:dyDescent="0.2">
      <c r="A791" s="920">
        <v>128093</v>
      </c>
      <c r="B791" s="922" t="s">
        <v>2206</v>
      </c>
      <c r="C791" s="921">
        <v>58159.88</v>
      </c>
      <c r="D791" s="921">
        <v>0</v>
      </c>
    </row>
    <row r="792" spans="1:4" s="919" customFormat="1" ht="22.5" x14ac:dyDescent="0.2">
      <c r="A792" s="920">
        <v>128094</v>
      </c>
      <c r="B792" s="922" t="s">
        <v>2207</v>
      </c>
      <c r="C792" s="921">
        <v>278128.51</v>
      </c>
      <c r="D792" s="921">
        <v>0</v>
      </c>
    </row>
    <row r="793" spans="1:4" s="919" customFormat="1" ht="22.5" x14ac:dyDescent="0.2">
      <c r="A793" s="920">
        <v>128095</v>
      </c>
      <c r="B793" s="922" t="s">
        <v>2208</v>
      </c>
      <c r="C793" s="921">
        <v>97996.51999999999</v>
      </c>
      <c r="D793" s="921">
        <v>0</v>
      </c>
    </row>
    <row r="794" spans="1:4" s="919" customFormat="1" ht="22.5" x14ac:dyDescent="0.2">
      <c r="A794" s="920">
        <v>128096</v>
      </c>
      <c r="B794" s="922" t="s">
        <v>2209</v>
      </c>
      <c r="C794" s="921">
        <v>199075.72</v>
      </c>
      <c r="D794" s="921">
        <v>0</v>
      </c>
    </row>
    <row r="795" spans="1:4" s="919" customFormat="1" ht="22.5" x14ac:dyDescent="0.2">
      <c r="A795" s="920">
        <v>128097</v>
      </c>
      <c r="B795" s="922" t="s">
        <v>2210</v>
      </c>
      <c r="C795" s="921">
        <v>299878.87</v>
      </c>
      <c r="D795" s="921">
        <v>0</v>
      </c>
    </row>
    <row r="796" spans="1:4" s="919" customFormat="1" ht="22.5" x14ac:dyDescent="0.2">
      <c r="A796" s="920">
        <v>128098</v>
      </c>
      <c r="B796" s="922" t="s">
        <v>2211</v>
      </c>
      <c r="C796" s="921">
        <v>297888.59999999998</v>
      </c>
      <c r="D796" s="921">
        <v>0</v>
      </c>
    </row>
    <row r="797" spans="1:4" s="919" customFormat="1" ht="22.5" x14ac:dyDescent="0.2">
      <c r="A797" s="920">
        <v>128099</v>
      </c>
      <c r="B797" s="922" t="s">
        <v>2212</v>
      </c>
      <c r="C797" s="921">
        <v>277949.24</v>
      </c>
      <c r="D797" s="921">
        <v>0</v>
      </c>
    </row>
    <row r="798" spans="1:4" s="919" customFormat="1" ht="22.5" x14ac:dyDescent="0.2">
      <c r="A798" s="920">
        <v>128100</v>
      </c>
      <c r="B798" s="922" t="s">
        <v>2213</v>
      </c>
      <c r="C798" s="921">
        <v>475360.84</v>
      </c>
      <c r="D798" s="921">
        <v>0</v>
      </c>
    </row>
    <row r="799" spans="1:4" s="919" customFormat="1" ht="22.5" x14ac:dyDescent="0.2">
      <c r="A799" s="920">
        <v>128101</v>
      </c>
      <c r="B799" s="922" t="s">
        <v>2214</v>
      </c>
      <c r="C799" s="921">
        <v>120709.53</v>
      </c>
      <c r="D799" s="921">
        <v>0</v>
      </c>
    </row>
    <row r="800" spans="1:4" s="919" customFormat="1" x14ac:dyDescent="0.2">
      <c r="A800" s="920">
        <v>128102</v>
      </c>
      <c r="B800" s="922" t="s">
        <v>2215</v>
      </c>
      <c r="C800" s="921">
        <v>71301.22</v>
      </c>
      <c r="D800" s="921">
        <v>0</v>
      </c>
    </row>
    <row r="801" spans="1:4" s="919" customFormat="1" x14ac:dyDescent="0.2">
      <c r="A801" s="920">
        <v>128103</v>
      </c>
      <c r="B801" s="922" t="s">
        <v>2216</v>
      </c>
      <c r="C801" s="921">
        <v>22914.38</v>
      </c>
      <c r="D801" s="921">
        <v>0</v>
      </c>
    </row>
    <row r="802" spans="1:4" s="919" customFormat="1" x14ac:dyDescent="0.2">
      <c r="A802" s="920">
        <v>128104</v>
      </c>
      <c r="B802" s="922" t="s">
        <v>2217</v>
      </c>
      <c r="C802" s="921">
        <v>113976.73</v>
      </c>
      <c r="D802" s="921">
        <v>0</v>
      </c>
    </row>
    <row r="803" spans="1:4" s="919" customFormat="1" x14ac:dyDescent="0.2">
      <c r="A803" s="920">
        <v>128105</v>
      </c>
      <c r="B803" s="922" t="s">
        <v>1538</v>
      </c>
      <c r="C803" s="921">
        <v>60532.799999999996</v>
      </c>
      <c r="D803" s="921">
        <v>0</v>
      </c>
    </row>
    <row r="804" spans="1:4" s="919" customFormat="1" x14ac:dyDescent="0.2">
      <c r="A804" s="920">
        <v>128106</v>
      </c>
      <c r="B804" s="922" t="s">
        <v>2218</v>
      </c>
      <c r="C804" s="921">
        <v>383849.62</v>
      </c>
      <c r="D804" s="921">
        <v>0</v>
      </c>
    </row>
    <row r="805" spans="1:4" s="919" customFormat="1" x14ac:dyDescent="0.2">
      <c r="A805" s="920">
        <v>128107</v>
      </c>
      <c r="B805" s="922" t="s">
        <v>2219</v>
      </c>
      <c r="C805" s="921">
        <v>316344.73</v>
      </c>
      <c r="D805" s="921">
        <v>0</v>
      </c>
    </row>
    <row r="806" spans="1:4" s="919" customFormat="1" x14ac:dyDescent="0.2">
      <c r="A806" s="920">
        <v>128108</v>
      </c>
      <c r="B806" s="922" t="s">
        <v>2220</v>
      </c>
      <c r="C806" s="921">
        <v>422627.35</v>
      </c>
      <c r="D806" s="921">
        <v>0</v>
      </c>
    </row>
    <row r="807" spans="1:4" s="919" customFormat="1" ht="22.5" x14ac:dyDescent="0.2">
      <c r="A807" s="920">
        <v>128149</v>
      </c>
      <c r="B807" s="922" t="s">
        <v>2221</v>
      </c>
      <c r="C807" s="921">
        <v>162910.71</v>
      </c>
      <c r="D807" s="921">
        <v>0</v>
      </c>
    </row>
    <row r="808" spans="1:4" s="919" customFormat="1" x14ac:dyDescent="0.2">
      <c r="A808" s="920">
        <v>128150</v>
      </c>
      <c r="B808" s="922" t="s">
        <v>2222</v>
      </c>
      <c r="C808" s="921">
        <v>440055.64</v>
      </c>
      <c r="D808" s="921">
        <v>0</v>
      </c>
    </row>
    <row r="809" spans="1:4" s="919" customFormat="1" ht="22.5" x14ac:dyDescent="0.2">
      <c r="A809" s="920">
        <v>128151</v>
      </c>
      <c r="B809" s="922" t="s">
        <v>2223</v>
      </c>
      <c r="C809" s="921">
        <v>581995.18000000005</v>
      </c>
      <c r="D809" s="921">
        <v>0</v>
      </c>
    </row>
    <row r="810" spans="1:4" s="919" customFormat="1" x14ac:dyDescent="0.2">
      <c r="A810" s="920">
        <v>128152</v>
      </c>
      <c r="B810" s="922" t="s">
        <v>2224</v>
      </c>
      <c r="C810" s="921">
        <v>588266.80000000005</v>
      </c>
      <c r="D810" s="921">
        <v>0</v>
      </c>
    </row>
    <row r="811" spans="1:4" s="919" customFormat="1" ht="22.5" x14ac:dyDescent="0.2">
      <c r="A811" s="920">
        <v>128153</v>
      </c>
      <c r="B811" s="922" t="s">
        <v>2225</v>
      </c>
      <c r="C811" s="921">
        <v>569772.88</v>
      </c>
      <c r="D811" s="921">
        <v>0</v>
      </c>
    </row>
    <row r="812" spans="1:4" s="919" customFormat="1" ht="22.5" x14ac:dyDescent="0.2">
      <c r="A812" s="920">
        <v>128154</v>
      </c>
      <c r="B812" s="922" t="s">
        <v>2226</v>
      </c>
      <c r="C812" s="921">
        <v>286783.3</v>
      </c>
      <c r="D812" s="921">
        <v>0</v>
      </c>
    </row>
    <row r="813" spans="1:4" s="919" customFormat="1" ht="22.5" x14ac:dyDescent="0.2">
      <c r="A813" s="920">
        <v>128155</v>
      </c>
      <c r="B813" s="922" t="s">
        <v>2227</v>
      </c>
      <c r="C813" s="921">
        <v>369592.54</v>
      </c>
      <c r="D813" s="921">
        <v>0</v>
      </c>
    </row>
    <row r="814" spans="1:4" s="919" customFormat="1" ht="22.5" x14ac:dyDescent="0.2">
      <c r="A814" s="920">
        <v>128156</v>
      </c>
      <c r="B814" s="922" t="s">
        <v>2228</v>
      </c>
      <c r="C814" s="921">
        <v>259891.26</v>
      </c>
      <c r="D814" s="921">
        <v>0</v>
      </c>
    </row>
    <row r="815" spans="1:4" s="919" customFormat="1" x14ac:dyDescent="0.2">
      <c r="A815" s="920">
        <v>128157</v>
      </c>
      <c r="B815" s="922" t="s">
        <v>2229</v>
      </c>
      <c r="C815" s="921">
        <v>163764.6</v>
      </c>
      <c r="D815" s="921">
        <v>0</v>
      </c>
    </row>
    <row r="816" spans="1:4" s="919" customFormat="1" ht="22.5" x14ac:dyDescent="0.2">
      <c r="A816" s="920">
        <v>128158</v>
      </c>
      <c r="B816" s="922" t="s">
        <v>2230</v>
      </c>
      <c r="C816" s="921">
        <v>182305.11</v>
      </c>
      <c r="D816" s="921">
        <v>0</v>
      </c>
    </row>
    <row r="817" spans="1:4" s="919" customFormat="1" ht="22.5" x14ac:dyDescent="0.2">
      <c r="A817" s="920">
        <v>128159</v>
      </c>
      <c r="B817" s="922" t="s">
        <v>2231</v>
      </c>
      <c r="C817" s="921">
        <v>513809.69</v>
      </c>
      <c r="D817" s="921">
        <v>0</v>
      </c>
    </row>
    <row r="818" spans="1:4" s="919" customFormat="1" ht="22.5" x14ac:dyDescent="0.2">
      <c r="A818" s="920">
        <v>128160</v>
      </c>
      <c r="B818" s="922" t="s">
        <v>2232</v>
      </c>
      <c r="C818" s="921">
        <v>303161.39</v>
      </c>
      <c r="D818" s="921">
        <v>0</v>
      </c>
    </row>
    <row r="819" spans="1:4" s="919" customFormat="1" x14ac:dyDescent="0.2">
      <c r="A819" s="920">
        <v>128161</v>
      </c>
      <c r="B819" s="922" t="s">
        <v>2233</v>
      </c>
      <c r="C819" s="921">
        <v>88775.61</v>
      </c>
      <c r="D819" s="921">
        <v>0</v>
      </c>
    </row>
    <row r="820" spans="1:4" s="919" customFormat="1" x14ac:dyDescent="0.2">
      <c r="A820" s="920">
        <v>128162</v>
      </c>
      <c r="B820" s="922" t="s">
        <v>2234</v>
      </c>
      <c r="C820" s="921">
        <v>300106.28000000003</v>
      </c>
      <c r="D820" s="921">
        <v>0</v>
      </c>
    </row>
    <row r="821" spans="1:4" s="919" customFormat="1" ht="22.5" x14ac:dyDescent="0.2">
      <c r="A821" s="920">
        <v>128163</v>
      </c>
      <c r="B821" s="922" t="s">
        <v>2235</v>
      </c>
      <c r="C821" s="921">
        <v>249431.02000000002</v>
      </c>
      <c r="D821" s="921">
        <v>0</v>
      </c>
    </row>
    <row r="822" spans="1:4" s="919" customFormat="1" ht="22.5" x14ac:dyDescent="0.2">
      <c r="A822" s="920">
        <v>128164</v>
      </c>
      <c r="B822" s="922" t="s">
        <v>2236</v>
      </c>
      <c r="C822" s="921">
        <v>238696.03999999998</v>
      </c>
      <c r="D822" s="921">
        <v>0</v>
      </c>
    </row>
    <row r="823" spans="1:4" s="919" customFormat="1" ht="22.5" x14ac:dyDescent="0.2">
      <c r="A823" s="920">
        <v>128165</v>
      </c>
      <c r="B823" s="922" t="s">
        <v>2237</v>
      </c>
      <c r="C823" s="921">
        <v>650159.1</v>
      </c>
      <c r="D823" s="921">
        <v>0</v>
      </c>
    </row>
    <row r="824" spans="1:4" s="919" customFormat="1" ht="22.5" x14ac:dyDescent="0.2">
      <c r="A824" s="920">
        <v>128166</v>
      </c>
      <c r="B824" s="922" t="s">
        <v>2238</v>
      </c>
      <c r="C824" s="921">
        <v>310913.96000000002</v>
      </c>
      <c r="D824" s="921">
        <v>0</v>
      </c>
    </row>
    <row r="825" spans="1:4" s="919" customFormat="1" ht="22.5" x14ac:dyDescent="0.2">
      <c r="A825" s="920">
        <v>128167</v>
      </c>
      <c r="B825" s="922" t="s">
        <v>2239</v>
      </c>
      <c r="C825" s="921">
        <v>80809.94</v>
      </c>
      <c r="D825" s="921">
        <v>0</v>
      </c>
    </row>
    <row r="826" spans="1:4" s="919" customFormat="1" x14ac:dyDescent="0.2">
      <c r="A826" s="920">
        <v>128168</v>
      </c>
      <c r="B826" s="922" t="s">
        <v>2240</v>
      </c>
      <c r="C826" s="921">
        <v>536163.26</v>
      </c>
      <c r="D826" s="921">
        <v>0</v>
      </c>
    </row>
    <row r="827" spans="1:4" s="919" customFormat="1" ht="22.5" x14ac:dyDescent="0.2">
      <c r="A827" s="920">
        <v>128169</v>
      </c>
      <c r="B827" s="922" t="s">
        <v>2241</v>
      </c>
      <c r="C827" s="921">
        <v>179973.48</v>
      </c>
      <c r="D827" s="921">
        <v>0</v>
      </c>
    </row>
    <row r="828" spans="1:4" s="919" customFormat="1" x14ac:dyDescent="0.2">
      <c r="A828" s="920">
        <v>128170</v>
      </c>
      <c r="B828" s="922" t="s">
        <v>2242</v>
      </c>
      <c r="C828" s="921">
        <v>446044.55</v>
      </c>
      <c r="D828" s="921">
        <v>0</v>
      </c>
    </row>
    <row r="829" spans="1:4" s="919" customFormat="1" ht="22.5" x14ac:dyDescent="0.2">
      <c r="A829" s="920">
        <v>128171</v>
      </c>
      <c r="B829" s="922" t="s">
        <v>2243</v>
      </c>
      <c r="C829" s="921">
        <v>54546.76</v>
      </c>
      <c r="D829" s="921">
        <v>0</v>
      </c>
    </row>
    <row r="830" spans="1:4" s="919" customFormat="1" x14ac:dyDescent="0.2">
      <c r="A830" s="920">
        <v>128172</v>
      </c>
      <c r="B830" s="922" t="s">
        <v>2244</v>
      </c>
      <c r="C830" s="921">
        <v>131100</v>
      </c>
      <c r="D830" s="921">
        <v>0</v>
      </c>
    </row>
    <row r="831" spans="1:4" s="919" customFormat="1" x14ac:dyDescent="0.2">
      <c r="A831" s="920">
        <v>128173</v>
      </c>
      <c r="B831" s="922" t="s">
        <v>2245</v>
      </c>
      <c r="C831" s="921">
        <v>84900</v>
      </c>
      <c r="D831" s="921">
        <v>0</v>
      </c>
    </row>
    <row r="832" spans="1:4" s="919" customFormat="1" x14ac:dyDescent="0.2">
      <c r="A832" s="920">
        <v>128174</v>
      </c>
      <c r="B832" s="922" t="s">
        <v>2246</v>
      </c>
      <c r="C832" s="921">
        <v>438523.05</v>
      </c>
      <c r="D832" s="921">
        <v>0</v>
      </c>
    </row>
    <row r="833" spans="1:4" s="919" customFormat="1" x14ac:dyDescent="0.2">
      <c r="A833" s="920">
        <v>128175</v>
      </c>
      <c r="B833" s="922" t="s">
        <v>2247</v>
      </c>
      <c r="C833" s="921">
        <v>426297.77</v>
      </c>
      <c r="D833" s="921">
        <v>0</v>
      </c>
    </row>
    <row r="834" spans="1:4" s="919" customFormat="1" ht="22.5" x14ac:dyDescent="0.2">
      <c r="A834" s="920">
        <v>128176</v>
      </c>
      <c r="B834" s="922" t="s">
        <v>2248</v>
      </c>
      <c r="C834" s="921">
        <v>264801.71999999997</v>
      </c>
      <c r="D834" s="921">
        <v>0</v>
      </c>
    </row>
    <row r="835" spans="1:4" s="919" customFormat="1" ht="22.5" x14ac:dyDescent="0.2">
      <c r="A835" s="920">
        <v>128177</v>
      </c>
      <c r="B835" s="922" t="s">
        <v>2249</v>
      </c>
      <c r="C835" s="921">
        <v>220663.18</v>
      </c>
      <c r="D835" s="921">
        <v>0</v>
      </c>
    </row>
    <row r="836" spans="1:4" s="919" customFormat="1" ht="22.5" x14ac:dyDescent="0.2">
      <c r="A836" s="920">
        <v>128178</v>
      </c>
      <c r="B836" s="922" t="s">
        <v>2250</v>
      </c>
      <c r="C836" s="921">
        <v>231635.9</v>
      </c>
      <c r="D836" s="921">
        <v>0</v>
      </c>
    </row>
    <row r="837" spans="1:4" s="919" customFormat="1" x14ac:dyDescent="0.2">
      <c r="A837" s="920">
        <v>128179</v>
      </c>
      <c r="B837" s="922" t="s">
        <v>2251</v>
      </c>
      <c r="C837" s="921">
        <v>378263.87</v>
      </c>
      <c r="D837" s="921">
        <v>0</v>
      </c>
    </row>
    <row r="838" spans="1:4" s="919" customFormat="1" x14ac:dyDescent="0.2">
      <c r="A838" s="920">
        <v>128180</v>
      </c>
      <c r="B838" s="922" t="s">
        <v>2252</v>
      </c>
      <c r="C838" s="921">
        <v>349350</v>
      </c>
      <c r="D838" s="921">
        <v>0</v>
      </c>
    </row>
    <row r="839" spans="1:4" s="919" customFormat="1" x14ac:dyDescent="0.2">
      <c r="A839" s="920">
        <v>128222</v>
      </c>
      <c r="B839" s="922" t="s">
        <v>1654</v>
      </c>
      <c r="C839" s="921">
        <v>384694.4</v>
      </c>
      <c r="D839" s="921">
        <v>0</v>
      </c>
    </row>
    <row r="840" spans="1:4" s="919" customFormat="1" ht="22.5" x14ac:dyDescent="0.2">
      <c r="A840" s="920">
        <v>128223</v>
      </c>
      <c r="B840" s="922" t="s">
        <v>2253</v>
      </c>
      <c r="C840" s="921">
        <v>277464.2</v>
      </c>
      <c r="D840" s="921">
        <v>0</v>
      </c>
    </row>
    <row r="841" spans="1:4" s="919" customFormat="1" x14ac:dyDescent="0.2">
      <c r="A841" s="920">
        <v>128224</v>
      </c>
      <c r="B841" s="922" t="s">
        <v>2254</v>
      </c>
      <c r="C841" s="921">
        <v>104888.58</v>
      </c>
      <c r="D841" s="921">
        <v>0</v>
      </c>
    </row>
    <row r="842" spans="1:4" s="919" customFormat="1" ht="22.5" x14ac:dyDescent="0.2">
      <c r="A842" s="920">
        <v>128225</v>
      </c>
      <c r="B842" s="922" t="s">
        <v>2255</v>
      </c>
      <c r="C842" s="921">
        <v>260000</v>
      </c>
      <c r="D842" s="921">
        <v>0</v>
      </c>
    </row>
    <row r="843" spans="1:4" s="919" customFormat="1" x14ac:dyDescent="0.2">
      <c r="A843" s="920">
        <v>128226</v>
      </c>
      <c r="B843" s="922" t="s">
        <v>2256</v>
      </c>
      <c r="C843" s="921">
        <v>247209.94</v>
      </c>
      <c r="D843" s="921">
        <v>0</v>
      </c>
    </row>
    <row r="844" spans="1:4" s="919" customFormat="1" ht="22.5" x14ac:dyDescent="0.2">
      <c r="A844" s="920">
        <v>128227</v>
      </c>
      <c r="B844" s="922" t="s">
        <v>2257</v>
      </c>
      <c r="C844" s="921">
        <v>185092.5</v>
      </c>
      <c r="D844" s="921">
        <v>0</v>
      </c>
    </row>
    <row r="845" spans="1:4" s="919" customFormat="1" ht="22.5" x14ac:dyDescent="0.2">
      <c r="A845" s="920">
        <v>128228</v>
      </c>
      <c r="B845" s="922" t="s">
        <v>2258</v>
      </c>
      <c r="C845" s="921">
        <v>195531.56</v>
      </c>
      <c r="D845" s="921">
        <v>0</v>
      </c>
    </row>
    <row r="846" spans="1:4" s="919" customFormat="1" ht="22.5" x14ac:dyDescent="0.2">
      <c r="A846" s="920">
        <v>128229</v>
      </c>
      <c r="B846" s="922" t="s">
        <v>2259</v>
      </c>
      <c r="C846" s="921">
        <v>200201.63</v>
      </c>
      <c r="D846" s="921">
        <v>0</v>
      </c>
    </row>
    <row r="847" spans="1:4" s="919" customFormat="1" ht="22.5" x14ac:dyDescent="0.2">
      <c r="A847" s="920">
        <v>128230</v>
      </c>
      <c r="B847" s="922" t="s">
        <v>2260</v>
      </c>
      <c r="C847" s="921">
        <v>296148</v>
      </c>
      <c r="D847" s="921">
        <v>0</v>
      </c>
    </row>
    <row r="848" spans="1:4" s="919" customFormat="1" ht="22.5" x14ac:dyDescent="0.2">
      <c r="A848" s="920">
        <v>128231</v>
      </c>
      <c r="B848" s="922" t="s">
        <v>2261</v>
      </c>
      <c r="C848" s="921">
        <v>297708</v>
      </c>
      <c r="D848" s="921">
        <v>0</v>
      </c>
    </row>
    <row r="849" spans="1:4" s="919" customFormat="1" ht="22.5" x14ac:dyDescent="0.2">
      <c r="A849" s="920">
        <v>128232</v>
      </c>
      <c r="B849" s="922" t="s">
        <v>2262</v>
      </c>
      <c r="C849" s="921">
        <v>237765.38</v>
      </c>
      <c r="D849" s="921">
        <v>0</v>
      </c>
    </row>
    <row r="850" spans="1:4" s="919" customFormat="1" ht="22.5" x14ac:dyDescent="0.2">
      <c r="A850" s="920">
        <v>128233</v>
      </c>
      <c r="B850" s="922" t="s">
        <v>2263</v>
      </c>
      <c r="C850" s="921">
        <v>297708</v>
      </c>
      <c r="D850" s="921">
        <v>0</v>
      </c>
    </row>
    <row r="851" spans="1:4" s="919" customFormat="1" ht="22.5" x14ac:dyDescent="0.2">
      <c r="A851" s="920">
        <v>128234</v>
      </c>
      <c r="B851" s="922" t="s">
        <v>2264</v>
      </c>
      <c r="C851" s="921">
        <v>419585.35</v>
      </c>
      <c r="D851" s="921">
        <v>0</v>
      </c>
    </row>
    <row r="852" spans="1:4" s="919" customFormat="1" ht="22.5" x14ac:dyDescent="0.2">
      <c r="A852" s="920">
        <v>128235</v>
      </c>
      <c r="B852" s="922" t="s">
        <v>2265</v>
      </c>
      <c r="C852" s="921">
        <v>83052.710000000006</v>
      </c>
      <c r="D852" s="921">
        <v>0</v>
      </c>
    </row>
    <row r="853" spans="1:4" s="919" customFormat="1" ht="22.5" x14ac:dyDescent="0.2">
      <c r="A853" s="920">
        <v>128236</v>
      </c>
      <c r="B853" s="922" t="s">
        <v>2266</v>
      </c>
      <c r="C853" s="921">
        <v>144842.14000000001</v>
      </c>
      <c r="D853" s="921">
        <v>0</v>
      </c>
    </row>
    <row r="854" spans="1:4" s="919" customFormat="1" ht="22.5" x14ac:dyDescent="0.2">
      <c r="A854" s="920">
        <v>128237</v>
      </c>
      <c r="B854" s="922" t="s">
        <v>2267</v>
      </c>
      <c r="C854" s="921">
        <v>154277.52000000002</v>
      </c>
      <c r="D854" s="921">
        <v>0</v>
      </c>
    </row>
    <row r="855" spans="1:4" s="919" customFormat="1" ht="22.5" x14ac:dyDescent="0.2">
      <c r="A855" s="920">
        <v>128238</v>
      </c>
      <c r="B855" s="922" t="s">
        <v>2268</v>
      </c>
      <c r="C855" s="921">
        <v>472311.79000000004</v>
      </c>
      <c r="D855" s="921">
        <v>0</v>
      </c>
    </row>
    <row r="856" spans="1:4" s="919" customFormat="1" ht="22.5" x14ac:dyDescent="0.2">
      <c r="A856" s="920">
        <v>128239</v>
      </c>
      <c r="B856" s="922" t="s">
        <v>2269</v>
      </c>
      <c r="C856" s="921">
        <v>266791.90000000002</v>
      </c>
      <c r="D856" s="921">
        <v>0</v>
      </c>
    </row>
    <row r="857" spans="1:4" s="919" customFormat="1" ht="22.5" x14ac:dyDescent="0.2">
      <c r="A857" s="920">
        <v>128240</v>
      </c>
      <c r="B857" s="922" t="s">
        <v>2270</v>
      </c>
      <c r="C857" s="921">
        <v>300430.46000000002</v>
      </c>
      <c r="D857" s="921">
        <v>0</v>
      </c>
    </row>
    <row r="858" spans="1:4" s="919" customFormat="1" ht="22.5" x14ac:dyDescent="0.2">
      <c r="A858" s="920">
        <v>128241</v>
      </c>
      <c r="B858" s="922" t="s">
        <v>2271</v>
      </c>
      <c r="C858" s="921">
        <v>300430.46000000002</v>
      </c>
      <c r="D858" s="921">
        <v>0</v>
      </c>
    </row>
    <row r="859" spans="1:4" s="919" customFormat="1" ht="22.5" x14ac:dyDescent="0.2">
      <c r="A859" s="920">
        <v>128242</v>
      </c>
      <c r="B859" s="922" t="s">
        <v>2272</v>
      </c>
      <c r="C859" s="921">
        <v>25567.78</v>
      </c>
      <c r="D859" s="921">
        <v>0</v>
      </c>
    </row>
    <row r="860" spans="1:4" s="919" customFormat="1" ht="22.5" x14ac:dyDescent="0.2">
      <c r="A860" s="920">
        <v>128243</v>
      </c>
      <c r="B860" s="922" t="s">
        <v>2273</v>
      </c>
      <c r="C860" s="921">
        <v>320699.95</v>
      </c>
      <c r="D860" s="921">
        <v>0</v>
      </c>
    </row>
    <row r="861" spans="1:4" s="919" customFormat="1" ht="22.5" x14ac:dyDescent="0.2">
      <c r="A861" s="920">
        <v>128244</v>
      </c>
      <c r="B861" s="922" t="s">
        <v>2274</v>
      </c>
      <c r="C861" s="921">
        <v>243320.57</v>
      </c>
      <c r="D861" s="921">
        <v>0</v>
      </c>
    </row>
    <row r="862" spans="1:4" s="919" customFormat="1" ht="22.5" x14ac:dyDescent="0.2">
      <c r="A862" s="920">
        <v>128245</v>
      </c>
      <c r="B862" s="922" t="s">
        <v>2275</v>
      </c>
      <c r="C862" s="921">
        <v>471675</v>
      </c>
      <c r="D862" s="921">
        <v>0</v>
      </c>
    </row>
    <row r="863" spans="1:4" s="919" customFormat="1" x14ac:dyDescent="0.2">
      <c r="A863" s="920">
        <v>128246</v>
      </c>
      <c r="B863" s="922" t="s">
        <v>2276</v>
      </c>
      <c r="C863" s="921">
        <v>73967.290000000008</v>
      </c>
      <c r="D863" s="921">
        <v>0</v>
      </c>
    </row>
    <row r="864" spans="1:4" s="919" customFormat="1" x14ac:dyDescent="0.2">
      <c r="A864" s="920">
        <v>128247</v>
      </c>
      <c r="B864" s="922" t="s">
        <v>2277</v>
      </c>
      <c r="C864" s="921">
        <v>142732.57</v>
      </c>
      <c r="D864" s="921">
        <v>0</v>
      </c>
    </row>
    <row r="865" spans="1:4" s="919" customFormat="1" ht="22.5" x14ac:dyDescent="0.2">
      <c r="A865" s="920">
        <v>128248</v>
      </c>
      <c r="B865" s="922" t="s">
        <v>2278</v>
      </c>
      <c r="C865" s="921">
        <v>160316.22</v>
      </c>
      <c r="D865" s="921">
        <v>0</v>
      </c>
    </row>
    <row r="866" spans="1:4" s="919" customFormat="1" x14ac:dyDescent="0.2">
      <c r="A866" s="920">
        <v>128249</v>
      </c>
      <c r="B866" s="922" t="s">
        <v>2279</v>
      </c>
      <c r="C866" s="921">
        <v>116939.03</v>
      </c>
      <c r="D866" s="921">
        <v>0</v>
      </c>
    </row>
    <row r="867" spans="1:4" s="919" customFormat="1" ht="22.5" x14ac:dyDescent="0.2">
      <c r="A867" s="920">
        <v>128250</v>
      </c>
      <c r="B867" s="922" t="s">
        <v>2280</v>
      </c>
      <c r="C867" s="921">
        <v>130338.5</v>
      </c>
      <c r="D867" s="921">
        <v>0</v>
      </c>
    </row>
    <row r="868" spans="1:4" s="919" customFormat="1" ht="22.5" x14ac:dyDescent="0.2">
      <c r="A868" s="920">
        <v>128251</v>
      </c>
      <c r="B868" s="922" t="s">
        <v>2281</v>
      </c>
      <c r="C868" s="921">
        <v>270000.14999999997</v>
      </c>
      <c r="D868" s="921">
        <v>0</v>
      </c>
    </row>
    <row r="869" spans="1:4" s="919" customFormat="1" ht="22.5" x14ac:dyDescent="0.2">
      <c r="A869" s="920">
        <v>128252</v>
      </c>
      <c r="B869" s="922" t="s">
        <v>2282</v>
      </c>
      <c r="C869" s="921">
        <v>187814.32</v>
      </c>
      <c r="D869" s="921">
        <v>0</v>
      </c>
    </row>
    <row r="870" spans="1:4" s="919" customFormat="1" ht="22.5" x14ac:dyDescent="0.2">
      <c r="A870" s="920">
        <v>128253</v>
      </c>
      <c r="B870" s="922" t="s">
        <v>2283</v>
      </c>
      <c r="C870" s="921">
        <v>242000</v>
      </c>
      <c r="D870" s="921">
        <v>0</v>
      </c>
    </row>
    <row r="871" spans="1:4" s="919" customFormat="1" ht="22.5" x14ac:dyDescent="0.2">
      <c r="A871" s="920">
        <v>128254</v>
      </c>
      <c r="B871" s="922" t="s">
        <v>2284</v>
      </c>
      <c r="C871" s="921">
        <v>324437.12</v>
      </c>
      <c r="D871" s="921">
        <v>0</v>
      </c>
    </row>
    <row r="872" spans="1:4" s="919" customFormat="1" ht="22.5" x14ac:dyDescent="0.2">
      <c r="A872" s="920">
        <v>128255</v>
      </c>
      <c r="B872" s="922" t="s">
        <v>2285</v>
      </c>
      <c r="C872" s="921">
        <v>274800</v>
      </c>
      <c r="D872" s="921">
        <v>0</v>
      </c>
    </row>
    <row r="873" spans="1:4" s="919" customFormat="1" ht="22.5" x14ac:dyDescent="0.2">
      <c r="A873" s="920">
        <v>128256</v>
      </c>
      <c r="B873" s="922" t="s">
        <v>2212</v>
      </c>
      <c r="C873" s="921">
        <v>0</v>
      </c>
      <c r="D873" s="921">
        <v>0</v>
      </c>
    </row>
    <row r="874" spans="1:4" s="919" customFormat="1" ht="22.5" x14ac:dyDescent="0.2">
      <c r="A874" s="920">
        <v>128257</v>
      </c>
      <c r="B874" s="922" t="s">
        <v>2286</v>
      </c>
      <c r="C874" s="921">
        <v>0</v>
      </c>
      <c r="D874" s="921">
        <v>0</v>
      </c>
    </row>
    <row r="875" spans="1:4" s="919" customFormat="1" ht="22.5" x14ac:dyDescent="0.2">
      <c r="A875" s="920">
        <v>128258</v>
      </c>
      <c r="B875" s="922" t="s">
        <v>2212</v>
      </c>
      <c r="C875" s="921">
        <v>0</v>
      </c>
      <c r="D875" s="921">
        <v>0</v>
      </c>
    </row>
    <row r="876" spans="1:4" s="919" customFormat="1" ht="22.5" x14ac:dyDescent="0.2">
      <c r="A876" s="920">
        <v>128259</v>
      </c>
      <c r="B876" s="922" t="s">
        <v>2287</v>
      </c>
      <c r="C876" s="921">
        <v>357705.1</v>
      </c>
      <c r="D876" s="921">
        <v>0</v>
      </c>
    </row>
    <row r="877" spans="1:4" s="919" customFormat="1" ht="22.5" x14ac:dyDescent="0.2">
      <c r="A877" s="920">
        <v>128260</v>
      </c>
      <c r="B877" s="922" t="s">
        <v>2288</v>
      </c>
      <c r="C877" s="921">
        <v>176255.31</v>
      </c>
      <c r="D877" s="921">
        <v>0</v>
      </c>
    </row>
    <row r="878" spans="1:4" s="919" customFormat="1" ht="22.5" x14ac:dyDescent="0.2">
      <c r="A878" s="920">
        <v>128261</v>
      </c>
      <c r="B878" s="922" t="s">
        <v>2289</v>
      </c>
      <c r="C878" s="921">
        <v>295588.74</v>
      </c>
      <c r="D878" s="921">
        <v>0</v>
      </c>
    </row>
    <row r="879" spans="1:4" s="919" customFormat="1" ht="22.5" x14ac:dyDescent="0.2">
      <c r="A879" s="920">
        <v>128262</v>
      </c>
      <c r="B879" s="922" t="s">
        <v>2290</v>
      </c>
      <c r="C879" s="921">
        <v>255562.5</v>
      </c>
      <c r="D879" s="921">
        <v>0</v>
      </c>
    </row>
    <row r="880" spans="1:4" s="919" customFormat="1" ht="33.75" x14ac:dyDescent="0.2">
      <c r="A880" s="920">
        <v>128263</v>
      </c>
      <c r="B880" s="922" t="s">
        <v>2291</v>
      </c>
      <c r="C880" s="921">
        <v>301042.95</v>
      </c>
      <c r="D880" s="921">
        <v>0</v>
      </c>
    </row>
    <row r="881" spans="1:4" s="919" customFormat="1" ht="22.5" x14ac:dyDescent="0.2">
      <c r="A881" s="920">
        <v>128264</v>
      </c>
      <c r="B881" s="922" t="s">
        <v>2292</v>
      </c>
      <c r="C881" s="921">
        <v>354856.66000000003</v>
      </c>
      <c r="D881" s="921">
        <v>0</v>
      </c>
    </row>
    <row r="882" spans="1:4" s="919" customFormat="1" x14ac:dyDescent="0.2">
      <c r="A882" s="920">
        <v>128265</v>
      </c>
      <c r="B882" s="922" t="s">
        <v>2293</v>
      </c>
      <c r="C882" s="921">
        <v>638377</v>
      </c>
      <c r="D882" s="921">
        <v>0</v>
      </c>
    </row>
    <row r="883" spans="1:4" s="919" customFormat="1" x14ac:dyDescent="0.2">
      <c r="A883" s="920">
        <v>128266</v>
      </c>
      <c r="B883" s="922" t="s">
        <v>2294</v>
      </c>
      <c r="C883" s="921">
        <v>426913.06</v>
      </c>
      <c r="D883" s="921">
        <v>0</v>
      </c>
    </row>
    <row r="884" spans="1:4" s="919" customFormat="1" x14ac:dyDescent="0.2">
      <c r="A884" s="920">
        <v>128267</v>
      </c>
      <c r="B884" s="922" t="s">
        <v>1998</v>
      </c>
      <c r="C884" s="921">
        <v>253885.85</v>
      </c>
      <c r="D884" s="921">
        <v>0</v>
      </c>
    </row>
    <row r="885" spans="1:4" s="919" customFormat="1" x14ac:dyDescent="0.2">
      <c r="A885" s="920">
        <v>128268</v>
      </c>
      <c r="B885" s="922" t="s">
        <v>2295</v>
      </c>
      <c r="C885" s="921">
        <v>193583.65000000002</v>
      </c>
      <c r="D885" s="921">
        <v>0</v>
      </c>
    </row>
    <row r="886" spans="1:4" s="919" customFormat="1" x14ac:dyDescent="0.2">
      <c r="A886" s="920">
        <v>128269</v>
      </c>
      <c r="B886" s="922" t="s">
        <v>2296</v>
      </c>
      <c r="C886" s="921">
        <v>264896.76</v>
      </c>
      <c r="D886" s="921">
        <v>0</v>
      </c>
    </row>
    <row r="887" spans="1:4" s="919" customFormat="1" x14ac:dyDescent="0.2">
      <c r="A887" s="920">
        <v>128270</v>
      </c>
      <c r="B887" s="922" t="s">
        <v>2297</v>
      </c>
      <c r="C887" s="921">
        <v>161830.34</v>
      </c>
      <c r="D887" s="921">
        <v>0</v>
      </c>
    </row>
    <row r="888" spans="1:4" s="919" customFormat="1" x14ac:dyDescent="0.2">
      <c r="A888" s="920">
        <v>128271</v>
      </c>
      <c r="B888" s="922" t="s">
        <v>2298</v>
      </c>
      <c r="C888" s="921">
        <v>397389</v>
      </c>
      <c r="D888" s="921">
        <v>0</v>
      </c>
    </row>
    <row r="889" spans="1:4" s="919" customFormat="1" x14ac:dyDescent="0.2">
      <c r="A889" s="920">
        <v>128272</v>
      </c>
      <c r="B889" s="922" t="s">
        <v>2299</v>
      </c>
      <c r="C889" s="921">
        <v>344446.04</v>
      </c>
      <c r="D889" s="921">
        <v>0</v>
      </c>
    </row>
    <row r="890" spans="1:4" s="919" customFormat="1" x14ac:dyDescent="0.2">
      <c r="A890" s="920">
        <v>128273</v>
      </c>
      <c r="B890" s="922" t="s">
        <v>2300</v>
      </c>
      <c r="C890" s="921">
        <v>832863.85</v>
      </c>
      <c r="D890" s="921">
        <v>0</v>
      </c>
    </row>
    <row r="891" spans="1:4" s="919" customFormat="1" x14ac:dyDescent="0.2">
      <c r="A891" s="920">
        <v>128274</v>
      </c>
      <c r="B891" s="922" t="s">
        <v>2301</v>
      </c>
      <c r="C891" s="921">
        <v>349666.62</v>
      </c>
      <c r="D891" s="921">
        <v>0</v>
      </c>
    </row>
    <row r="892" spans="1:4" s="919" customFormat="1" x14ac:dyDescent="0.2">
      <c r="A892" s="920">
        <v>128275</v>
      </c>
      <c r="B892" s="922" t="s">
        <v>2302</v>
      </c>
      <c r="C892" s="921">
        <v>408028.07</v>
      </c>
      <c r="D892" s="921">
        <v>0</v>
      </c>
    </row>
    <row r="893" spans="1:4" s="919" customFormat="1" x14ac:dyDescent="0.2">
      <c r="A893" s="920">
        <v>128276</v>
      </c>
      <c r="B893" s="922" t="s">
        <v>2303</v>
      </c>
      <c r="C893" s="921">
        <v>651600</v>
      </c>
      <c r="D893" s="921">
        <v>0</v>
      </c>
    </row>
    <row r="894" spans="1:4" s="919" customFormat="1" x14ac:dyDescent="0.2">
      <c r="A894" s="920">
        <v>128277</v>
      </c>
      <c r="B894" s="922" t="s">
        <v>2304</v>
      </c>
      <c r="C894" s="921">
        <v>189802.3</v>
      </c>
      <c r="D894" s="921">
        <v>0</v>
      </c>
    </row>
    <row r="895" spans="1:4" s="919" customFormat="1" x14ac:dyDescent="0.2">
      <c r="A895" s="920">
        <v>128278</v>
      </c>
      <c r="B895" s="922" t="s">
        <v>2305</v>
      </c>
      <c r="C895" s="921">
        <v>177860.25</v>
      </c>
      <c r="D895" s="921">
        <v>0</v>
      </c>
    </row>
    <row r="896" spans="1:4" s="919" customFormat="1" ht="22.5" x14ac:dyDescent="0.2">
      <c r="A896" s="920">
        <v>128279</v>
      </c>
      <c r="B896" s="922" t="s">
        <v>2306</v>
      </c>
      <c r="C896" s="921">
        <v>140932.01</v>
      </c>
      <c r="D896" s="921">
        <v>0</v>
      </c>
    </row>
    <row r="897" spans="1:4" s="919" customFormat="1" ht="22.5" x14ac:dyDescent="0.2">
      <c r="A897" s="920">
        <v>128280</v>
      </c>
      <c r="B897" s="922" t="s">
        <v>2307</v>
      </c>
      <c r="C897" s="921">
        <v>288900</v>
      </c>
      <c r="D897" s="921">
        <v>0</v>
      </c>
    </row>
    <row r="898" spans="1:4" s="919" customFormat="1" x14ac:dyDescent="0.2">
      <c r="A898" s="920">
        <v>128281</v>
      </c>
      <c r="B898" s="922" t="s">
        <v>2308</v>
      </c>
      <c r="C898" s="921">
        <v>284664.58</v>
      </c>
      <c r="D898" s="921">
        <v>0</v>
      </c>
    </row>
    <row r="899" spans="1:4" s="919" customFormat="1" ht="22.5" x14ac:dyDescent="0.2">
      <c r="A899" s="920">
        <v>128282</v>
      </c>
      <c r="B899" s="922" t="s">
        <v>2309</v>
      </c>
      <c r="C899" s="921">
        <v>291581.67000000004</v>
      </c>
      <c r="D899" s="921">
        <v>0</v>
      </c>
    </row>
    <row r="900" spans="1:4" s="919" customFormat="1" ht="22.5" x14ac:dyDescent="0.2">
      <c r="A900" s="920">
        <v>128283</v>
      </c>
      <c r="B900" s="922" t="s">
        <v>2310</v>
      </c>
      <c r="C900" s="921">
        <v>285189.76000000001</v>
      </c>
      <c r="D900" s="921">
        <v>0</v>
      </c>
    </row>
    <row r="901" spans="1:4" s="919" customFormat="1" x14ac:dyDescent="0.2">
      <c r="A901" s="920">
        <v>128325</v>
      </c>
      <c r="B901" s="922" t="s">
        <v>2311</v>
      </c>
      <c r="C901" s="921">
        <v>0</v>
      </c>
      <c r="D901" s="921">
        <v>1713230.54</v>
      </c>
    </row>
    <row r="902" spans="1:4" s="919" customFormat="1" x14ac:dyDescent="0.2">
      <c r="A902" s="920">
        <v>128326</v>
      </c>
      <c r="B902" s="922" t="s">
        <v>2312</v>
      </c>
      <c r="C902" s="921">
        <v>0</v>
      </c>
      <c r="D902" s="921">
        <v>2184616.25</v>
      </c>
    </row>
    <row r="903" spans="1:4" s="919" customFormat="1" x14ac:dyDescent="0.2">
      <c r="A903" s="920">
        <v>128327</v>
      </c>
      <c r="B903" s="922" t="s">
        <v>1685</v>
      </c>
      <c r="C903" s="921">
        <v>0</v>
      </c>
      <c r="D903" s="921">
        <v>1331534.77</v>
      </c>
    </row>
    <row r="904" spans="1:4" s="919" customFormat="1" x14ac:dyDescent="0.2">
      <c r="A904" s="920">
        <v>128328</v>
      </c>
      <c r="B904" s="922" t="s">
        <v>2313</v>
      </c>
      <c r="C904" s="921">
        <v>0</v>
      </c>
      <c r="D904" s="921">
        <v>904776.57</v>
      </c>
    </row>
    <row r="905" spans="1:4" s="919" customFormat="1" x14ac:dyDescent="0.2">
      <c r="A905" s="920">
        <v>128329</v>
      </c>
      <c r="B905" s="922" t="s">
        <v>2314</v>
      </c>
      <c r="C905" s="921">
        <v>0</v>
      </c>
      <c r="D905" s="921">
        <v>667831.51</v>
      </c>
    </row>
    <row r="906" spans="1:4" s="919" customFormat="1" x14ac:dyDescent="0.2">
      <c r="A906" s="920">
        <v>128330</v>
      </c>
      <c r="B906" s="922" t="s">
        <v>2315</v>
      </c>
      <c r="C906" s="921">
        <v>0</v>
      </c>
      <c r="D906" s="921">
        <v>891374.07</v>
      </c>
    </row>
    <row r="907" spans="1:4" s="919" customFormat="1" ht="22.5" x14ac:dyDescent="0.2">
      <c r="A907" s="920">
        <v>128331</v>
      </c>
      <c r="B907" s="922" t="s">
        <v>2316</v>
      </c>
      <c r="C907" s="921">
        <v>0</v>
      </c>
      <c r="D907" s="921">
        <v>747378.86</v>
      </c>
    </row>
    <row r="908" spans="1:4" s="919" customFormat="1" x14ac:dyDescent="0.2">
      <c r="A908" s="833"/>
    </row>
    <row r="909" spans="1:4" s="919" customFormat="1" x14ac:dyDescent="0.2">
      <c r="A909" s="833"/>
    </row>
    <row r="910" spans="1:4" s="919" customFormat="1" x14ac:dyDescent="0.2">
      <c r="A910" s="833"/>
    </row>
    <row r="916" spans="1:3" ht="36" customHeight="1" x14ac:dyDescent="0.2">
      <c r="A916" s="1169" t="s">
        <v>1834</v>
      </c>
      <c r="B916" s="1169"/>
      <c r="C916" s="722" t="s">
        <v>1830</v>
      </c>
    </row>
    <row r="917" spans="1:3" ht="24" customHeight="1" x14ac:dyDescent="0.2">
      <c r="A917" s="1169" t="s">
        <v>1831</v>
      </c>
      <c r="B917" s="1169"/>
      <c r="C917" s="722" t="s">
        <v>1832</v>
      </c>
    </row>
    <row r="918" spans="1:3" x14ac:dyDescent="0.2">
      <c r="A918" s="822"/>
      <c r="B918" s="822"/>
    </row>
    <row r="919" spans="1:3" x14ac:dyDescent="0.2">
      <c r="A919" s="719" t="s">
        <v>1833</v>
      </c>
      <c r="B919" s="822"/>
    </row>
    <row r="920" spans="1:3" x14ac:dyDescent="0.2">
      <c r="A920" s="720" t="s">
        <v>1970</v>
      </c>
      <c r="B920" s="822"/>
    </row>
  </sheetData>
  <mergeCells count="8">
    <mergeCell ref="A916:B916"/>
    <mergeCell ref="A917:B917"/>
    <mergeCell ref="A1:D1"/>
    <mergeCell ref="A7:B8"/>
    <mergeCell ref="C7:C8"/>
    <mergeCell ref="A2:D2"/>
    <mergeCell ref="A3:D3"/>
    <mergeCell ref="A4:D4"/>
  </mergeCells>
  <printOptions horizontalCentered="1"/>
  <pageMargins left="0.35" right="0.28000000000000003" top="0.4" bottom="0.32" header="0.31496062992125984" footer="0.31496062992125984"/>
  <pageSetup scale="8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D509"/>
  <sheetViews>
    <sheetView topLeftCell="A474" workbookViewId="0">
      <selection sqref="A1:D509"/>
    </sheetView>
  </sheetViews>
  <sheetFormatPr baseColWidth="10" defaultRowHeight="14.25" x14ac:dyDescent="0.2"/>
  <cols>
    <col min="1" max="1" width="4.85546875" style="56" customWidth="1"/>
    <col min="2" max="2" width="52" style="8" customWidth="1"/>
    <col min="3" max="3" width="44" style="8" customWidth="1"/>
    <col min="4" max="4" width="34.42578125" style="8" customWidth="1"/>
    <col min="5" max="16384" width="11.42578125" style="8"/>
  </cols>
  <sheetData>
    <row r="1" spans="1:4" ht="15" x14ac:dyDescent="0.25">
      <c r="A1" s="1172" t="s">
        <v>167</v>
      </c>
      <c r="B1" s="1172"/>
      <c r="C1" s="1172"/>
      <c r="D1" s="1172"/>
    </row>
    <row r="2" spans="1:4" ht="15.75" x14ac:dyDescent="0.25">
      <c r="A2" s="1027" t="s">
        <v>424</v>
      </c>
      <c r="B2" s="1027"/>
      <c r="C2" s="1027"/>
      <c r="D2" s="1027"/>
    </row>
    <row r="3" spans="1:4" ht="15" x14ac:dyDescent="0.25">
      <c r="A3" s="1172" t="s">
        <v>600</v>
      </c>
      <c r="B3" s="1172"/>
      <c r="C3" s="1172"/>
      <c r="D3" s="1172"/>
    </row>
    <row r="4" spans="1:4" ht="15.75" x14ac:dyDescent="0.25">
      <c r="A4" s="1027" t="s">
        <v>2173</v>
      </c>
      <c r="B4" s="1027"/>
      <c r="C4" s="1027"/>
      <c r="D4" s="1027"/>
    </row>
    <row r="5" spans="1:4" ht="15.75" x14ac:dyDescent="0.25">
      <c r="A5" s="1027" t="s">
        <v>297</v>
      </c>
      <c r="B5" s="1027"/>
      <c r="C5" s="1027"/>
      <c r="D5" s="1027"/>
    </row>
    <row r="6" spans="1:4" ht="6.75" customHeight="1" thickBot="1" x14ac:dyDescent="0.25"/>
    <row r="7" spans="1:4" s="131" customFormat="1" ht="30" customHeight="1" x14ac:dyDescent="0.25">
      <c r="A7" s="1173" t="s">
        <v>333</v>
      </c>
      <c r="B7" s="1174"/>
      <c r="C7" s="1177" t="s">
        <v>334</v>
      </c>
      <c r="D7" s="1179" t="s">
        <v>335</v>
      </c>
    </row>
    <row r="8" spans="1:4" s="131" customFormat="1" ht="32.25" customHeight="1" thickBot="1" x14ac:dyDescent="0.3">
      <c r="A8" s="1175"/>
      <c r="B8" s="1176"/>
      <c r="C8" s="1178"/>
      <c r="D8" s="1180"/>
    </row>
    <row r="9" spans="1:4" x14ac:dyDescent="0.2">
      <c r="A9" s="328"/>
      <c r="B9" s="668" t="s">
        <v>601</v>
      </c>
      <c r="C9" s="669" t="s">
        <v>602</v>
      </c>
      <c r="D9" s="670">
        <v>260136.43</v>
      </c>
    </row>
    <row r="10" spans="1:4" x14ac:dyDescent="0.2">
      <c r="A10" s="328"/>
      <c r="B10" s="668" t="s">
        <v>603</v>
      </c>
      <c r="C10" s="669" t="s">
        <v>604</v>
      </c>
      <c r="D10" s="670">
        <v>221700</v>
      </c>
    </row>
    <row r="11" spans="1:4" x14ac:dyDescent="0.2">
      <c r="A11" s="328"/>
      <c r="B11" s="668" t="s">
        <v>605</v>
      </c>
      <c r="C11" s="669" t="s">
        <v>606</v>
      </c>
      <c r="D11" s="670">
        <v>157500</v>
      </c>
    </row>
    <row r="12" spans="1:4" x14ac:dyDescent="0.2">
      <c r="A12" s="328"/>
      <c r="B12" s="668" t="s">
        <v>607</v>
      </c>
      <c r="C12" s="669" t="s">
        <v>608</v>
      </c>
      <c r="D12" s="670">
        <v>157500</v>
      </c>
    </row>
    <row r="13" spans="1:4" x14ac:dyDescent="0.2">
      <c r="A13" s="328"/>
      <c r="B13" s="668" t="s">
        <v>609</v>
      </c>
      <c r="C13" s="669" t="s">
        <v>610</v>
      </c>
      <c r="D13" s="670">
        <v>149000</v>
      </c>
    </row>
    <row r="14" spans="1:4" x14ac:dyDescent="0.2">
      <c r="A14" s="328"/>
      <c r="B14" s="668" t="s">
        <v>611</v>
      </c>
      <c r="C14" s="671" t="s">
        <v>612</v>
      </c>
      <c r="D14" s="670">
        <v>165500</v>
      </c>
    </row>
    <row r="15" spans="1:4" x14ac:dyDescent="0.2">
      <c r="A15" s="328"/>
      <c r="B15" s="668" t="s">
        <v>613</v>
      </c>
      <c r="C15" s="671" t="s">
        <v>614</v>
      </c>
      <c r="D15" s="670">
        <v>310000</v>
      </c>
    </row>
    <row r="16" spans="1:4" x14ac:dyDescent="0.2">
      <c r="A16" s="328"/>
      <c r="B16" s="668" t="s">
        <v>615</v>
      </c>
      <c r="C16" s="671" t="s">
        <v>616</v>
      </c>
      <c r="D16" s="670">
        <v>569890</v>
      </c>
    </row>
    <row r="17" spans="1:4" x14ac:dyDescent="0.2">
      <c r="A17" s="328"/>
      <c r="B17" s="668" t="s">
        <v>617</v>
      </c>
      <c r="C17" s="671" t="s">
        <v>618</v>
      </c>
      <c r="D17" s="670">
        <v>119000</v>
      </c>
    </row>
    <row r="18" spans="1:4" x14ac:dyDescent="0.2">
      <c r="A18" s="328"/>
      <c r="B18" s="668" t="s">
        <v>619</v>
      </c>
      <c r="C18" s="671" t="s">
        <v>618</v>
      </c>
      <c r="D18" s="670">
        <v>119000</v>
      </c>
    </row>
    <row r="19" spans="1:4" x14ac:dyDescent="0.2">
      <c r="A19" s="328"/>
      <c r="B19" s="668" t="s">
        <v>620</v>
      </c>
      <c r="C19" s="671" t="s">
        <v>618</v>
      </c>
      <c r="D19" s="670">
        <v>119000</v>
      </c>
    </row>
    <row r="20" spans="1:4" x14ac:dyDescent="0.2">
      <c r="A20" s="328"/>
      <c r="B20" s="672" t="s">
        <v>621</v>
      </c>
      <c r="C20" s="669" t="s">
        <v>622</v>
      </c>
      <c r="D20" s="670">
        <v>123446</v>
      </c>
    </row>
    <row r="21" spans="1:4" x14ac:dyDescent="0.2">
      <c r="A21" s="328"/>
      <c r="B21" s="668" t="s">
        <v>623</v>
      </c>
      <c r="C21" s="671" t="s">
        <v>622</v>
      </c>
      <c r="D21" s="670">
        <v>129300</v>
      </c>
    </row>
    <row r="22" spans="1:4" x14ac:dyDescent="0.2">
      <c r="A22" s="328"/>
      <c r="B22" s="668" t="s">
        <v>624</v>
      </c>
      <c r="C22" s="669" t="s">
        <v>622</v>
      </c>
      <c r="D22" s="670">
        <v>129300</v>
      </c>
    </row>
    <row r="23" spans="1:4" x14ac:dyDescent="0.2">
      <c r="A23" s="328"/>
      <c r="B23" s="668" t="s">
        <v>625</v>
      </c>
      <c r="C23" s="673" t="s">
        <v>626</v>
      </c>
      <c r="D23" s="674">
        <v>6820</v>
      </c>
    </row>
    <row r="24" spans="1:4" x14ac:dyDescent="0.2">
      <c r="A24" s="328"/>
      <c r="B24" s="672" t="s">
        <v>627</v>
      </c>
      <c r="C24" s="675" t="s">
        <v>628</v>
      </c>
      <c r="D24" s="676">
        <v>14892.5</v>
      </c>
    </row>
    <row r="25" spans="1:4" x14ac:dyDescent="0.2">
      <c r="A25" s="328"/>
      <c r="B25" s="672" t="s">
        <v>629</v>
      </c>
      <c r="C25" s="675" t="s">
        <v>630</v>
      </c>
      <c r="D25" s="676">
        <v>2748.5</v>
      </c>
    </row>
    <row r="26" spans="1:4" x14ac:dyDescent="0.2">
      <c r="A26" s="328"/>
      <c r="B26" s="672" t="s">
        <v>631</v>
      </c>
      <c r="C26" s="675" t="s">
        <v>632</v>
      </c>
      <c r="D26" s="676">
        <v>425</v>
      </c>
    </row>
    <row r="27" spans="1:4" x14ac:dyDescent="0.2">
      <c r="A27" s="328"/>
      <c r="B27" s="672" t="s">
        <v>633</v>
      </c>
      <c r="C27" s="675" t="s">
        <v>632</v>
      </c>
      <c r="D27" s="676">
        <v>425</v>
      </c>
    </row>
    <row r="28" spans="1:4" x14ac:dyDescent="0.2">
      <c r="A28" s="328"/>
      <c r="B28" s="672" t="s">
        <v>634</v>
      </c>
      <c r="C28" s="675" t="s">
        <v>632</v>
      </c>
      <c r="D28" s="676">
        <v>425</v>
      </c>
    </row>
    <row r="29" spans="1:4" x14ac:dyDescent="0.2">
      <c r="A29" s="328"/>
      <c r="B29" s="672" t="s">
        <v>635</v>
      </c>
      <c r="C29" s="675" t="s">
        <v>632</v>
      </c>
      <c r="D29" s="676">
        <v>425</v>
      </c>
    </row>
    <row r="30" spans="1:4" x14ac:dyDescent="0.2">
      <c r="A30" s="328"/>
      <c r="B30" s="672" t="s">
        <v>636</v>
      </c>
      <c r="C30" s="675" t="s">
        <v>632</v>
      </c>
      <c r="D30" s="676">
        <v>425</v>
      </c>
    </row>
    <row r="31" spans="1:4" x14ac:dyDescent="0.2">
      <c r="A31" s="328"/>
      <c r="B31" s="672" t="s">
        <v>637</v>
      </c>
      <c r="C31" s="675" t="s">
        <v>638</v>
      </c>
      <c r="D31" s="676">
        <v>1380</v>
      </c>
    </row>
    <row r="32" spans="1:4" x14ac:dyDescent="0.2">
      <c r="A32" s="328"/>
      <c r="B32" s="672" t="s">
        <v>639</v>
      </c>
      <c r="C32" s="675" t="s">
        <v>640</v>
      </c>
      <c r="D32" s="676">
        <v>5571.75</v>
      </c>
    </row>
    <row r="33" spans="1:4" x14ac:dyDescent="0.2">
      <c r="A33" s="328"/>
      <c r="B33" s="672" t="s">
        <v>641</v>
      </c>
      <c r="C33" s="675" t="s">
        <v>642</v>
      </c>
      <c r="D33" s="676">
        <v>1483.5</v>
      </c>
    </row>
    <row r="34" spans="1:4" x14ac:dyDescent="0.2">
      <c r="A34" s="328"/>
      <c r="B34" s="672" t="s">
        <v>643</v>
      </c>
      <c r="C34" s="677" t="s">
        <v>644</v>
      </c>
      <c r="D34" s="676">
        <v>13386</v>
      </c>
    </row>
    <row r="35" spans="1:4" x14ac:dyDescent="0.2">
      <c r="A35" s="328"/>
      <c r="B35" s="672" t="s">
        <v>645</v>
      </c>
      <c r="C35" s="677" t="s">
        <v>646</v>
      </c>
      <c r="D35" s="678">
        <v>1923.6279999999999</v>
      </c>
    </row>
    <row r="36" spans="1:4" x14ac:dyDescent="0.2">
      <c r="A36" s="328"/>
      <c r="B36" s="672" t="s">
        <v>647</v>
      </c>
      <c r="C36" s="677" t="s">
        <v>648</v>
      </c>
      <c r="D36" s="676">
        <v>9289.2800000000007</v>
      </c>
    </row>
    <row r="37" spans="1:4" x14ac:dyDescent="0.2">
      <c r="A37" s="328"/>
      <c r="B37" s="672" t="s">
        <v>649</v>
      </c>
      <c r="C37" s="679" t="s">
        <v>650</v>
      </c>
      <c r="D37" s="676">
        <v>1455.9970000000001</v>
      </c>
    </row>
    <row r="38" spans="1:4" x14ac:dyDescent="0.2">
      <c r="A38" s="328"/>
      <c r="B38" s="672" t="s">
        <v>651</v>
      </c>
      <c r="C38" s="679" t="s">
        <v>652</v>
      </c>
      <c r="D38" s="676">
        <v>3507.5</v>
      </c>
    </row>
    <row r="39" spans="1:4" x14ac:dyDescent="0.2">
      <c r="A39" s="328"/>
      <c r="B39" s="672" t="s">
        <v>653</v>
      </c>
      <c r="C39" s="679" t="s">
        <v>654</v>
      </c>
      <c r="D39" s="676">
        <v>425</v>
      </c>
    </row>
    <row r="40" spans="1:4" x14ac:dyDescent="0.2">
      <c r="A40" s="328"/>
      <c r="B40" s="672" t="s">
        <v>655</v>
      </c>
      <c r="C40" s="679" t="s">
        <v>656</v>
      </c>
      <c r="D40" s="676">
        <v>11582.19</v>
      </c>
    </row>
    <row r="41" spans="1:4" x14ac:dyDescent="0.2">
      <c r="A41" s="328"/>
      <c r="B41" s="672" t="s">
        <v>657</v>
      </c>
      <c r="C41" s="677" t="s">
        <v>658</v>
      </c>
      <c r="D41" s="676">
        <v>2900</v>
      </c>
    </row>
    <row r="42" spans="1:4" x14ac:dyDescent="0.2">
      <c r="A42" s="328"/>
      <c r="B42" s="672" t="s">
        <v>659</v>
      </c>
      <c r="C42" s="675" t="s">
        <v>660</v>
      </c>
      <c r="D42" s="676">
        <v>1380</v>
      </c>
    </row>
    <row r="43" spans="1:4" x14ac:dyDescent="0.2">
      <c r="A43" s="328"/>
      <c r="B43" s="672" t="s">
        <v>661</v>
      </c>
      <c r="C43" s="675" t="s">
        <v>662</v>
      </c>
      <c r="D43" s="676">
        <v>4025</v>
      </c>
    </row>
    <row r="44" spans="1:4" x14ac:dyDescent="0.2">
      <c r="A44" s="328"/>
      <c r="B44" s="672" t="s">
        <v>663</v>
      </c>
      <c r="C44" s="677" t="s">
        <v>646</v>
      </c>
      <c r="D44" s="678">
        <v>1923.6279999999999</v>
      </c>
    </row>
    <row r="45" spans="1:4" x14ac:dyDescent="0.2">
      <c r="A45" s="328"/>
      <c r="B45" s="672" t="s">
        <v>664</v>
      </c>
      <c r="C45" s="677" t="s">
        <v>665</v>
      </c>
      <c r="D45" s="676">
        <v>6842.5</v>
      </c>
    </row>
    <row r="46" spans="1:4" x14ac:dyDescent="0.2">
      <c r="A46" s="328"/>
      <c r="B46" s="672" t="s">
        <v>666</v>
      </c>
      <c r="C46" s="679" t="s">
        <v>667</v>
      </c>
      <c r="D46" s="676">
        <v>1455.9970000000001</v>
      </c>
    </row>
    <row r="47" spans="1:4" x14ac:dyDescent="0.2">
      <c r="A47" s="328"/>
      <c r="B47" s="672" t="s">
        <v>668</v>
      </c>
      <c r="C47" s="677" t="s">
        <v>646</v>
      </c>
      <c r="D47" s="678">
        <v>1923.6279999999999</v>
      </c>
    </row>
    <row r="48" spans="1:4" x14ac:dyDescent="0.2">
      <c r="A48" s="328"/>
      <c r="B48" s="672" t="s">
        <v>669</v>
      </c>
      <c r="C48" s="675" t="s">
        <v>670</v>
      </c>
      <c r="D48" s="676">
        <v>3622.5</v>
      </c>
    </row>
    <row r="49" spans="1:4" x14ac:dyDescent="0.2">
      <c r="A49" s="328"/>
      <c r="B49" s="672" t="s">
        <v>671</v>
      </c>
      <c r="C49" s="677" t="s">
        <v>646</v>
      </c>
      <c r="D49" s="678">
        <v>1923.6279999999999</v>
      </c>
    </row>
    <row r="50" spans="1:4" x14ac:dyDescent="0.2">
      <c r="A50" s="328"/>
      <c r="B50" s="672" t="s">
        <v>672</v>
      </c>
      <c r="C50" s="675" t="s">
        <v>673</v>
      </c>
      <c r="D50" s="674">
        <v>14630.88</v>
      </c>
    </row>
    <row r="51" spans="1:4" x14ac:dyDescent="0.2">
      <c r="A51" s="328"/>
      <c r="B51" s="672" t="s">
        <v>674</v>
      </c>
      <c r="C51" s="675" t="s">
        <v>675</v>
      </c>
      <c r="D51" s="674">
        <v>5393.5</v>
      </c>
    </row>
    <row r="52" spans="1:4" x14ac:dyDescent="0.2">
      <c r="A52" s="328"/>
      <c r="B52" s="672" t="s">
        <v>676</v>
      </c>
      <c r="C52" s="675" t="s">
        <v>677</v>
      </c>
      <c r="D52" s="676">
        <v>1023.5</v>
      </c>
    </row>
    <row r="53" spans="1:4" x14ac:dyDescent="0.2">
      <c r="A53" s="328"/>
      <c r="B53" s="672" t="s">
        <v>678</v>
      </c>
      <c r="C53" s="675" t="s">
        <v>679</v>
      </c>
      <c r="D53" s="674">
        <v>2978.5</v>
      </c>
    </row>
    <row r="54" spans="1:4" x14ac:dyDescent="0.2">
      <c r="A54" s="328"/>
      <c r="B54" s="672" t="s">
        <v>680</v>
      </c>
      <c r="C54" s="675" t="s">
        <v>681</v>
      </c>
      <c r="D54" s="674">
        <v>2530</v>
      </c>
    </row>
    <row r="55" spans="1:4" x14ac:dyDescent="0.2">
      <c r="A55" s="328"/>
      <c r="B55" s="672" t="s">
        <v>682</v>
      </c>
      <c r="C55" s="669" t="s">
        <v>683</v>
      </c>
      <c r="D55" s="680">
        <v>1937.75</v>
      </c>
    </row>
    <row r="56" spans="1:4" x14ac:dyDescent="0.2">
      <c r="A56" s="328"/>
      <c r="B56" s="672" t="s">
        <v>684</v>
      </c>
      <c r="C56" s="675" t="s">
        <v>685</v>
      </c>
      <c r="D56" s="676">
        <v>1932</v>
      </c>
    </row>
    <row r="57" spans="1:4" x14ac:dyDescent="0.2">
      <c r="A57" s="328"/>
      <c r="B57" s="672" t="s">
        <v>686</v>
      </c>
      <c r="C57" s="677" t="s">
        <v>687</v>
      </c>
      <c r="D57" s="676">
        <v>18285</v>
      </c>
    </row>
    <row r="58" spans="1:4" x14ac:dyDescent="0.2">
      <c r="A58" s="328"/>
      <c r="B58" s="672" t="s">
        <v>688</v>
      </c>
      <c r="C58" s="677" t="s">
        <v>673</v>
      </c>
      <c r="D58" s="676">
        <v>11300</v>
      </c>
    </row>
    <row r="59" spans="1:4" x14ac:dyDescent="0.2">
      <c r="A59" s="328"/>
      <c r="B59" s="672" t="s">
        <v>689</v>
      </c>
      <c r="C59" s="677" t="s">
        <v>690</v>
      </c>
      <c r="D59" s="676">
        <v>943</v>
      </c>
    </row>
    <row r="60" spans="1:4" x14ac:dyDescent="0.2">
      <c r="A60" s="328"/>
      <c r="B60" s="672" t="s">
        <v>691</v>
      </c>
      <c r="C60" s="677" t="s">
        <v>690</v>
      </c>
      <c r="D60" s="676">
        <v>943</v>
      </c>
    </row>
    <row r="61" spans="1:4" x14ac:dyDescent="0.2">
      <c r="A61" s="328"/>
      <c r="B61" s="672" t="s">
        <v>692</v>
      </c>
      <c r="C61" s="681" t="s">
        <v>693</v>
      </c>
      <c r="D61" s="674">
        <v>3438.5</v>
      </c>
    </row>
    <row r="62" spans="1:4" x14ac:dyDescent="0.2">
      <c r="A62" s="328"/>
      <c r="B62" s="672" t="s">
        <v>694</v>
      </c>
      <c r="C62" s="681" t="s">
        <v>695</v>
      </c>
      <c r="D62" s="674">
        <v>9878.5</v>
      </c>
    </row>
    <row r="63" spans="1:4" x14ac:dyDescent="0.2">
      <c r="A63" s="328"/>
      <c r="B63" s="672" t="s">
        <v>696</v>
      </c>
      <c r="C63" s="679" t="s">
        <v>673</v>
      </c>
      <c r="D63" s="674">
        <v>11300</v>
      </c>
    </row>
    <row r="64" spans="1:4" x14ac:dyDescent="0.2">
      <c r="A64" s="328"/>
      <c r="B64" s="672" t="s">
        <v>697</v>
      </c>
      <c r="C64" s="679" t="s">
        <v>698</v>
      </c>
      <c r="D64" s="674">
        <v>943</v>
      </c>
    </row>
    <row r="65" spans="1:4" x14ac:dyDescent="0.2">
      <c r="A65" s="328"/>
      <c r="B65" s="672" t="s">
        <v>699</v>
      </c>
      <c r="C65" s="682" t="s">
        <v>700</v>
      </c>
      <c r="D65" s="680">
        <v>5175</v>
      </c>
    </row>
    <row r="66" spans="1:4" x14ac:dyDescent="0.2">
      <c r="A66" s="328"/>
      <c r="B66" s="672" t="s">
        <v>701</v>
      </c>
      <c r="C66" s="682" t="s">
        <v>702</v>
      </c>
      <c r="D66" s="680">
        <v>9442.42</v>
      </c>
    </row>
    <row r="67" spans="1:4" x14ac:dyDescent="0.2">
      <c r="A67" s="328"/>
      <c r="B67" s="672" t="s">
        <v>703</v>
      </c>
      <c r="C67" s="682" t="s">
        <v>704</v>
      </c>
      <c r="D67" s="680">
        <v>3306.02</v>
      </c>
    </row>
    <row r="68" spans="1:4" x14ac:dyDescent="0.2">
      <c r="A68" s="328"/>
      <c r="B68" s="672" t="s">
        <v>705</v>
      </c>
      <c r="C68" s="675" t="s">
        <v>706</v>
      </c>
      <c r="D68" s="676">
        <v>4025</v>
      </c>
    </row>
    <row r="69" spans="1:4" x14ac:dyDescent="0.2">
      <c r="A69" s="328"/>
      <c r="B69" s="672" t="s">
        <v>707</v>
      </c>
      <c r="C69" s="682" t="s">
        <v>708</v>
      </c>
      <c r="D69" s="680">
        <v>3783.5</v>
      </c>
    </row>
    <row r="70" spans="1:4" x14ac:dyDescent="0.2">
      <c r="A70" s="328"/>
      <c r="B70" s="672" t="s">
        <v>709</v>
      </c>
      <c r="C70" s="675" t="s">
        <v>710</v>
      </c>
      <c r="D70" s="674">
        <v>4582</v>
      </c>
    </row>
    <row r="71" spans="1:4" x14ac:dyDescent="0.2">
      <c r="A71" s="328"/>
      <c r="B71" s="672" t="s">
        <v>711</v>
      </c>
      <c r="C71" s="675" t="s">
        <v>712</v>
      </c>
      <c r="D71" s="674">
        <v>1943.5</v>
      </c>
    </row>
    <row r="72" spans="1:4" x14ac:dyDescent="0.2">
      <c r="A72" s="328"/>
      <c r="B72" s="672" t="s">
        <v>713</v>
      </c>
      <c r="C72" s="681" t="s">
        <v>714</v>
      </c>
      <c r="D72" s="674">
        <v>1485</v>
      </c>
    </row>
    <row r="73" spans="1:4" x14ac:dyDescent="0.2">
      <c r="A73" s="328"/>
      <c r="B73" s="672" t="s">
        <v>715</v>
      </c>
      <c r="C73" s="681" t="s">
        <v>716</v>
      </c>
      <c r="D73" s="674">
        <v>2748.5</v>
      </c>
    </row>
    <row r="74" spans="1:4" x14ac:dyDescent="0.2">
      <c r="A74" s="328"/>
      <c r="B74" s="672" t="s">
        <v>717</v>
      </c>
      <c r="C74" s="679" t="s">
        <v>673</v>
      </c>
      <c r="D74" s="674">
        <v>7055.58</v>
      </c>
    </row>
    <row r="75" spans="1:4" x14ac:dyDescent="0.2">
      <c r="A75" s="328"/>
      <c r="B75" s="672" t="s">
        <v>718</v>
      </c>
      <c r="C75" s="679" t="s">
        <v>719</v>
      </c>
      <c r="D75" s="674">
        <v>2250.15</v>
      </c>
    </row>
    <row r="76" spans="1:4" x14ac:dyDescent="0.2">
      <c r="A76" s="328"/>
      <c r="B76" s="672" t="s">
        <v>720</v>
      </c>
      <c r="C76" s="679" t="s">
        <v>721</v>
      </c>
      <c r="D76" s="674">
        <v>1943.5</v>
      </c>
    </row>
    <row r="77" spans="1:4" x14ac:dyDescent="0.2">
      <c r="A77" s="328"/>
      <c r="B77" s="672" t="s">
        <v>722</v>
      </c>
      <c r="C77" s="679" t="s">
        <v>721</v>
      </c>
      <c r="D77" s="676">
        <v>1943.5</v>
      </c>
    </row>
    <row r="78" spans="1:4" x14ac:dyDescent="0.2">
      <c r="A78" s="328"/>
      <c r="B78" s="672" t="s">
        <v>723</v>
      </c>
      <c r="C78" s="681" t="s">
        <v>724</v>
      </c>
      <c r="D78" s="676">
        <v>3461.5</v>
      </c>
    </row>
    <row r="79" spans="1:4" x14ac:dyDescent="0.2">
      <c r="A79" s="328"/>
      <c r="B79" s="672" t="s">
        <v>725</v>
      </c>
      <c r="C79" s="679" t="s">
        <v>726</v>
      </c>
      <c r="D79" s="674">
        <v>1483.5</v>
      </c>
    </row>
    <row r="80" spans="1:4" x14ac:dyDescent="0.2">
      <c r="A80" s="328"/>
      <c r="B80" s="672" t="s">
        <v>727</v>
      </c>
      <c r="C80" s="679" t="s">
        <v>728</v>
      </c>
      <c r="D80" s="674">
        <v>2127.5</v>
      </c>
    </row>
    <row r="81" spans="1:4" x14ac:dyDescent="0.2">
      <c r="A81" s="328"/>
      <c r="B81" s="672" t="s">
        <v>729</v>
      </c>
      <c r="C81" s="681" t="s">
        <v>730</v>
      </c>
      <c r="D81" s="676">
        <v>16164.6</v>
      </c>
    </row>
    <row r="82" spans="1:4" x14ac:dyDescent="0.2">
      <c r="A82" s="328"/>
      <c r="B82" s="672" t="s">
        <v>731</v>
      </c>
      <c r="C82" s="675" t="s">
        <v>732</v>
      </c>
      <c r="D82" s="676">
        <v>4784</v>
      </c>
    </row>
    <row r="83" spans="1:4" x14ac:dyDescent="0.2">
      <c r="A83" s="328"/>
      <c r="B83" s="672" t="s">
        <v>733</v>
      </c>
      <c r="C83" s="675" t="s">
        <v>734</v>
      </c>
      <c r="D83" s="676">
        <v>3507.5</v>
      </c>
    </row>
    <row r="84" spans="1:4" x14ac:dyDescent="0.2">
      <c r="A84" s="328"/>
      <c r="B84" s="672" t="s">
        <v>735</v>
      </c>
      <c r="C84" s="675" t="s">
        <v>736</v>
      </c>
      <c r="D84" s="676">
        <v>3093.5</v>
      </c>
    </row>
    <row r="85" spans="1:4" x14ac:dyDescent="0.2">
      <c r="A85" s="328"/>
      <c r="B85" s="672" t="s">
        <v>737</v>
      </c>
      <c r="C85" s="679" t="s">
        <v>738</v>
      </c>
      <c r="D85" s="676">
        <v>4141.2</v>
      </c>
    </row>
    <row r="86" spans="1:4" x14ac:dyDescent="0.2">
      <c r="A86" s="328"/>
      <c r="B86" s="672" t="s">
        <v>739</v>
      </c>
      <c r="C86" s="679" t="s">
        <v>740</v>
      </c>
      <c r="D86" s="676">
        <v>1725</v>
      </c>
    </row>
    <row r="87" spans="1:4" x14ac:dyDescent="0.2">
      <c r="A87" s="328"/>
      <c r="B87" s="672" t="s">
        <v>741</v>
      </c>
      <c r="C87" s="683" t="s">
        <v>742</v>
      </c>
      <c r="D87" s="676">
        <v>10804.24</v>
      </c>
    </row>
    <row r="88" spans="1:4" x14ac:dyDescent="0.2">
      <c r="A88" s="328"/>
      <c r="B88" s="672" t="s">
        <v>743</v>
      </c>
      <c r="C88" s="679" t="s">
        <v>744</v>
      </c>
      <c r="D88" s="676">
        <v>4095.96</v>
      </c>
    </row>
    <row r="89" spans="1:4" x14ac:dyDescent="0.2">
      <c r="A89" s="328"/>
      <c r="B89" s="672" t="s">
        <v>745</v>
      </c>
      <c r="C89" s="679" t="s">
        <v>746</v>
      </c>
      <c r="D89" s="676">
        <v>4598.99</v>
      </c>
    </row>
    <row r="90" spans="1:4" x14ac:dyDescent="0.2">
      <c r="A90" s="328"/>
      <c r="B90" s="672" t="s">
        <v>747</v>
      </c>
      <c r="C90" s="679" t="s">
        <v>748</v>
      </c>
      <c r="D90" s="676">
        <v>2868.99</v>
      </c>
    </row>
    <row r="91" spans="1:4" x14ac:dyDescent="0.2">
      <c r="A91" s="328"/>
      <c r="B91" s="672" t="s">
        <v>749</v>
      </c>
      <c r="C91" s="679" t="s">
        <v>750</v>
      </c>
      <c r="D91" s="676">
        <v>2900</v>
      </c>
    </row>
    <row r="92" spans="1:4" x14ac:dyDescent="0.2">
      <c r="A92" s="328"/>
      <c r="B92" s="672" t="s">
        <v>751</v>
      </c>
      <c r="C92" s="679" t="s">
        <v>750</v>
      </c>
      <c r="D92" s="676">
        <v>2900</v>
      </c>
    </row>
    <row r="93" spans="1:4" x14ac:dyDescent="0.2">
      <c r="A93" s="328"/>
      <c r="B93" s="672" t="s">
        <v>752</v>
      </c>
      <c r="C93" s="679" t="s">
        <v>753</v>
      </c>
      <c r="D93" s="676">
        <v>8742.66</v>
      </c>
    </row>
    <row r="94" spans="1:4" x14ac:dyDescent="0.2">
      <c r="A94" s="328"/>
      <c r="B94" s="672" t="s">
        <v>754</v>
      </c>
      <c r="C94" s="682" t="s">
        <v>673</v>
      </c>
      <c r="D94" s="684">
        <v>11300</v>
      </c>
    </row>
    <row r="95" spans="1:4" x14ac:dyDescent="0.2">
      <c r="A95" s="328"/>
      <c r="B95" s="672" t="s">
        <v>755</v>
      </c>
      <c r="C95" s="685" t="s">
        <v>756</v>
      </c>
      <c r="D95" s="684">
        <v>6739</v>
      </c>
    </row>
    <row r="96" spans="1:4" x14ac:dyDescent="0.2">
      <c r="A96" s="328"/>
      <c r="B96" s="672" t="s">
        <v>757</v>
      </c>
      <c r="C96" s="675" t="s">
        <v>758</v>
      </c>
      <c r="D96" s="684">
        <v>4350</v>
      </c>
    </row>
    <row r="97" spans="1:4" x14ac:dyDescent="0.2">
      <c r="A97" s="328"/>
      <c r="B97" s="672" t="s">
        <v>759</v>
      </c>
      <c r="C97" s="679" t="s">
        <v>760</v>
      </c>
      <c r="D97" s="676">
        <v>1920.5</v>
      </c>
    </row>
    <row r="98" spans="1:4" x14ac:dyDescent="0.2">
      <c r="A98" s="328"/>
      <c r="B98" s="672" t="s">
        <v>761</v>
      </c>
      <c r="C98" s="677" t="s">
        <v>762</v>
      </c>
      <c r="D98" s="676">
        <v>2146</v>
      </c>
    </row>
    <row r="99" spans="1:4" x14ac:dyDescent="0.2">
      <c r="A99" s="328"/>
      <c r="B99" s="672" t="s">
        <v>763</v>
      </c>
      <c r="C99" s="683" t="s">
        <v>764</v>
      </c>
      <c r="D99" s="676">
        <v>5514.64</v>
      </c>
    </row>
    <row r="100" spans="1:4" x14ac:dyDescent="0.2">
      <c r="A100" s="328"/>
      <c r="B100" s="672" t="s">
        <v>765</v>
      </c>
      <c r="C100" s="675" t="s">
        <v>758</v>
      </c>
      <c r="D100" s="684">
        <v>4350</v>
      </c>
    </row>
    <row r="101" spans="1:4" x14ac:dyDescent="0.2">
      <c r="A101" s="328"/>
      <c r="B101" s="672" t="s">
        <v>766</v>
      </c>
      <c r="C101" s="677" t="s">
        <v>762</v>
      </c>
      <c r="D101" s="676">
        <v>2146</v>
      </c>
    </row>
    <row r="102" spans="1:4" x14ac:dyDescent="0.2">
      <c r="A102" s="328"/>
      <c r="B102" s="672" t="s">
        <v>767</v>
      </c>
      <c r="C102" s="683" t="s">
        <v>764</v>
      </c>
      <c r="D102" s="676">
        <v>5514.64</v>
      </c>
    </row>
    <row r="103" spans="1:4" x14ac:dyDescent="0.2">
      <c r="A103" s="328"/>
      <c r="B103" s="672" t="s">
        <v>768</v>
      </c>
      <c r="C103" s="679" t="s">
        <v>646</v>
      </c>
      <c r="D103" s="674">
        <v>2100.0059999999999</v>
      </c>
    </row>
    <row r="104" spans="1:4" x14ac:dyDescent="0.2">
      <c r="A104" s="328"/>
      <c r="B104" s="672" t="s">
        <v>769</v>
      </c>
      <c r="C104" s="679" t="s">
        <v>770</v>
      </c>
      <c r="D104" s="676">
        <v>5858.9880000000003</v>
      </c>
    </row>
    <row r="105" spans="1:4" x14ac:dyDescent="0.2">
      <c r="A105" s="328"/>
      <c r="B105" s="672" t="s">
        <v>771</v>
      </c>
      <c r="C105" s="677" t="s">
        <v>762</v>
      </c>
      <c r="D105" s="676">
        <v>2146</v>
      </c>
    </row>
    <row r="106" spans="1:4" x14ac:dyDescent="0.2">
      <c r="A106" s="328"/>
      <c r="B106" s="672" t="s">
        <v>772</v>
      </c>
      <c r="C106" s="679" t="s">
        <v>773</v>
      </c>
      <c r="D106" s="686">
        <v>1955</v>
      </c>
    </row>
    <row r="107" spans="1:4" x14ac:dyDescent="0.2">
      <c r="A107" s="328"/>
      <c r="B107" s="672" t="s">
        <v>774</v>
      </c>
      <c r="C107" s="677" t="s">
        <v>762</v>
      </c>
      <c r="D107" s="676">
        <v>2146</v>
      </c>
    </row>
    <row r="108" spans="1:4" x14ac:dyDescent="0.2">
      <c r="A108" s="328"/>
      <c r="B108" s="672" t="s">
        <v>775</v>
      </c>
      <c r="C108" s="679" t="s">
        <v>776</v>
      </c>
      <c r="D108" s="676">
        <v>15660</v>
      </c>
    </row>
    <row r="109" spans="1:4" x14ac:dyDescent="0.2">
      <c r="A109" s="328"/>
      <c r="B109" s="672" t="s">
        <v>777</v>
      </c>
      <c r="C109" s="679" t="s">
        <v>756</v>
      </c>
      <c r="D109" s="676">
        <v>4594.25</v>
      </c>
    </row>
    <row r="110" spans="1:4" x14ac:dyDescent="0.2">
      <c r="A110" s="328"/>
      <c r="B110" s="672" t="s">
        <v>778</v>
      </c>
      <c r="C110" s="677" t="s">
        <v>779</v>
      </c>
      <c r="D110" s="676">
        <v>9107.9599999999991</v>
      </c>
    </row>
    <row r="111" spans="1:4" x14ac:dyDescent="0.2">
      <c r="A111" s="328"/>
      <c r="B111" s="672" t="s">
        <v>780</v>
      </c>
      <c r="C111" s="677" t="s">
        <v>762</v>
      </c>
      <c r="D111" s="676">
        <v>2146</v>
      </c>
    </row>
    <row r="112" spans="1:4" x14ac:dyDescent="0.2">
      <c r="A112" s="328"/>
      <c r="B112" s="672" t="s">
        <v>781</v>
      </c>
      <c r="C112" s="677" t="s">
        <v>762</v>
      </c>
      <c r="D112" s="676">
        <v>2146</v>
      </c>
    </row>
    <row r="113" spans="1:4" x14ac:dyDescent="0.2">
      <c r="A113" s="328"/>
      <c r="B113" s="672" t="s">
        <v>782</v>
      </c>
      <c r="C113" s="675" t="s">
        <v>783</v>
      </c>
      <c r="D113" s="676">
        <v>2100.0059999999999</v>
      </c>
    </row>
    <row r="114" spans="1:4" x14ac:dyDescent="0.2">
      <c r="A114" s="328"/>
      <c r="B114" s="672" t="s">
        <v>784</v>
      </c>
      <c r="C114" s="675" t="s">
        <v>785</v>
      </c>
      <c r="D114" s="676">
        <v>4358.5</v>
      </c>
    </row>
    <row r="115" spans="1:4" x14ac:dyDescent="0.2">
      <c r="A115" s="328"/>
      <c r="B115" s="672" t="s">
        <v>786</v>
      </c>
      <c r="C115" s="677" t="s">
        <v>762</v>
      </c>
      <c r="D115" s="676">
        <v>2146</v>
      </c>
    </row>
    <row r="116" spans="1:4" x14ac:dyDescent="0.2">
      <c r="A116" s="328"/>
      <c r="B116" s="672" t="s">
        <v>787</v>
      </c>
      <c r="C116" s="677" t="s">
        <v>762</v>
      </c>
      <c r="D116" s="676">
        <v>2146</v>
      </c>
    </row>
    <row r="117" spans="1:4" x14ac:dyDescent="0.2">
      <c r="A117" s="328"/>
      <c r="B117" s="672" t="s">
        <v>788</v>
      </c>
      <c r="C117" s="675" t="s">
        <v>789</v>
      </c>
      <c r="D117" s="676">
        <v>2173.5</v>
      </c>
    </row>
    <row r="118" spans="1:4" x14ac:dyDescent="0.2">
      <c r="A118" s="328"/>
      <c r="B118" s="672" t="s">
        <v>790</v>
      </c>
      <c r="C118" s="675" t="s">
        <v>758</v>
      </c>
      <c r="D118" s="676">
        <v>4350</v>
      </c>
    </row>
    <row r="119" spans="1:4" x14ac:dyDescent="0.2">
      <c r="A119" s="328"/>
      <c r="B119" s="672" t="s">
        <v>791</v>
      </c>
      <c r="C119" s="675" t="s">
        <v>792</v>
      </c>
      <c r="D119" s="676">
        <v>733</v>
      </c>
    </row>
    <row r="120" spans="1:4" x14ac:dyDescent="0.2">
      <c r="A120" s="328"/>
      <c r="B120" s="672" t="s">
        <v>793</v>
      </c>
      <c r="C120" s="675" t="s">
        <v>792</v>
      </c>
      <c r="D120" s="676">
        <v>733</v>
      </c>
    </row>
    <row r="121" spans="1:4" x14ac:dyDescent="0.2">
      <c r="A121" s="328"/>
      <c r="B121" s="672" t="s">
        <v>794</v>
      </c>
      <c r="C121" s="675" t="s">
        <v>795</v>
      </c>
      <c r="D121" s="676">
        <v>1455.9970000000001</v>
      </c>
    </row>
    <row r="122" spans="1:4" x14ac:dyDescent="0.2">
      <c r="A122" s="328"/>
      <c r="B122" s="672" t="s">
        <v>796</v>
      </c>
      <c r="C122" s="675" t="s">
        <v>797</v>
      </c>
      <c r="D122" s="676">
        <v>2262</v>
      </c>
    </row>
    <row r="123" spans="1:4" x14ac:dyDescent="0.2">
      <c r="A123" s="328"/>
      <c r="B123" s="672" t="s">
        <v>798</v>
      </c>
      <c r="C123" s="675" t="s">
        <v>673</v>
      </c>
      <c r="D123" s="676">
        <v>15805</v>
      </c>
    </row>
    <row r="124" spans="1:4" x14ac:dyDescent="0.2">
      <c r="A124" s="328"/>
      <c r="B124" s="672" t="s">
        <v>799</v>
      </c>
      <c r="C124" s="675" t="s">
        <v>800</v>
      </c>
      <c r="D124" s="676">
        <v>7250</v>
      </c>
    </row>
    <row r="125" spans="1:4" x14ac:dyDescent="0.2">
      <c r="A125" s="328"/>
      <c r="B125" s="672" t="s">
        <v>801</v>
      </c>
      <c r="C125" s="677" t="s">
        <v>802</v>
      </c>
      <c r="D125" s="676">
        <v>16820</v>
      </c>
    </row>
    <row r="126" spans="1:4" x14ac:dyDescent="0.2">
      <c r="A126" s="328"/>
      <c r="B126" s="672" t="s">
        <v>803</v>
      </c>
      <c r="C126" s="675" t="s">
        <v>673</v>
      </c>
      <c r="D126" s="676">
        <v>14315.2</v>
      </c>
    </row>
    <row r="127" spans="1:4" x14ac:dyDescent="0.2">
      <c r="A127" s="328"/>
      <c r="B127" s="672" t="s">
        <v>804</v>
      </c>
      <c r="C127" s="675" t="s">
        <v>758</v>
      </c>
      <c r="D127" s="676">
        <v>4350</v>
      </c>
    </row>
    <row r="128" spans="1:4" x14ac:dyDescent="0.2">
      <c r="A128" s="328"/>
      <c r="B128" s="672" t="s">
        <v>805</v>
      </c>
      <c r="C128" s="675" t="s">
        <v>806</v>
      </c>
      <c r="D128" s="676">
        <v>2748.5</v>
      </c>
    </row>
    <row r="129" spans="1:4" x14ac:dyDescent="0.2">
      <c r="A129" s="328"/>
      <c r="B129" s="672" t="s">
        <v>807</v>
      </c>
      <c r="C129" s="677" t="s">
        <v>762</v>
      </c>
      <c r="D129" s="676">
        <v>2146</v>
      </c>
    </row>
    <row r="130" spans="1:4" x14ac:dyDescent="0.2">
      <c r="A130" s="328"/>
      <c r="B130" s="672" t="s">
        <v>808</v>
      </c>
      <c r="C130" s="675" t="s">
        <v>792</v>
      </c>
      <c r="D130" s="676">
        <v>733</v>
      </c>
    </row>
    <row r="131" spans="1:4" x14ac:dyDescent="0.2">
      <c r="A131" s="328"/>
      <c r="B131" s="672" t="s">
        <v>809</v>
      </c>
      <c r="C131" s="675" t="s">
        <v>760</v>
      </c>
      <c r="D131" s="676">
        <v>2156.25</v>
      </c>
    </row>
    <row r="132" spans="1:4" x14ac:dyDescent="0.2">
      <c r="A132" s="328"/>
      <c r="B132" s="672" t="s">
        <v>810</v>
      </c>
      <c r="C132" s="675" t="s">
        <v>811</v>
      </c>
      <c r="D132" s="676">
        <v>3422</v>
      </c>
    </row>
    <row r="133" spans="1:4" x14ac:dyDescent="0.2">
      <c r="A133" s="328"/>
      <c r="B133" s="672" t="s">
        <v>812</v>
      </c>
      <c r="C133" s="677" t="s">
        <v>762</v>
      </c>
      <c r="D133" s="676">
        <v>2146</v>
      </c>
    </row>
    <row r="134" spans="1:4" x14ac:dyDescent="0.2">
      <c r="A134" s="328"/>
      <c r="B134" s="672" t="s">
        <v>813</v>
      </c>
      <c r="C134" s="675" t="s">
        <v>758</v>
      </c>
      <c r="D134" s="676">
        <v>4350</v>
      </c>
    </row>
    <row r="135" spans="1:4" x14ac:dyDescent="0.2">
      <c r="A135" s="328"/>
      <c r="B135" s="672" t="s">
        <v>814</v>
      </c>
      <c r="C135" s="675" t="s">
        <v>795</v>
      </c>
      <c r="D135" s="676">
        <v>1943.5</v>
      </c>
    </row>
    <row r="136" spans="1:4" x14ac:dyDescent="0.2">
      <c r="A136" s="328"/>
      <c r="B136" s="672" t="s">
        <v>815</v>
      </c>
      <c r="C136" s="675" t="s">
        <v>673</v>
      </c>
      <c r="D136" s="676">
        <v>7585</v>
      </c>
    </row>
    <row r="137" spans="1:4" x14ac:dyDescent="0.2">
      <c r="A137" s="328"/>
      <c r="B137" s="672" t="s">
        <v>816</v>
      </c>
      <c r="C137" s="675" t="s">
        <v>704</v>
      </c>
      <c r="D137" s="674">
        <v>1655</v>
      </c>
    </row>
    <row r="138" spans="1:4" x14ac:dyDescent="0.2">
      <c r="A138" s="328"/>
      <c r="B138" s="672" t="s">
        <v>817</v>
      </c>
      <c r="C138" s="675" t="s">
        <v>818</v>
      </c>
      <c r="D138" s="674">
        <v>475.2</v>
      </c>
    </row>
    <row r="139" spans="1:4" x14ac:dyDescent="0.2">
      <c r="A139" s="328"/>
      <c r="B139" s="672" t="s">
        <v>819</v>
      </c>
      <c r="C139" s="675" t="s">
        <v>820</v>
      </c>
      <c r="D139" s="674">
        <v>2238.8000000000002</v>
      </c>
    </row>
    <row r="140" spans="1:4" x14ac:dyDescent="0.2">
      <c r="A140" s="328"/>
      <c r="B140" s="672" t="s">
        <v>821</v>
      </c>
      <c r="C140" s="675" t="s">
        <v>734</v>
      </c>
      <c r="D140" s="674">
        <v>2863.5</v>
      </c>
    </row>
    <row r="141" spans="1:4" x14ac:dyDescent="0.2">
      <c r="A141" s="328"/>
      <c r="B141" s="672" t="s">
        <v>822</v>
      </c>
      <c r="C141" s="677" t="s">
        <v>762</v>
      </c>
      <c r="D141" s="674">
        <v>2146</v>
      </c>
    </row>
    <row r="142" spans="1:4" x14ac:dyDescent="0.2">
      <c r="A142" s="328"/>
      <c r="B142" s="672" t="s">
        <v>823</v>
      </c>
      <c r="C142" s="675" t="s">
        <v>824</v>
      </c>
      <c r="D142" s="674">
        <v>2990</v>
      </c>
    </row>
    <row r="143" spans="1:4" x14ac:dyDescent="0.2">
      <c r="A143" s="328"/>
      <c r="B143" s="672" t="s">
        <v>825</v>
      </c>
      <c r="C143" s="677" t="s">
        <v>826</v>
      </c>
      <c r="D143" s="676">
        <v>979</v>
      </c>
    </row>
    <row r="144" spans="1:4" x14ac:dyDescent="0.2">
      <c r="A144" s="328"/>
      <c r="B144" s="672" t="s">
        <v>827</v>
      </c>
      <c r="C144" s="677" t="s">
        <v>762</v>
      </c>
      <c r="D144" s="674">
        <v>2146</v>
      </c>
    </row>
    <row r="145" spans="1:4" x14ac:dyDescent="0.2">
      <c r="A145" s="328"/>
      <c r="B145" s="672" t="s">
        <v>828</v>
      </c>
      <c r="C145" s="675" t="s">
        <v>673</v>
      </c>
      <c r="D145" s="684">
        <v>13386</v>
      </c>
    </row>
    <row r="146" spans="1:4" x14ac:dyDescent="0.2">
      <c r="A146" s="328"/>
      <c r="B146" s="672" t="s">
        <v>829</v>
      </c>
      <c r="C146" s="685" t="s">
        <v>756</v>
      </c>
      <c r="D146" s="684">
        <v>1552.5</v>
      </c>
    </row>
    <row r="147" spans="1:4" x14ac:dyDescent="0.2">
      <c r="A147" s="328"/>
      <c r="B147" s="672" t="s">
        <v>830</v>
      </c>
      <c r="C147" s="685" t="s">
        <v>831</v>
      </c>
      <c r="D147" s="684">
        <v>1399</v>
      </c>
    </row>
    <row r="148" spans="1:4" x14ac:dyDescent="0.2">
      <c r="A148" s="328"/>
      <c r="B148" s="672" t="s">
        <v>832</v>
      </c>
      <c r="C148" s="675" t="s">
        <v>833</v>
      </c>
      <c r="D148" s="674">
        <v>563.5</v>
      </c>
    </row>
    <row r="149" spans="1:4" x14ac:dyDescent="0.2">
      <c r="A149" s="328"/>
      <c r="B149" s="672" t="s">
        <v>834</v>
      </c>
      <c r="C149" s="677" t="s">
        <v>762</v>
      </c>
      <c r="D149" s="674">
        <v>2146</v>
      </c>
    </row>
    <row r="150" spans="1:4" x14ac:dyDescent="0.2">
      <c r="A150" s="328"/>
      <c r="B150" s="672" t="s">
        <v>835</v>
      </c>
      <c r="C150" s="675" t="s">
        <v>673</v>
      </c>
      <c r="D150" s="686">
        <v>13386</v>
      </c>
    </row>
    <row r="151" spans="1:4" x14ac:dyDescent="0.2">
      <c r="A151" s="328"/>
      <c r="B151" s="672" t="s">
        <v>836</v>
      </c>
      <c r="C151" s="682" t="s">
        <v>837</v>
      </c>
      <c r="D151" s="680">
        <v>7830</v>
      </c>
    </row>
    <row r="152" spans="1:4" x14ac:dyDescent="0.2">
      <c r="A152" s="328"/>
      <c r="B152" s="672" t="s">
        <v>838</v>
      </c>
      <c r="C152" s="677" t="s">
        <v>839</v>
      </c>
      <c r="D152" s="676">
        <v>4485</v>
      </c>
    </row>
    <row r="153" spans="1:4" x14ac:dyDescent="0.2">
      <c r="A153" s="328"/>
      <c r="B153" s="672" t="s">
        <v>840</v>
      </c>
      <c r="C153" s="677" t="s">
        <v>841</v>
      </c>
      <c r="D153" s="676">
        <v>3654</v>
      </c>
    </row>
    <row r="154" spans="1:4" x14ac:dyDescent="0.2">
      <c r="A154" s="328"/>
      <c r="B154" s="672" t="s">
        <v>842</v>
      </c>
      <c r="C154" s="683" t="s">
        <v>843</v>
      </c>
      <c r="D154" s="676">
        <v>1218</v>
      </c>
    </row>
    <row r="155" spans="1:4" x14ac:dyDescent="0.2">
      <c r="A155" s="328"/>
      <c r="B155" s="672" t="s">
        <v>844</v>
      </c>
      <c r="C155" s="677" t="s">
        <v>762</v>
      </c>
      <c r="D155" s="676">
        <v>2146</v>
      </c>
    </row>
    <row r="156" spans="1:4" x14ac:dyDescent="0.2">
      <c r="A156" s="328"/>
      <c r="B156" s="672" t="s">
        <v>845</v>
      </c>
      <c r="C156" s="677" t="s">
        <v>846</v>
      </c>
      <c r="D156" s="674">
        <v>563.5</v>
      </c>
    </row>
    <row r="157" spans="1:4" x14ac:dyDescent="0.2">
      <c r="A157" s="328"/>
      <c r="B157" s="672" t="s">
        <v>847</v>
      </c>
      <c r="C157" s="677" t="s">
        <v>779</v>
      </c>
      <c r="D157" s="676">
        <v>9107.9599999999991</v>
      </c>
    </row>
    <row r="158" spans="1:4" x14ac:dyDescent="0.2">
      <c r="A158" s="328"/>
      <c r="B158" s="672" t="s">
        <v>848</v>
      </c>
      <c r="C158" s="675" t="s">
        <v>670</v>
      </c>
      <c r="D158" s="676">
        <v>3622.5</v>
      </c>
    </row>
    <row r="159" spans="1:4" x14ac:dyDescent="0.2">
      <c r="A159" s="328"/>
      <c r="B159" s="672" t="s">
        <v>849</v>
      </c>
      <c r="C159" s="677" t="s">
        <v>734</v>
      </c>
      <c r="D159" s="676">
        <v>2863.5</v>
      </c>
    </row>
    <row r="160" spans="1:4" x14ac:dyDescent="0.2">
      <c r="A160" s="328"/>
      <c r="B160" s="672" t="s">
        <v>850</v>
      </c>
      <c r="C160" s="677" t="s">
        <v>762</v>
      </c>
      <c r="D160" s="676">
        <v>2146</v>
      </c>
    </row>
    <row r="161" spans="1:4" x14ac:dyDescent="0.2">
      <c r="A161" s="328"/>
      <c r="B161" s="672" t="s">
        <v>851</v>
      </c>
      <c r="C161" s="677" t="s">
        <v>779</v>
      </c>
      <c r="D161" s="676">
        <v>9107.9599999999991</v>
      </c>
    </row>
    <row r="162" spans="1:4" x14ac:dyDescent="0.2">
      <c r="A162" s="328"/>
      <c r="B162" s="672" t="s">
        <v>852</v>
      </c>
      <c r="C162" s="677" t="s">
        <v>734</v>
      </c>
      <c r="D162" s="676">
        <v>2863.5</v>
      </c>
    </row>
    <row r="163" spans="1:4" x14ac:dyDescent="0.2">
      <c r="A163" s="328"/>
      <c r="B163" s="672" t="s">
        <v>853</v>
      </c>
      <c r="C163" s="677" t="s">
        <v>762</v>
      </c>
      <c r="D163" s="676">
        <v>2146</v>
      </c>
    </row>
    <row r="164" spans="1:4" x14ac:dyDescent="0.2">
      <c r="A164" s="328"/>
      <c r="B164" s="672" t="s">
        <v>854</v>
      </c>
      <c r="C164" s="677" t="s">
        <v>779</v>
      </c>
      <c r="D164" s="676">
        <v>19244.240000000002</v>
      </c>
    </row>
    <row r="165" spans="1:4" x14ac:dyDescent="0.2">
      <c r="A165" s="328"/>
      <c r="B165" s="672" t="s">
        <v>855</v>
      </c>
      <c r="C165" s="677" t="s">
        <v>806</v>
      </c>
      <c r="D165" s="676">
        <v>1615.75</v>
      </c>
    </row>
    <row r="166" spans="1:4" x14ac:dyDescent="0.2">
      <c r="A166" s="328"/>
      <c r="B166" s="672" t="s">
        <v>856</v>
      </c>
      <c r="C166" s="677" t="s">
        <v>857</v>
      </c>
      <c r="D166" s="676">
        <v>2919.44</v>
      </c>
    </row>
    <row r="167" spans="1:4" x14ac:dyDescent="0.2">
      <c r="A167" s="328"/>
      <c r="B167" s="672" t="s">
        <v>858</v>
      </c>
      <c r="C167" s="677" t="s">
        <v>859</v>
      </c>
      <c r="D167" s="676">
        <v>1698</v>
      </c>
    </row>
    <row r="168" spans="1:4" x14ac:dyDescent="0.2">
      <c r="A168" s="328"/>
      <c r="B168" s="672" t="s">
        <v>860</v>
      </c>
      <c r="C168" s="677" t="s">
        <v>756</v>
      </c>
      <c r="D168" s="676">
        <v>6739</v>
      </c>
    </row>
    <row r="169" spans="1:4" x14ac:dyDescent="0.2">
      <c r="A169" s="328"/>
      <c r="B169" s="672" t="s">
        <v>861</v>
      </c>
      <c r="C169" s="677" t="s">
        <v>862</v>
      </c>
      <c r="D169" s="676">
        <v>1765.25</v>
      </c>
    </row>
    <row r="170" spans="1:4" x14ac:dyDescent="0.2">
      <c r="A170" s="328"/>
      <c r="B170" s="672" t="s">
        <v>863</v>
      </c>
      <c r="C170" s="675" t="s">
        <v>673</v>
      </c>
      <c r="D170" s="676">
        <v>7880</v>
      </c>
    </row>
    <row r="171" spans="1:4" x14ac:dyDescent="0.2">
      <c r="A171" s="328"/>
      <c r="B171" s="672" t="s">
        <v>864</v>
      </c>
      <c r="C171" s="669" t="s">
        <v>865</v>
      </c>
      <c r="D171" s="678">
        <v>619.85</v>
      </c>
    </row>
    <row r="172" spans="1:4" x14ac:dyDescent="0.2">
      <c r="A172" s="328"/>
      <c r="B172" s="672" t="s">
        <v>866</v>
      </c>
      <c r="C172" s="669" t="s">
        <v>865</v>
      </c>
      <c r="D172" s="670">
        <v>619.85</v>
      </c>
    </row>
    <row r="173" spans="1:4" x14ac:dyDescent="0.2">
      <c r="A173" s="328"/>
      <c r="B173" s="672" t="s">
        <v>867</v>
      </c>
      <c r="C173" s="669" t="s">
        <v>868</v>
      </c>
      <c r="D173" s="678">
        <v>281.75</v>
      </c>
    </row>
    <row r="174" spans="1:4" x14ac:dyDescent="0.2">
      <c r="A174" s="328"/>
      <c r="B174" s="672" t="s">
        <v>870</v>
      </c>
      <c r="C174" s="669" t="s">
        <v>871</v>
      </c>
      <c r="D174" s="678">
        <v>2099.0100000000002</v>
      </c>
    </row>
    <row r="175" spans="1:4" x14ac:dyDescent="0.2">
      <c r="A175" s="328"/>
      <c r="B175" s="672" t="s">
        <v>872</v>
      </c>
      <c r="C175" s="681" t="s">
        <v>734</v>
      </c>
      <c r="D175" s="676">
        <v>1895</v>
      </c>
    </row>
    <row r="176" spans="1:4" x14ac:dyDescent="0.2">
      <c r="A176" s="328"/>
      <c r="B176" s="672" t="s">
        <v>873</v>
      </c>
      <c r="C176" s="681" t="s">
        <v>732</v>
      </c>
      <c r="D176" s="676">
        <v>4253.92</v>
      </c>
    </row>
    <row r="177" spans="1:4" x14ac:dyDescent="0.2">
      <c r="A177" s="328"/>
      <c r="B177" s="672" t="s">
        <v>874</v>
      </c>
      <c r="C177" s="675" t="s">
        <v>875</v>
      </c>
      <c r="D177" s="676">
        <v>1455.9970000000001</v>
      </c>
    </row>
    <row r="178" spans="1:4" x14ac:dyDescent="0.2">
      <c r="A178" s="328"/>
      <c r="B178" s="672" t="s">
        <v>876</v>
      </c>
      <c r="C178" s="681" t="s">
        <v>877</v>
      </c>
      <c r="D178" s="674">
        <v>563.5</v>
      </c>
    </row>
    <row r="179" spans="1:4" x14ac:dyDescent="0.2">
      <c r="A179" s="328"/>
      <c r="B179" s="672" t="s">
        <v>878</v>
      </c>
      <c r="C179" s="682" t="s">
        <v>879</v>
      </c>
      <c r="D179" s="684">
        <v>1160</v>
      </c>
    </row>
    <row r="180" spans="1:4" x14ac:dyDescent="0.2">
      <c r="A180" s="328"/>
      <c r="B180" s="672" t="s">
        <v>880</v>
      </c>
      <c r="C180" s="682" t="s">
        <v>881</v>
      </c>
      <c r="D180" s="684">
        <v>3229.44</v>
      </c>
    </row>
    <row r="181" spans="1:4" x14ac:dyDescent="0.2">
      <c r="A181" s="328"/>
      <c r="B181" s="672" t="s">
        <v>882</v>
      </c>
      <c r="C181" s="682" t="s">
        <v>883</v>
      </c>
      <c r="D181" s="684">
        <v>5307.25</v>
      </c>
    </row>
    <row r="182" spans="1:4" x14ac:dyDescent="0.2">
      <c r="A182" s="328"/>
      <c r="B182" s="672" t="s">
        <v>884</v>
      </c>
      <c r="C182" s="675" t="s">
        <v>670</v>
      </c>
      <c r="D182" s="676">
        <v>3622.5</v>
      </c>
    </row>
    <row r="183" spans="1:4" x14ac:dyDescent="0.2">
      <c r="A183" s="328"/>
      <c r="B183" s="672" t="s">
        <v>885</v>
      </c>
      <c r="C183" s="679" t="s">
        <v>756</v>
      </c>
      <c r="D183" s="676">
        <v>2127.5</v>
      </c>
    </row>
    <row r="184" spans="1:4" x14ac:dyDescent="0.2">
      <c r="A184" s="328"/>
      <c r="B184" s="672" t="s">
        <v>886</v>
      </c>
      <c r="C184" s="675" t="s">
        <v>673</v>
      </c>
      <c r="D184" s="686">
        <v>13386</v>
      </c>
    </row>
    <row r="185" spans="1:4" x14ac:dyDescent="0.2">
      <c r="A185" s="328"/>
      <c r="B185" s="672" t="s">
        <v>887</v>
      </c>
      <c r="C185" s="687" t="s">
        <v>888</v>
      </c>
      <c r="D185" s="670">
        <v>1866.45</v>
      </c>
    </row>
    <row r="186" spans="1:4" x14ac:dyDescent="0.2">
      <c r="A186" s="328"/>
      <c r="B186" s="688" t="s">
        <v>889</v>
      </c>
      <c r="C186" s="687" t="s">
        <v>890</v>
      </c>
      <c r="D186" s="670">
        <v>13386</v>
      </c>
    </row>
    <row r="187" spans="1:4" x14ac:dyDescent="0.2">
      <c r="A187" s="328"/>
      <c r="B187" s="688" t="s">
        <v>891</v>
      </c>
      <c r="C187" s="687" t="s">
        <v>890</v>
      </c>
      <c r="D187" s="670">
        <v>13386</v>
      </c>
    </row>
    <row r="188" spans="1:4" x14ac:dyDescent="0.2">
      <c r="A188" s="328"/>
      <c r="B188" s="688" t="s">
        <v>892</v>
      </c>
      <c r="C188" s="687" t="s">
        <v>893</v>
      </c>
      <c r="D188" s="670">
        <v>1604.25</v>
      </c>
    </row>
    <row r="189" spans="1:4" x14ac:dyDescent="0.2">
      <c r="A189" s="328"/>
      <c r="B189" s="688" t="s">
        <v>894</v>
      </c>
      <c r="C189" s="687" t="s">
        <v>895</v>
      </c>
      <c r="D189" s="670">
        <v>5267</v>
      </c>
    </row>
    <row r="190" spans="1:4" x14ac:dyDescent="0.2">
      <c r="A190" s="328"/>
      <c r="B190" s="688" t="s">
        <v>896</v>
      </c>
      <c r="C190" s="689" t="s">
        <v>897</v>
      </c>
      <c r="D190" s="674">
        <v>2359</v>
      </c>
    </row>
    <row r="191" spans="1:4" x14ac:dyDescent="0.2">
      <c r="A191" s="328"/>
      <c r="B191" s="688" t="s">
        <v>898</v>
      </c>
      <c r="C191" s="689" t="s">
        <v>899</v>
      </c>
      <c r="D191" s="674">
        <v>7320</v>
      </c>
    </row>
    <row r="192" spans="1:4" x14ac:dyDescent="0.2">
      <c r="A192" s="328"/>
      <c r="B192" s="688" t="s">
        <v>900</v>
      </c>
      <c r="C192" s="690" t="s">
        <v>1747</v>
      </c>
      <c r="D192" s="670">
        <v>6670</v>
      </c>
    </row>
    <row r="193" spans="1:4" x14ac:dyDescent="0.2">
      <c r="A193" s="328"/>
      <c r="B193" s="688" t="s">
        <v>901</v>
      </c>
      <c r="C193" s="689" t="s">
        <v>902</v>
      </c>
      <c r="D193" s="670">
        <v>563.5</v>
      </c>
    </row>
    <row r="194" spans="1:4" x14ac:dyDescent="0.2">
      <c r="A194" s="328"/>
      <c r="B194" s="688" t="s">
        <v>903</v>
      </c>
      <c r="C194" s="689" t="s">
        <v>904</v>
      </c>
      <c r="D194" s="691">
        <v>563.5</v>
      </c>
    </row>
    <row r="195" spans="1:4" x14ac:dyDescent="0.2">
      <c r="A195" s="328"/>
      <c r="B195" s="688" t="s">
        <v>905</v>
      </c>
      <c r="C195" s="690" t="s">
        <v>906</v>
      </c>
      <c r="D195" s="692">
        <v>2221.4</v>
      </c>
    </row>
    <row r="196" spans="1:4" x14ac:dyDescent="0.2">
      <c r="A196" s="328"/>
      <c r="B196" s="688" t="s">
        <v>907</v>
      </c>
      <c r="C196" s="679" t="s">
        <v>908</v>
      </c>
      <c r="D196" s="674">
        <v>14122</v>
      </c>
    </row>
    <row r="197" spans="1:4" x14ac:dyDescent="0.2">
      <c r="A197" s="328"/>
      <c r="B197" s="688" t="s">
        <v>909</v>
      </c>
      <c r="C197" s="679" t="s">
        <v>902</v>
      </c>
      <c r="D197" s="691">
        <v>563.5</v>
      </c>
    </row>
    <row r="198" spans="1:4" x14ac:dyDescent="0.2">
      <c r="A198" s="328"/>
      <c r="B198" s="688" t="s">
        <v>910</v>
      </c>
      <c r="C198" s="679" t="s">
        <v>902</v>
      </c>
      <c r="D198" s="691">
        <v>563.5</v>
      </c>
    </row>
    <row r="199" spans="1:4" x14ac:dyDescent="0.2">
      <c r="A199" s="328"/>
      <c r="B199" s="688" t="s">
        <v>911</v>
      </c>
      <c r="C199" s="681" t="s">
        <v>912</v>
      </c>
      <c r="D199" s="676">
        <v>2748.5</v>
      </c>
    </row>
    <row r="200" spans="1:4" x14ac:dyDescent="0.2">
      <c r="A200" s="328"/>
      <c r="B200" s="688" t="s">
        <v>913</v>
      </c>
      <c r="C200" s="675" t="s">
        <v>673</v>
      </c>
      <c r="D200" s="676">
        <v>8676.7999999999993</v>
      </c>
    </row>
    <row r="201" spans="1:4" x14ac:dyDescent="0.2">
      <c r="A201" s="328"/>
      <c r="B201" s="688" t="s">
        <v>914</v>
      </c>
      <c r="C201" s="681" t="s">
        <v>915</v>
      </c>
      <c r="D201" s="674">
        <v>8780</v>
      </c>
    </row>
    <row r="202" spans="1:4" x14ac:dyDescent="0.2">
      <c r="A202" s="328"/>
      <c r="B202" s="688" t="s">
        <v>916</v>
      </c>
      <c r="C202" s="693" t="s">
        <v>917</v>
      </c>
      <c r="D202" s="694">
        <v>10138.16</v>
      </c>
    </row>
    <row r="203" spans="1:4" x14ac:dyDescent="0.2">
      <c r="A203" s="328"/>
      <c r="B203" s="688" t="s">
        <v>918</v>
      </c>
      <c r="C203" s="693" t="s">
        <v>919</v>
      </c>
      <c r="D203" s="694">
        <v>6786</v>
      </c>
    </row>
    <row r="204" spans="1:4" x14ac:dyDescent="0.2">
      <c r="A204" s="328"/>
      <c r="B204" s="688" t="s">
        <v>920</v>
      </c>
      <c r="C204" s="693" t="s">
        <v>921</v>
      </c>
      <c r="D204" s="694">
        <v>5092.3999999999996</v>
      </c>
    </row>
    <row r="205" spans="1:4" x14ac:dyDescent="0.2">
      <c r="A205" s="328"/>
      <c r="B205" s="688" t="s">
        <v>922</v>
      </c>
      <c r="C205" s="693" t="s">
        <v>923</v>
      </c>
      <c r="D205" s="694">
        <v>5208.3999999999996</v>
      </c>
    </row>
    <row r="206" spans="1:4" x14ac:dyDescent="0.2">
      <c r="A206" s="328"/>
      <c r="B206" s="688" t="s">
        <v>924</v>
      </c>
      <c r="C206" s="675" t="s">
        <v>925</v>
      </c>
      <c r="D206" s="674">
        <v>4197.5</v>
      </c>
    </row>
    <row r="207" spans="1:4" x14ac:dyDescent="0.2">
      <c r="A207" s="328"/>
      <c r="B207" s="688" t="s">
        <v>926</v>
      </c>
      <c r="C207" s="681" t="s">
        <v>927</v>
      </c>
      <c r="D207" s="676">
        <v>5048.5</v>
      </c>
    </row>
    <row r="208" spans="1:4" x14ac:dyDescent="0.2">
      <c r="A208" s="328"/>
      <c r="B208" s="688" t="s">
        <v>928</v>
      </c>
      <c r="C208" s="675" t="s">
        <v>925</v>
      </c>
      <c r="D208" s="674">
        <v>4197.5</v>
      </c>
    </row>
    <row r="209" spans="1:4" x14ac:dyDescent="0.2">
      <c r="A209" s="328"/>
      <c r="B209" s="688" t="s">
        <v>929</v>
      </c>
      <c r="C209" s="681" t="s">
        <v>806</v>
      </c>
      <c r="D209" s="676">
        <v>3967.5</v>
      </c>
    </row>
    <row r="210" spans="1:4" x14ac:dyDescent="0.2">
      <c r="A210" s="328"/>
      <c r="B210" s="688" t="s">
        <v>930</v>
      </c>
      <c r="C210" s="679" t="s">
        <v>806</v>
      </c>
      <c r="D210" s="676">
        <v>3967.5</v>
      </c>
    </row>
    <row r="211" spans="1:4" x14ac:dyDescent="0.2">
      <c r="A211" s="328"/>
      <c r="B211" s="688" t="s">
        <v>931</v>
      </c>
      <c r="C211" s="679" t="s">
        <v>932</v>
      </c>
      <c r="D211" s="674">
        <v>8009.75</v>
      </c>
    </row>
    <row r="212" spans="1:4" x14ac:dyDescent="0.2">
      <c r="A212" s="328"/>
      <c r="B212" s="688" t="s">
        <v>933</v>
      </c>
      <c r="C212" s="679" t="s">
        <v>934</v>
      </c>
      <c r="D212" s="674">
        <v>1840</v>
      </c>
    </row>
    <row r="213" spans="1:4" x14ac:dyDescent="0.2">
      <c r="A213" s="328"/>
      <c r="B213" s="688" t="s">
        <v>935</v>
      </c>
      <c r="C213" s="679" t="s">
        <v>934</v>
      </c>
      <c r="D213" s="674">
        <v>1840</v>
      </c>
    </row>
    <row r="214" spans="1:4" x14ac:dyDescent="0.2">
      <c r="A214" s="328"/>
      <c r="B214" s="688" t="s">
        <v>936</v>
      </c>
      <c r="C214" s="675" t="s">
        <v>937</v>
      </c>
      <c r="D214" s="676">
        <v>1368.5</v>
      </c>
    </row>
    <row r="215" spans="1:4" x14ac:dyDescent="0.2">
      <c r="A215" s="328"/>
      <c r="B215" s="688" t="s">
        <v>938</v>
      </c>
      <c r="C215" s="675" t="s">
        <v>939</v>
      </c>
      <c r="D215" s="676">
        <v>563.5</v>
      </c>
    </row>
    <row r="216" spans="1:4" x14ac:dyDescent="0.2">
      <c r="A216" s="328"/>
      <c r="B216" s="688" t="s">
        <v>940</v>
      </c>
      <c r="C216" s="675" t="s">
        <v>939</v>
      </c>
      <c r="D216" s="676">
        <v>563.5</v>
      </c>
    </row>
    <row r="217" spans="1:4" x14ac:dyDescent="0.2">
      <c r="A217" s="328"/>
      <c r="B217" s="688" t="s">
        <v>941</v>
      </c>
      <c r="C217" s="675" t="s">
        <v>942</v>
      </c>
      <c r="D217" s="676">
        <v>20585</v>
      </c>
    </row>
    <row r="218" spans="1:4" x14ac:dyDescent="0.2">
      <c r="A218" s="328"/>
      <c r="B218" s="688" t="s">
        <v>943</v>
      </c>
      <c r="C218" s="675" t="s">
        <v>740</v>
      </c>
      <c r="D218" s="686">
        <v>1604.25</v>
      </c>
    </row>
    <row r="219" spans="1:4" x14ac:dyDescent="0.2">
      <c r="A219" s="328"/>
      <c r="B219" s="688" t="s">
        <v>944</v>
      </c>
      <c r="C219" s="675" t="s">
        <v>670</v>
      </c>
      <c r="D219" s="674">
        <v>3737.5</v>
      </c>
    </row>
    <row r="220" spans="1:4" x14ac:dyDescent="0.2">
      <c r="A220" s="328"/>
      <c r="B220" s="688" t="s">
        <v>945</v>
      </c>
      <c r="C220" s="685" t="s">
        <v>946</v>
      </c>
      <c r="D220" s="676">
        <v>1455.9970000000001</v>
      </c>
    </row>
    <row r="221" spans="1:4" x14ac:dyDescent="0.2">
      <c r="A221" s="328"/>
      <c r="B221" s="688" t="s">
        <v>947</v>
      </c>
      <c r="C221" s="681" t="s">
        <v>948</v>
      </c>
      <c r="D221" s="676">
        <v>1489.25</v>
      </c>
    </row>
    <row r="222" spans="1:4" x14ac:dyDescent="0.2">
      <c r="A222" s="328"/>
      <c r="B222" s="688" t="s">
        <v>949</v>
      </c>
      <c r="C222" s="685" t="s">
        <v>950</v>
      </c>
      <c r="D222" s="684">
        <v>9280</v>
      </c>
    </row>
    <row r="223" spans="1:4" x14ac:dyDescent="0.2">
      <c r="A223" s="328"/>
      <c r="B223" s="688" t="s">
        <v>951</v>
      </c>
      <c r="C223" s="685" t="s">
        <v>946</v>
      </c>
      <c r="D223" s="676">
        <v>1455.9970000000001</v>
      </c>
    </row>
    <row r="224" spans="1:4" x14ac:dyDescent="0.2">
      <c r="A224" s="328"/>
      <c r="B224" s="688" t="s">
        <v>952</v>
      </c>
      <c r="C224" s="685" t="s">
        <v>953</v>
      </c>
      <c r="D224" s="684">
        <v>1380</v>
      </c>
    </row>
    <row r="225" spans="1:4" x14ac:dyDescent="0.2">
      <c r="A225" s="328"/>
      <c r="B225" s="688" t="s">
        <v>954</v>
      </c>
      <c r="C225" s="675" t="s">
        <v>673</v>
      </c>
      <c r="D225" s="684">
        <v>11300</v>
      </c>
    </row>
    <row r="226" spans="1:4" x14ac:dyDescent="0.2">
      <c r="A226" s="328"/>
      <c r="B226" s="688" t="s">
        <v>955</v>
      </c>
      <c r="C226" s="675" t="s">
        <v>956</v>
      </c>
      <c r="D226" s="676">
        <v>3220</v>
      </c>
    </row>
    <row r="227" spans="1:4" x14ac:dyDescent="0.2">
      <c r="A227" s="328"/>
      <c r="B227" s="688" t="s">
        <v>957</v>
      </c>
      <c r="C227" s="675" t="s">
        <v>734</v>
      </c>
      <c r="D227" s="674">
        <v>1975</v>
      </c>
    </row>
    <row r="228" spans="1:4" x14ac:dyDescent="0.2">
      <c r="A228" s="328"/>
      <c r="B228" s="688" t="s">
        <v>958</v>
      </c>
      <c r="C228" s="675" t="s">
        <v>959</v>
      </c>
      <c r="D228" s="674">
        <v>1936.02</v>
      </c>
    </row>
    <row r="229" spans="1:4" x14ac:dyDescent="0.2">
      <c r="A229" s="328"/>
      <c r="B229" s="688" t="s">
        <v>960</v>
      </c>
      <c r="C229" s="679" t="s">
        <v>673</v>
      </c>
      <c r="D229" s="674">
        <v>13386</v>
      </c>
    </row>
    <row r="230" spans="1:4" x14ac:dyDescent="0.2">
      <c r="A230" s="328"/>
      <c r="B230" s="688" t="s">
        <v>961</v>
      </c>
      <c r="C230" s="679" t="s">
        <v>962</v>
      </c>
      <c r="D230" s="674">
        <v>19500</v>
      </c>
    </row>
    <row r="231" spans="1:4" x14ac:dyDescent="0.2">
      <c r="A231" s="328"/>
      <c r="B231" s="688" t="s">
        <v>963</v>
      </c>
      <c r="C231" s="679" t="s">
        <v>964</v>
      </c>
      <c r="D231" s="674">
        <v>1866.45</v>
      </c>
    </row>
    <row r="232" spans="1:4" x14ac:dyDescent="0.2">
      <c r="A232" s="328"/>
      <c r="B232" s="688" t="s">
        <v>965</v>
      </c>
      <c r="C232" s="679" t="s">
        <v>966</v>
      </c>
      <c r="D232" s="674">
        <v>1792.51</v>
      </c>
    </row>
    <row r="233" spans="1:4" x14ac:dyDescent="0.2">
      <c r="A233" s="328"/>
      <c r="B233" s="688" t="s">
        <v>967</v>
      </c>
      <c r="C233" s="677" t="s">
        <v>968</v>
      </c>
      <c r="D233" s="676">
        <v>2288.5</v>
      </c>
    </row>
    <row r="234" spans="1:4" x14ac:dyDescent="0.2">
      <c r="A234" s="328"/>
      <c r="B234" s="688" t="s">
        <v>969</v>
      </c>
      <c r="C234" s="675" t="s">
        <v>734</v>
      </c>
      <c r="D234" s="674">
        <v>2863.5</v>
      </c>
    </row>
    <row r="235" spans="1:4" x14ac:dyDescent="0.2">
      <c r="A235" s="328"/>
      <c r="B235" s="688" t="s">
        <v>970</v>
      </c>
      <c r="C235" s="675" t="s">
        <v>673</v>
      </c>
      <c r="D235" s="676">
        <v>20414</v>
      </c>
    </row>
    <row r="236" spans="1:4" x14ac:dyDescent="0.2">
      <c r="A236" s="328"/>
      <c r="B236" s="688" t="s">
        <v>971</v>
      </c>
      <c r="C236" s="675" t="s">
        <v>972</v>
      </c>
      <c r="D236" s="676">
        <v>5338.3</v>
      </c>
    </row>
    <row r="237" spans="1:4" x14ac:dyDescent="0.2">
      <c r="A237" s="328"/>
      <c r="B237" s="688" t="s">
        <v>973</v>
      </c>
      <c r="C237" s="675" t="s">
        <v>974</v>
      </c>
      <c r="D237" s="676">
        <v>2185</v>
      </c>
    </row>
    <row r="238" spans="1:4" x14ac:dyDescent="0.2">
      <c r="A238" s="328"/>
      <c r="B238" s="688" t="s">
        <v>975</v>
      </c>
      <c r="C238" s="675" t="s">
        <v>638</v>
      </c>
      <c r="D238" s="676">
        <v>1380</v>
      </c>
    </row>
    <row r="239" spans="1:4" x14ac:dyDescent="0.2">
      <c r="A239" s="328"/>
      <c r="B239" s="688" t="s">
        <v>976</v>
      </c>
      <c r="C239" s="675" t="s">
        <v>806</v>
      </c>
      <c r="D239" s="676">
        <v>2978.5</v>
      </c>
    </row>
    <row r="240" spans="1:4" x14ac:dyDescent="0.2">
      <c r="A240" s="328"/>
      <c r="B240" s="688" t="s">
        <v>977</v>
      </c>
      <c r="C240" s="675" t="s">
        <v>978</v>
      </c>
      <c r="D240" s="676">
        <v>8038.5</v>
      </c>
    </row>
    <row r="241" spans="1:4" x14ac:dyDescent="0.2">
      <c r="A241" s="328"/>
      <c r="B241" s="688" t="s">
        <v>979</v>
      </c>
      <c r="C241" s="677" t="s">
        <v>980</v>
      </c>
      <c r="D241" s="676">
        <v>4013.5</v>
      </c>
    </row>
    <row r="242" spans="1:4" x14ac:dyDescent="0.2">
      <c r="A242" s="328"/>
      <c r="B242" s="688" t="s">
        <v>981</v>
      </c>
      <c r="C242" s="677" t="s">
        <v>982</v>
      </c>
      <c r="D242" s="676">
        <v>1899</v>
      </c>
    </row>
    <row r="243" spans="1:4" x14ac:dyDescent="0.2">
      <c r="A243" s="328"/>
      <c r="B243" s="688" t="s">
        <v>983</v>
      </c>
      <c r="C243" s="677" t="s">
        <v>982</v>
      </c>
      <c r="D243" s="676">
        <v>999</v>
      </c>
    </row>
    <row r="244" spans="1:4" x14ac:dyDescent="0.2">
      <c r="A244" s="328"/>
      <c r="B244" s="688" t="s">
        <v>984</v>
      </c>
      <c r="C244" s="677" t="s">
        <v>982</v>
      </c>
      <c r="D244" s="676">
        <v>999</v>
      </c>
    </row>
    <row r="245" spans="1:4" x14ac:dyDescent="0.2">
      <c r="A245" s="328"/>
      <c r="B245" s="688" t="s">
        <v>985</v>
      </c>
      <c r="C245" s="675" t="s">
        <v>833</v>
      </c>
      <c r="D245" s="676">
        <v>563.5</v>
      </c>
    </row>
    <row r="246" spans="1:4" x14ac:dyDescent="0.2">
      <c r="A246" s="328"/>
      <c r="B246" s="688" t="s">
        <v>986</v>
      </c>
      <c r="C246" s="675" t="s">
        <v>833</v>
      </c>
      <c r="D246" s="676">
        <v>563.5</v>
      </c>
    </row>
    <row r="247" spans="1:4" x14ac:dyDescent="0.2">
      <c r="A247" s="328"/>
      <c r="B247" s="688" t="s">
        <v>987</v>
      </c>
      <c r="C247" s="675" t="s">
        <v>833</v>
      </c>
      <c r="D247" s="676">
        <v>563.5</v>
      </c>
    </row>
    <row r="248" spans="1:4" x14ac:dyDescent="0.2">
      <c r="A248" s="328"/>
      <c r="B248" s="688" t="s">
        <v>988</v>
      </c>
      <c r="C248" s="675" t="s">
        <v>833</v>
      </c>
      <c r="D248" s="676">
        <v>563.5</v>
      </c>
    </row>
    <row r="249" spans="1:4" x14ac:dyDescent="0.2">
      <c r="A249" s="328"/>
      <c r="B249" s="688" t="s">
        <v>989</v>
      </c>
      <c r="C249" s="675" t="s">
        <v>833</v>
      </c>
      <c r="D249" s="676">
        <v>563.5</v>
      </c>
    </row>
    <row r="250" spans="1:4" x14ac:dyDescent="0.2">
      <c r="A250" s="328"/>
      <c r="B250" s="688" t="s">
        <v>990</v>
      </c>
      <c r="C250" s="675" t="s">
        <v>833</v>
      </c>
      <c r="D250" s="691">
        <v>563.5</v>
      </c>
    </row>
    <row r="251" spans="1:4" x14ac:dyDescent="0.2">
      <c r="A251" s="328"/>
      <c r="B251" s="688" t="s">
        <v>991</v>
      </c>
      <c r="C251" s="675" t="s">
        <v>992</v>
      </c>
      <c r="D251" s="674">
        <v>2518.5</v>
      </c>
    </row>
    <row r="252" spans="1:4" x14ac:dyDescent="0.2">
      <c r="A252" s="328"/>
      <c r="B252" s="688" t="s">
        <v>993</v>
      </c>
      <c r="C252" s="675" t="s">
        <v>992</v>
      </c>
      <c r="D252" s="674">
        <v>1368.5</v>
      </c>
    </row>
    <row r="253" spans="1:4" x14ac:dyDescent="0.2">
      <c r="A253" s="328"/>
      <c r="B253" s="688" t="s">
        <v>994</v>
      </c>
      <c r="C253" s="675" t="s">
        <v>806</v>
      </c>
      <c r="D253" s="676">
        <v>2978.5</v>
      </c>
    </row>
    <row r="254" spans="1:4" x14ac:dyDescent="0.2">
      <c r="A254" s="328"/>
      <c r="B254" s="688" t="s">
        <v>995</v>
      </c>
      <c r="C254" s="675" t="s">
        <v>670</v>
      </c>
      <c r="D254" s="676">
        <v>3622.5</v>
      </c>
    </row>
    <row r="255" spans="1:4" x14ac:dyDescent="0.2">
      <c r="A255" s="328"/>
      <c r="B255" s="688" t="s">
        <v>996</v>
      </c>
      <c r="C255" s="677" t="s">
        <v>997</v>
      </c>
      <c r="D255" s="676">
        <v>1023.5</v>
      </c>
    </row>
    <row r="256" spans="1:4" x14ac:dyDescent="0.2">
      <c r="A256" s="328"/>
      <c r="B256" s="688" t="s">
        <v>998</v>
      </c>
      <c r="C256" s="677" t="s">
        <v>704</v>
      </c>
      <c r="D256" s="676">
        <v>3306.02</v>
      </c>
    </row>
    <row r="257" spans="1:4" x14ac:dyDescent="0.2">
      <c r="A257" s="328"/>
      <c r="B257" s="688" t="s">
        <v>999</v>
      </c>
      <c r="C257" s="675" t="s">
        <v>673</v>
      </c>
      <c r="D257" s="676">
        <v>9442.42</v>
      </c>
    </row>
    <row r="258" spans="1:4" x14ac:dyDescent="0.2">
      <c r="A258" s="328"/>
      <c r="B258" s="688" t="s">
        <v>1000</v>
      </c>
      <c r="C258" s="675" t="s">
        <v>740</v>
      </c>
      <c r="D258" s="674">
        <v>1943.5</v>
      </c>
    </row>
    <row r="259" spans="1:4" x14ac:dyDescent="0.2">
      <c r="A259" s="328"/>
      <c r="B259" s="688" t="s">
        <v>1001</v>
      </c>
      <c r="C259" s="681" t="s">
        <v>1002</v>
      </c>
      <c r="D259" s="676">
        <v>422</v>
      </c>
    </row>
    <row r="260" spans="1:4" x14ac:dyDescent="0.2">
      <c r="A260" s="328"/>
      <c r="B260" s="688" t="s">
        <v>1003</v>
      </c>
      <c r="C260" s="681" t="s">
        <v>1004</v>
      </c>
      <c r="D260" s="674">
        <v>1144</v>
      </c>
    </row>
    <row r="261" spans="1:4" x14ac:dyDescent="0.2">
      <c r="A261" s="328"/>
      <c r="B261" s="688" t="s">
        <v>1005</v>
      </c>
      <c r="C261" s="681" t="s">
        <v>1004</v>
      </c>
      <c r="D261" s="676">
        <v>1144</v>
      </c>
    </row>
    <row r="262" spans="1:4" x14ac:dyDescent="0.2">
      <c r="A262" s="328"/>
      <c r="B262" s="688" t="s">
        <v>1006</v>
      </c>
      <c r="C262" s="681" t="s">
        <v>1004</v>
      </c>
      <c r="D262" s="676">
        <v>1144</v>
      </c>
    </row>
    <row r="263" spans="1:4" x14ac:dyDescent="0.2">
      <c r="A263" s="328"/>
      <c r="B263" s="688" t="s">
        <v>1007</v>
      </c>
      <c r="C263" s="681" t="s">
        <v>1008</v>
      </c>
      <c r="D263" s="676">
        <v>10000</v>
      </c>
    </row>
    <row r="264" spans="1:4" x14ac:dyDescent="0.2">
      <c r="A264" s="328"/>
      <c r="B264" s="688" t="s">
        <v>1009</v>
      </c>
      <c r="C264" s="681" t="s">
        <v>1010</v>
      </c>
      <c r="D264" s="674">
        <v>2499</v>
      </c>
    </row>
    <row r="265" spans="1:4" x14ac:dyDescent="0.2">
      <c r="A265" s="328"/>
      <c r="B265" s="688" t="s">
        <v>1011</v>
      </c>
      <c r="C265" s="681" t="s">
        <v>1012</v>
      </c>
      <c r="D265" s="674">
        <v>6486</v>
      </c>
    </row>
    <row r="266" spans="1:4" x14ac:dyDescent="0.2">
      <c r="A266" s="328"/>
      <c r="B266" s="688" t="s">
        <v>1013</v>
      </c>
      <c r="C266" s="681" t="s">
        <v>1012</v>
      </c>
      <c r="D266" s="674">
        <v>6486</v>
      </c>
    </row>
    <row r="267" spans="1:4" x14ac:dyDescent="0.2">
      <c r="A267" s="328"/>
      <c r="B267" s="688" t="s">
        <v>1014</v>
      </c>
      <c r="C267" s="681" t="s">
        <v>1015</v>
      </c>
      <c r="D267" s="676">
        <v>2099</v>
      </c>
    </row>
    <row r="268" spans="1:4" x14ac:dyDescent="0.2">
      <c r="A268" s="328"/>
      <c r="B268" s="688" t="s">
        <v>1016</v>
      </c>
      <c r="C268" s="679" t="s">
        <v>1017</v>
      </c>
      <c r="D268" s="676">
        <v>5000</v>
      </c>
    </row>
    <row r="269" spans="1:4" x14ac:dyDescent="0.2">
      <c r="A269" s="328"/>
      <c r="B269" s="688" t="s">
        <v>1018</v>
      </c>
      <c r="C269" s="681" t="s">
        <v>1019</v>
      </c>
      <c r="D269" s="674">
        <v>2500</v>
      </c>
    </row>
    <row r="270" spans="1:4" x14ac:dyDescent="0.2">
      <c r="A270" s="328"/>
      <c r="B270" s="688" t="s">
        <v>1020</v>
      </c>
      <c r="C270" s="681" t="s">
        <v>1019</v>
      </c>
      <c r="D270" s="674">
        <v>2500</v>
      </c>
    </row>
    <row r="271" spans="1:4" x14ac:dyDescent="0.2">
      <c r="A271" s="328"/>
      <c r="B271" s="688" t="s">
        <v>1021</v>
      </c>
      <c r="C271" s="681" t="s">
        <v>1019</v>
      </c>
      <c r="D271" s="674">
        <v>2500</v>
      </c>
    </row>
    <row r="272" spans="1:4" x14ac:dyDescent="0.2">
      <c r="A272" s="328"/>
      <c r="B272" s="688" t="s">
        <v>1022</v>
      </c>
      <c r="C272" s="681" t="s">
        <v>1019</v>
      </c>
      <c r="D272" s="674">
        <v>2500</v>
      </c>
    </row>
    <row r="273" spans="1:4" x14ac:dyDescent="0.2">
      <c r="A273" s="328"/>
      <c r="B273" s="688" t="s">
        <v>1023</v>
      </c>
      <c r="C273" s="681" t="s">
        <v>1019</v>
      </c>
      <c r="D273" s="674">
        <v>2500</v>
      </c>
    </row>
    <row r="274" spans="1:4" x14ac:dyDescent="0.2">
      <c r="A274" s="328"/>
      <c r="B274" s="688" t="s">
        <v>1024</v>
      </c>
      <c r="C274" s="681" t="s">
        <v>1019</v>
      </c>
      <c r="D274" s="674">
        <v>2500</v>
      </c>
    </row>
    <row r="275" spans="1:4" x14ac:dyDescent="0.2">
      <c r="A275" s="328"/>
      <c r="B275" s="688" t="s">
        <v>1025</v>
      </c>
      <c r="C275" s="681" t="s">
        <v>1019</v>
      </c>
      <c r="D275" s="674">
        <v>2500</v>
      </c>
    </row>
    <row r="276" spans="1:4" x14ac:dyDescent="0.2">
      <c r="A276" s="328"/>
      <c r="B276" s="688" t="s">
        <v>1026</v>
      </c>
      <c r="C276" s="681" t="s">
        <v>1019</v>
      </c>
      <c r="D276" s="674">
        <v>2500</v>
      </c>
    </row>
    <row r="277" spans="1:4" x14ac:dyDescent="0.2">
      <c r="A277" s="328"/>
      <c r="B277" s="688" t="s">
        <v>1027</v>
      </c>
      <c r="C277" s="681" t="s">
        <v>1019</v>
      </c>
      <c r="D277" s="674">
        <v>2500</v>
      </c>
    </row>
    <row r="278" spans="1:4" x14ac:dyDescent="0.2">
      <c r="A278" s="328"/>
      <c r="B278" s="688" t="s">
        <v>1028</v>
      </c>
      <c r="C278" s="681" t="s">
        <v>1019</v>
      </c>
      <c r="D278" s="674">
        <v>2500</v>
      </c>
    </row>
    <row r="279" spans="1:4" x14ac:dyDescent="0.2">
      <c r="A279" s="328"/>
      <c r="B279" s="688" t="s">
        <v>1029</v>
      </c>
      <c r="C279" s="681" t="s">
        <v>1019</v>
      </c>
      <c r="D279" s="674">
        <v>2500</v>
      </c>
    </row>
    <row r="280" spans="1:4" x14ac:dyDescent="0.2">
      <c r="A280" s="328"/>
      <c r="B280" s="688" t="s">
        <v>1030</v>
      </c>
      <c r="C280" s="681" t="s">
        <v>1019</v>
      </c>
      <c r="D280" s="674">
        <v>2500</v>
      </c>
    </row>
    <row r="281" spans="1:4" x14ac:dyDescent="0.2">
      <c r="A281" s="328"/>
      <c r="B281" s="688" t="s">
        <v>1031</v>
      </c>
      <c r="C281" s="681" t="s">
        <v>1019</v>
      </c>
      <c r="D281" s="674">
        <v>2500</v>
      </c>
    </row>
    <row r="282" spans="1:4" x14ac:dyDescent="0.2">
      <c r="A282" s="328"/>
      <c r="B282" s="688" t="s">
        <v>1032</v>
      </c>
      <c r="C282" s="681" t="s">
        <v>1019</v>
      </c>
      <c r="D282" s="674">
        <v>2500</v>
      </c>
    </row>
    <row r="283" spans="1:4" x14ac:dyDescent="0.2">
      <c r="A283" s="328"/>
      <c r="B283" s="688" t="s">
        <v>1033</v>
      </c>
      <c r="C283" s="681" t="s">
        <v>1019</v>
      </c>
      <c r="D283" s="674">
        <v>2500</v>
      </c>
    </row>
    <row r="284" spans="1:4" x14ac:dyDescent="0.2">
      <c r="A284" s="328"/>
      <c r="B284" s="688" t="s">
        <v>1034</v>
      </c>
      <c r="C284" s="681" t="s">
        <v>1019</v>
      </c>
      <c r="D284" s="674">
        <v>2500</v>
      </c>
    </row>
    <row r="285" spans="1:4" x14ac:dyDescent="0.2">
      <c r="A285" s="328"/>
      <c r="B285" s="688" t="s">
        <v>1035</v>
      </c>
      <c r="C285" s="681" t="s">
        <v>1019</v>
      </c>
      <c r="D285" s="674">
        <v>2500</v>
      </c>
    </row>
    <row r="286" spans="1:4" x14ac:dyDescent="0.2">
      <c r="A286" s="328"/>
      <c r="B286" s="688" t="s">
        <v>1036</v>
      </c>
      <c r="C286" s="681" t="s">
        <v>1037</v>
      </c>
      <c r="D286" s="674">
        <v>3000</v>
      </c>
    </row>
    <row r="287" spans="1:4" x14ac:dyDescent="0.2">
      <c r="A287" s="328"/>
      <c r="B287" s="688" t="s">
        <v>1038</v>
      </c>
      <c r="C287" s="681" t="s">
        <v>1039</v>
      </c>
      <c r="D287" s="674">
        <v>1485</v>
      </c>
    </row>
    <row r="288" spans="1:4" x14ac:dyDescent="0.2">
      <c r="A288" s="328"/>
      <c r="B288" s="688" t="s">
        <v>1040</v>
      </c>
      <c r="C288" s="681" t="s">
        <v>1039</v>
      </c>
      <c r="D288" s="674">
        <v>1485</v>
      </c>
    </row>
    <row r="289" spans="1:4" x14ac:dyDescent="0.2">
      <c r="A289" s="328"/>
      <c r="B289" s="688" t="s">
        <v>1041</v>
      </c>
      <c r="C289" s="681" t="s">
        <v>1042</v>
      </c>
      <c r="D289" s="674">
        <v>92000</v>
      </c>
    </row>
    <row r="290" spans="1:4" x14ac:dyDescent="0.2">
      <c r="A290" s="328"/>
      <c r="B290" s="688" t="s">
        <v>1043</v>
      </c>
      <c r="C290" s="681" t="s">
        <v>1044</v>
      </c>
      <c r="D290" s="674">
        <v>611.6</v>
      </c>
    </row>
    <row r="291" spans="1:4" x14ac:dyDescent="0.2">
      <c r="A291" s="328"/>
      <c r="B291" s="688" t="s">
        <v>1045</v>
      </c>
      <c r="C291" s="679" t="s">
        <v>1046</v>
      </c>
      <c r="D291" s="674">
        <v>12984</v>
      </c>
    </row>
    <row r="292" spans="1:4" x14ac:dyDescent="0.2">
      <c r="A292" s="328"/>
      <c r="B292" s="688" t="s">
        <v>1047</v>
      </c>
      <c r="C292" s="679" t="s">
        <v>1048</v>
      </c>
      <c r="D292" s="674">
        <v>19320.5</v>
      </c>
    </row>
    <row r="293" spans="1:4" x14ac:dyDescent="0.2">
      <c r="A293" s="328"/>
      <c r="B293" s="688" t="s">
        <v>1049</v>
      </c>
      <c r="C293" s="679" t="s">
        <v>1050</v>
      </c>
      <c r="D293" s="674">
        <v>16194.9912</v>
      </c>
    </row>
    <row r="294" spans="1:4" x14ac:dyDescent="0.2">
      <c r="A294" s="328"/>
      <c r="B294" s="688" t="s">
        <v>1051</v>
      </c>
      <c r="C294" s="681" t="s">
        <v>1052</v>
      </c>
      <c r="D294" s="674">
        <v>3299.99</v>
      </c>
    </row>
    <row r="295" spans="1:4" x14ac:dyDescent="0.2">
      <c r="A295" s="328"/>
      <c r="B295" s="688" t="s">
        <v>1053</v>
      </c>
      <c r="C295" s="675" t="s">
        <v>673</v>
      </c>
      <c r="D295" s="678">
        <v>16673.5</v>
      </c>
    </row>
    <row r="296" spans="1:4" x14ac:dyDescent="0.2">
      <c r="A296" s="328"/>
      <c r="B296" s="688" t="s">
        <v>1054</v>
      </c>
      <c r="C296" s="679" t="s">
        <v>1055</v>
      </c>
      <c r="D296" s="676">
        <v>10177</v>
      </c>
    </row>
    <row r="297" spans="1:4" x14ac:dyDescent="0.2">
      <c r="A297" s="328"/>
      <c r="B297" s="688" t="s">
        <v>1056</v>
      </c>
      <c r="C297" s="679" t="s">
        <v>1057</v>
      </c>
      <c r="D297" s="676">
        <v>2098.4899999999998</v>
      </c>
    </row>
    <row r="298" spans="1:4" x14ac:dyDescent="0.2">
      <c r="A298" s="328"/>
      <c r="B298" s="688" t="s">
        <v>1058</v>
      </c>
      <c r="C298" s="679" t="s">
        <v>1059</v>
      </c>
      <c r="D298" s="676">
        <v>1943.5</v>
      </c>
    </row>
    <row r="299" spans="1:4" x14ac:dyDescent="0.2">
      <c r="A299" s="328"/>
      <c r="B299" s="688" t="s">
        <v>1060</v>
      </c>
      <c r="C299" s="675" t="s">
        <v>1061</v>
      </c>
      <c r="D299" s="674">
        <v>14892.5</v>
      </c>
    </row>
    <row r="300" spans="1:4" x14ac:dyDescent="0.2">
      <c r="A300" s="328"/>
      <c r="B300" s="688" t="s">
        <v>1062</v>
      </c>
      <c r="C300" s="675" t="s">
        <v>1063</v>
      </c>
      <c r="D300" s="674">
        <v>2424.4</v>
      </c>
    </row>
    <row r="301" spans="1:4" x14ac:dyDescent="0.2">
      <c r="A301" s="328"/>
      <c r="B301" s="688" t="s">
        <v>1064</v>
      </c>
      <c r="C301" s="675" t="s">
        <v>1061</v>
      </c>
      <c r="D301" s="674">
        <v>14892.5</v>
      </c>
    </row>
    <row r="302" spans="1:4" x14ac:dyDescent="0.2">
      <c r="A302" s="328"/>
      <c r="B302" s="688" t="s">
        <v>1065</v>
      </c>
      <c r="C302" s="675" t="s">
        <v>818</v>
      </c>
      <c r="D302" s="674">
        <v>2185</v>
      </c>
    </row>
    <row r="303" spans="1:4" x14ac:dyDescent="0.2">
      <c r="A303" s="328"/>
      <c r="B303" s="688" t="s">
        <v>1066</v>
      </c>
      <c r="C303" s="675" t="s">
        <v>673</v>
      </c>
      <c r="D303" s="674">
        <v>7888</v>
      </c>
    </row>
    <row r="304" spans="1:4" x14ac:dyDescent="0.2">
      <c r="A304" s="328"/>
      <c r="B304" s="688" t="s">
        <v>1067</v>
      </c>
      <c r="C304" s="675" t="s">
        <v>734</v>
      </c>
      <c r="D304" s="674">
        <v>2863.5</v>
      </c>
    </row>
    <row r="305" spans="1:4" x14ac:dyDescent="0.2">
      <c r="A305" s="328"/>
      <c r="B305" s="688" t="s">
        <v>1068</v>
      </c>
      <c r="C305" s="675" t="s">
        <v>795</v>
      </c>
      <c r="D305" s="674">
        <v>2530</v>
      </c>
    </row>
    <row r="306" spans="1:4" x14ac:dyDescent="0.2">
      <c r="A306" s="328"/>
      <c r="B306" s="688" t="s">
        <v>1069</v>
      </c>
      <c r="C306" s="681" t="s">
        <v>1070</v>
      </c>
      <c r="D306" s="676">
        <v>9220.26</v>
      </c>
    </row>
    <row r="307" spans="1:4" x14ac:dyDescent="0.2">
      <c r="A307" s="328"/>
      <c r="B307" s="688" t="s">
        <v>1071</v>
      </c>
      <c r="C307" s="681" t="s">
        <v>1072</v>
      </c>
      <c r="D307" s="674">
        <v>13027.83</v>
      </c>
    </row>
    <row r="308" spans="1:4" x14ac:dyDescent="0.2">
      <c r="A308" s="328"/>
      <c r="B308" s="688" t="s">
        <v>1073</v>
      </c>
      <c r="C308" s="675" t="s">
        <v>1074</v>
      </c>
      <c r="D308" s="674">
        <v>9610.76</v>
      </c>
    </row>
    <row r="309" spans="1:4" x14ac:dyDescent="0.2">
      <c r="A309" s="328"/>
      <c r="B309" s="688" t="s">
        <v>1075</v>
      </c>
      <c r="C309" s="677" t="s">
        <v>762</v>
      </c>
      <c r="D309" s="674">
        <v>2146</v>
      </c>
    </row>
    <row r="310" spans="1:4" x14ac:dyDescent="0.2">
      <c r="A310" s="328"/>
      <c r="B310" s="688" t="s">
        <v>1076</v>
      </c>
      <c r="C310" s="675" t="s">
        <v>1077</v>
      </c>
      <c r="D310" s="674">
        <v>770.5</v>
      </c>
    </row>
    <row r="311" spans="1:4" x14ac:dyDescent="0.2">
      <c r="A311" s="328"/>
      <c r="B311" s="688" t="s">
        <v>1078</v>
      </c>
      <c r="C311" s="675" t="s">
        <v>1077</v>
      </c>
      <c r="D311" s="674">
        <v>770.5</v>
      </c>
    </row>
    <row r="312" spans="1:4" x14ac:dyDescent="0.2">
      <c r="A312" s="328"/>
      <c r="B312" s="688" t="s">
        <v>1079</v>
      </c>
      <c r="C312" s="675" t="s">
        <v>1080</v>
      </c>
      <c r="D312" s="674">
        <v>3783.5</v>
      </c>
    </row>
    <row r="313" spans="1:4" x14ac:dyDescent="0.2">
      <c r="A313" s="328"/>
      <c r="B313" s="688" t="s">
        <v>1081</v>
      </c>
      <c r="C313" s="675" t="s">
        <v>1082</v>
      </c>
      <c r="D313" s="674">
        <v>20462.400000000001</v>
      </c>
    </row>
    <row r="314" spans="1:4" x14ac:dyDescent="0.2">
      <c r="A314" s="328"/>
      <c r="B314" s="688" t="s">
        <v>1083</v>
      </c>
      <c r="C314" s="675" t="s">
        <v>1084</v>
      </c>
      <c r="D314" s="674">
        <v>6581.8051999999998</v>
      </c>
    </row>
    <row r="315" spans="1:4" x14ac:dyDescent="0.2">
      <c r="A315" s="328"/>
      <c r="B315" s="688" t="s">
        <v>1085</v>
      </c>
      <c r="C315" s="675" t="s">
        <v>968</v>
      </c>
      <c r="D315" s="676">
        <v>3507.5</v>
      </c>
    </row>
    <row r="316" spans="1:4" x14ac:dyDescent="0.2">
      <c r="A316" s="328"/>
      <c r="B316" s="688" t="s">
        <v>1086</v>
      </c>
      <c r="C316" s="675" t="s">
        <v>875</v>
      </c>
      <c r="D316" s="676">
        <v>1455.9970000000001</v>
      </c>
    </row>
    <row r="317" spans="1:4" x14ac:dyDescent="0.2">
      <c r="A317" s="328"/>
      <c r="B317" s="688" t="s">
        <v>1087</v>
      </c>
      <c r="C317" s="675" t="s">
        <v>758</v>
      </c>
      <c r="D317" s="674">
        <v>3680</v>
      </c>
    </row>
    <row r="318" spans="1:4" x14ac:dyDescent="0.2">
      <c r="A318" s="328"/>
      <c r="B318" s="688" t="s">
        <v>1088</v>
      </c>
      <c r="C318" s="675" t="s">
        <v>997</v>
      </c>
      <c r="D318" s="676">
        <v>1455.9970000000001</v>
      </c>
    </row>
    <row r="319" spans="1:4" x14ac:dyDescent="0.2">
      <c r="A319" s="328"/>
      <c r="B319" s="688" t="s">
        <v>1089</v>
      </c>
      <c r="C319" s="675" t="s">
        <v>800</v>
      </c>
      <c r="D319" s="686">
        <v>1604.25</v>
      </c>
    </row>
    <row r="320" spans="1:4" x14ac:dyDescent="0.2">
      <c r="A320" s="328"/>
      <c r="B320" s="688" t="s">
        <v>1090</v>
      </c>
      <c r="C320" s="675" t="s">
        <v>831</v>
      </c>
      <c r="D320" s="684">
        <v>5295.75</v>
      </c>
    </row>
    <row r="321" spans="1:4" x14ac:dyDescent="0.2">
      <c r="A321" s="328"/>
      <c r="B321" s="688" t="s">
        <v>1091</v>
      </c>
      <c r="C321" s="681" t="s">
        <v>806</v>
      </c>
      <c r="D321" s="674">
        <v>4370</v>
      </c>
    </row>
    <row r="322" spans="1:4" x14ac:dyDescent="0.2">
      <c r="A322" s="328"/>
      <c r="B322" s="688" t="s">
        <v>1092</v>
      </c>
      <c r="C322" s="681" t="s">
        <v>806</v>
      </c>
      <c r="D322" s="674">
        <v>4370</v>
      </c>
    </row>
    <row r="323" spans="1:4" x14ac:dyDescent="0.2">
      <c r="A323" s="328"/>
      <c r="B323" s="688" t="s">
        <v>1093</v>
      </c>
      <c r="C323" s="681" t="s">
        <v>712</v>
      </c>
      <c r="D323" s="674">
        <v>1138.5</v>
      </c>
    </row>
    <row r="324" spans="1:4" x14ac:dyDescent="0.2">
      <c r="A324" s="328"/>
      <c r="B324" s="688" t="s">
        <v>1094</v>
      </c>
      <c r="C324" s="675" t="s">
        <v>670</v>
      </c>
      <c r="D324" s="676">
        <v>3622.5</v>
      </c>
    </row>
    <row r="325" spans="1:4" x14ac:dyDescent="0.2">
      <c r="A325" s="328"/>
      <c r="B325" s="688" t="s">
        <v>1095</v>
      </c>
      <c r="C325" s="681" t="s">
        <v>1096</v>
      </c>
      <c r="D325" s="676">
        <v>2875</v>
      </c>
    </row>
    <row r="326" spans="1:4" x14ac:dyDescent="0.2">
      <c r="A326" s="328"/>
      <c r="B326" s="688" t="s">
        <v>1097</v>
      </c>
      <c r="C326" s="681" t="s">
        <v>1098</v>
      </c>
      <c r="D326" s="676">
        <v>517.5</v>
      </c>
    </row>
    <row r="327" spans="1:4" x14ac:dyDescent="0.2">
      <c r="A327" s="328"/>
      <c r="B327" s="688" t="s">
        <v>1099</v>
      </c>
      <c r="C327" s="681" t="s">
        <v>1098</v>
      </c>
      <c r="D327" s="676">
        <v>517.5</v>
      </c>
    </row>
    <row r="328" spans="1:4" x14ac:dyDescent="0.2">
      <c r="A328" s="328"/>
      <c r="B328" s="688" t="s">
        <v>1100</v>
      </c>
      <c r="C328" s="681" t="s">
        <v>1101</v>
      </c>
      <c r="D328" s="676">
        <v>14998.8</v>
      </c>
    </row>
    <row r="329" spans="1:4" x14ac:dyDescent="0.2">
      <c r="A329" s="328"/>
      <c r="B329" s="688" t="s">
        <v>1102</v>
      </c>
      <c r="C329" s="677" t="s">
        <v>1103</v>
      </c>
      <c r="D329" s="676">
        <v>2146</v>
      </c>
    </row>
    <row r="330" spans="1:4" x14ac:dyDescent="0.2">
      <c r="A330" s="328"/>
      <c r="B330" s="688" t="s">
        <v>1104</v>
      </c>
      <c r="C330" s="681" t="s">
        <v>968</v>
      </c>
      <c r="D330" s="676">
        <v>3323.5</v>
      </c>
    </row>
    <row r="331" spans="1:4" ht="22.5" x14ac:dyDescent="0.2">
      <c r="A331" s="328"/>
      <c r="B331" s="695" t="s">
        <v>1105</v>
      </c>
      <c r="C331" s="696" t="s">
        <v>1106</v>
      </c>
      <c r="D331" s="691">
        <v>11832</v>
      </c>
    </row>
    <row r="332" spans="1:4" x14ac:dyDescent="0.2">
      <c r="A332" s="328"/>
      <c r="B332" s="688" t="s">
        <v>1107</v>
      </c>
      <c r="C332" s="697" t="s">
        <v>1108</v>
      </c>
      <c r="D332" s="698">
        <v>3700.4</v>
      </c>
    </row>
    <row r="333" spans="1:4" x14ac:dyDescent="0.2">
      <c r="A333" s="328"/>
      <c r="B333" s="688" t="s">
        <v>1109</v>
      </c>
      <c r="C333" s="697" t="s">
        <v>1110</v>
      </c>
      <c r="D333" s="698">
        <v>2088</v>
      </c>
    </row>
    <row r="334" spans="1:4" x14ac:dyDescent="0.2">
      <c r="A334" s="328"/>
      <c r="B334" s="688" t="s">
        <v>1111</v>
      </c>
      <c r="C334" s="697" t="s">
        <v>1112</v>
      </c>
      <c r="D334" s="698">
        <v>4280.3999999999996</v>
      </c>
    </row>
    <row r="335" spans="1:4" x14ac:dyDescent="0.2">
      <c r="A335" s="328"/>
      <c r="B335" s="688" t="s">
        <v>1113</v>
      </c>
      <c r="C335" s="697" t="s">
        <v>1114</v>
      </c>
      <c r="D335" s="698">
        <v>3364</v>
      </c>
    </row>
    <row r="336" spans="1:4" x14ac:dyDescent="0.2">
      <c r="A336" s="328"/>
      <c r="B336" s="688" t="s">
        <v>1115</v>
      </c>
      <c r="C336" s="697" t="s">
        <v>1114</v>
      </c>
      <c r="D336" s="698">
        <v>3364</v>
      </c>
    </row>
    <row r="337" spans="1:4" x14ac:dyDescent="0.2">
      <c r="A337" s="328"/>
      <c r="B337" s="688" t="s">
        <v>1116</v>
      </c>
      <c r="C337" s="697" t="s">
        <v>846</v>
      </c>
      <c r="D337" s="691">
        <v>563.5</v>
      </c>
    </row>
    <row r="338" spans="1:4" x14ac:dyDescent="0.2">
      <c r="A338" s="328"/>
      <c r="B338" s="688" t="s">
        <v>1117</v>
      </c>
      <c r="C338" s="697" t="s">
        <v>846</v>
      </c>
      <c r="D338" s="691">
        <v>563.5</v>
      </c>
    </row>
    <row r="339" spans="1:4" x14ac:dyDescent="0.2">
      <c r="A339" s="328"/>
      <c r="B339" s="688" t="s">
        <v>1118</v>
      </c>
      <c r="C339" s="697" t="s">
        <v>846</v>
      </c>
      <c r="D339" s="691">
        <v>563.5</v>
      </c>
    </row>
    <row r="340" spans="1:4" x14ac:dyDescent="0.2">
      <c r="A340" s="328"/>
      <c r="B340" s="688" t="s">
        <v>1119</v>
      </c>
      <c r="C340" s="697" t="s">
        <v>846</v>
      </c>
      <c r="D340" s="691">
        <v>563.5</v>
      </c>
    </row>
    <row r="341" spans="1:4" x14ac:dyDescent="0.2">
      <c r="A341" s="328"/>
      <c r="B341" s="688" t="s">
        <v>1120</v>
      </c>
      <c r="C341" s="697" t="s">
        <v>1121</v>
      </c>
      <c r="D341" s="698">
        <v>5925</v>
      </c>
    </row>
    <row r="342" spans="1:4" x14ac:dyDescent="0.2">
      <c r="A342" s="328"/>
      <c r="B342" s="688" t="s">
        <v>1122</v>
      </c>
      <c r="C342" s="697" t="s">
        <v>1123</v>
      </c>
      <c r="D342" s="698">
        <v>11387.81</v>
      </c>
    </row>
    <row r="343" spans="1:4" x14ac:dyDescent="0.2">
      <c r="A343" s="328"/>
      <c r="B343" s="688" t="s">
        <v>1124</v>
      </c>
      <c r="C343" s="697" t="s">
        <v>1125</v>
      </c>
      <c r="D343" s="698">
        <v>2461.06</v>
      </c>
    </row>
    <row r="344" spans="1:4" x14ac:dyDescent="0.2">
      <c r="A344" s="328"/>
      <c r="B344" s="688" t="s">
        <v>1126</v>
      </c>
      <c r="C344" s="697" t="s">
        <v>1127</v>
      </c>
      <c r="D344" s="698">
        <v>4628.3999999999996</v>
      </c>
    </row>
    <row r="345" spans="1:4" x14ac:dyDescent="0.2">
      <c r="A345" s="328"/>
      <c r="B345" s="688" t="s">
        <v>1128</v>
      </c>
      <c r="C345" s="697" t="s">
        <v>1129</v>
      </c>
      <c r="D345" s="698">
        <v>32224.799999999999</v>
      </c>
    </row>
    <row r="346" spans="1:4" x14ac:dyDescent="0.2">
      <c r="A346" s="328"/>
      <c r="B346" s="688" t="s">
        <v>1130</v>
      </c>
      <c r="C346" s="697" t="s">
        <v>1131</v>
      </c>
      <c r="D346" s="698">
        <v>11833.5195999999</v>
      </c>
    </row>
    <row r="347" spans="1:4" ht="22.5" x14ac:dyDescent="0.2">
      <c r="A347" s="328"/>
      <c r="B347" s="688" t="s">
        <v>1132</v>
      </c>
      <c r="C347" s="697" t="s">
        <v>1133</v>
      </c>
      <c r="D347" s="698">
        <v>11832</v>
      </c>
    </row>
    <row r="348" spans="1:4" x14ac:dyDescent="0.2">
      <c r="A348" s="328"/>
      <c r="B348" s="688" t="s">
        <v>1134</v>
      </c>
      <c r="C348" s="697" t="s">
        <v>1135</v>
      </c>
      <c r="D348" s="698">
        <v>4698</v>
      </c>
    </row>
    <row r="349" spans="1:4" x14ac:dyDescent="0.2">
      <c r="A349" s="328"/>
      <c r="B349" s="688" t="s">
        <v>1136</v>
      </c>
      <c r="C349" s="697" t="s">
        <v>1112</v>
      </c>
      <c r="D349" s="698">
        <v>4280.3999999999996</v>
      </c>
    </row>
    <row r="350" spans="1:4" x14ac:dyDescent="0.2">
      <c r="A350" s="328"/>
      <c r="B350" s="688" t="s">
        <v>1137</v>
      </c>
      <c r="C350" s="697" t="s">
        <v>1114</v>
      </c>
      <c r="D350" s="698">
        <v>3364</v>
      </c>
    </row>
    <row r="351" spans="1:4" x14ac:dyDescent="0.2">
      <c r="A351" s="328"/>
      <c r="B351" s="688" t="s">
        <v>1138</v>
      </c>
      <c r="C351" s="697" t="s">
        <v>1114</v>
      </c>
      <c r="D351" s="698">
        <v>3364</v>
      </c>
    </row>
    <row r="352" spans="1:4" x14ac:dyDescent="0.2">
      <c r="A352" s="328"/>
      <c r="B352" s="688" t="s">
        <v>1139</v>
      </c>
      <c r="C352" s="697" t="s">
        <v>1140</v>
      </c>
      <c r="D352" s="699">
        <v>9600</v>
      </c>
    </row>
    <row r="353" spans="1:4" x14ac:dyDescent="0.2">
      <c r="A353" s="328"/>
      <c r="B353" s="688" t="s">
        <v>1141</v>
      </c>
      <c r="C353" s="697" t="s">
        <v>1142</v>
      </c>
      <c r="D353" s="698">
        <v>3323.4</v>
      </c>
    </row>
    <row r="354" spans="1:4" x14ac:dyDescent="0.2">
      <c r="A354" s="328"/>
      <c r="B354" s="688" t="s">
        <v>1143</v>
      </c>
      <c r="C354" s="697" t="s">
        <v>869</v>
      </c>
      <c r="D354" s="698">
        <v>9998.9912000000004</v>
      </c>
    </row>
    <row r="355" spans="1:4" ht="22.5" x14ac:dyDescent="0.2">
      <c r="A355" s="328"/>
      <c r="B355" s="688" t="s">
        <v>1144</v>
      </c>
      <c r="C355" s="700" t="s">
        <v>1145</v>
      </c>
      <c r="D355" s="691">
        <v>4976.3999999999996</v>
      </c>
    </row>
    <row r="356" spans="1:4" x14ac:dyDescent="0.2">
      <c r="A356" s="328"/>
      <c r="B356" s="688" t="s">
        <v>1146</v>
      </c>
      <c r="C356" s="696" t="s">
        <v>632</v>
      </c>
      <c r="D356" s="691">
        <v>1264.4000000000001</v>
      </c>
    </row>
    <row r="357" spans="1:4" x14ac:dyDescent="0.2">
      <c r="A357" s="328"/>
      <c r="B357" s="688" t="s">
        <v>1147</v>
      </c>
      <c r="C357" s="697" t="s">
        <v>1148</v>
      </c>
      <c r="D357" s="691">
        <v>8522.3459999999995</v>
      </c>
    </row>
    <row r="358" spans="1:4" ht="22.5" x14ac:dyDescent="0.2">
      <c r="A358" s="328"/>
      <c r="B358" s="688" t="s">
        <v>1149</v>
      </c>
      <c r="C358" s="700" t="s">
        <v>1145</v>
      </c>
      <c r="D358" s="691">
        <v>4976.3999999999996</v>
      </c>
    </row>
    <row r="359" spans="1:4" x14ac:dyDescent="0.2">
      <c r="A359" s="328"/>
      <c r="B359" s="688" t="s">
        <v>1150</v>
      </c>
      <c r="C359" s="697" t="s">
        <v>1151</v>
      </c>
      <c r="D359" s="691">
        <v>1264.4000000000001</v>
      </c>
    </row>
    <row r="360" spans="1:4" x14ac:dyDescent="0.2">
      <c r="A360" s="328"/>
      <c r="B360" s="688" t="s">
        <v>1152</v>
      </c>
      <c r="C360" s="697" t="s">
        <v>1148</v>
      </c>
      <c r="D360" s="698">
        <v>8522.3459999999995</v>
      </c>
    </row>
    <row r="361" spans="1:4" ht="22.5" x14ac:dyDescent="0.2">
      <c r="A361" s="328"/>
      <c r="B361" s="688" t="s">
        <v>1153</v>
      </c>
      <c r="C361" s="700" t="s">
        <v>1145</v>
      </c>
      <c r="D361" s="691">
        <v>4976.3999999999996</v>
      </c>
    </row>
    <row r="362" spans="1:4" x14ac:dyDescent="0.2">
      <c r="A362" s="328"/>
      <c r="B362" s="688" t="s">
        <v>1154</v>
      </c>
      <c r="C362" s="701" t="s">
        <v>1151</v>
      </c>
      <c r="D362" s="691">
        <v>1264.4000000000001</v>
      </c>
    </row>
    <row r="363" spans="1:4" x14ac:dyDescent="0.2">
      <c r="A363" s="328"/>
      <c r="B363" s="688" t="s">
        <v>1155</v>
      </c>
      <c r="C363" s="697" t="s">
        <v>1148</v>
      </c>
      <c r="D363" s="698">
        <v>8522.3459999999995</v>
      </c>
    </row>
    <row r="364" spans="1:4" x14ac:dyDescent="0.2">
      <c r="A364" s="328"/>
      <c r="B364" s="688" t="s">
        <v>1156</v>
      </c>
      <c r="C364" s="701" t="s">
        <v>1157</v>
      </c>
      <c r="D364" s="698">
        <v>14860</v>
      </c>
    </row>
    <row r="365" spans="1:4" x14ac:dyDescent="0.2">
      <c r="A365" s="328"/>
      <c r="B365" s="688" t="s">
        <v>1158</v>
      </c>
      <c r="C365" s="675" t="s">
        <v>1159</v>
      </c>
      <c r="D365" s="674">
        <v>10079.878000000001</v>
      </c>
    </row>
    <row r="366" spans="1:4" x14ac:dyDescent="0.2">
      <c r="A366" s="328"/>
      <c r="B366" s="688" t="s">
        <v>1160</v>
      </c>
      <c r="C366" s="696" t="s">
        <v>1114</v>
      </c>
      <c r="D366" s="698">
        <v>3364</v>
      </c>
    </row>
    <row r="367" spans="1:4" x14ac:dyDescent="0.2">
      <c r="A367" s="328"/>
      <c r="B367" s="688" t="s">
        <v>1161</v>
      </c>
      <c r="C367" s="696" t="s">
        <v>1114</v>
      </c>
      <c r="D367" s="698">
        <v>3364</v>
      </c>
    </row>
    <row r="368" spans="1:4" ht="22.5" x14ac:dyDescent="0.2">
      <c r="A368" s="328"/>
      <c r="B368" s="688" t="s">
        <v>1162</v>
      </c>
      <c r="C368" s="700" t="s">
        <v>1145</v>
      </c>
      <c r="D368" s="691">
        <v>4976.3999999999996</v>
      </c>
    </row>
    <row r="369" spans="1:4" x14ac:dyDescent="0.2">
      <c r="A369" s="328"/>
      <c r="B369" s="688" t="s">
        <v>1163</v>
      </c>
      <c r="C369" s="696" t="s">
        <v>1164</v>
      </c>
      <c r="D369" s="691">
        <v>4280.3999999999996</v>
      </c>
    </row>
    <row r="370" spans="1:4" x14ac:dyDescent="0.2">
      <c r="A370" s="328"/>
      <c r="B370" s="688" t="s">
        <v>1165</v>
      </c>
      <c r="C370" s="696" t="s">
        <v>1114</v>
      </c>
      <c r="D370" s="698">
        <v>3364</v>
      </c>
    </row>
    <row r="371" spans="1:4" x14ac:dyDescent="0.2">
      <c r="A371" s="328"/>
      <c r="B371" s="688" t="s">
        <v>1166</v>
      </c>
      <c r="C371" s="696" t="s">
        <v>1114</v>
      </c>
      <c r="D371" s="698">
        <v>3364</v>
      </c>
    </row>
    <row r="372" spans="1:4" x14ac:dyDescent="0.2">
      <c r="A372" s="328"/>
      <c r="B372" s="688" t="s">
        <v>1167</v>
      </c>
      <c r="C372" s="696" t="s">
        <v>1168</v>
      </c>
      <c r="D372" s="691">
        <v>6973.92</v>
      </c>
    </row>
    <row r="373" spans="1:4" x14ac:dyDescent="0.2">
      <c r="A373" s="328"/>
      <c r="B373" s="688" t="s">
        <v>1169</v>
      </c>
      <c r="C373" s="696" t="s">
        <v>1170</v>
      </c>
      <c r="D373" s="691">
        <v>2249.4699999999998</v>
      </c>
    </row>
    <row r="374" spans="1:4" x14ac:dyDescent="0.2">
      <c r="A374" s="328"/>
      <c r="B374" s="695" t="s">
        <v>1171</v>
      </c>
      <c r="C374" s="696" t="s">
        <v>1172</v>
      </c>
      <c r="D374" s="691">
        <v>4013.5</v>
      </c>
    </row>
    <row r="375" spans="1:4" x14ac:dyDescent="0.2">
      <c r="A375" s="328"/>
      <c r="B375" s="695" t="s">
        <v>1173</v>
      </c>
      <c r="C375" s="700" t="s">
        <v>1174</v>
      </c>
      <c r="D375" s="691">
        <v>6670</v>
      </c>
    </row>
    <row r="376" spans="1:4" x14ac:dyDescent="0.2">
      <c r="A376" s="328"/>
      <c r="B376" s="695" t="s">
        <v>1175</v>
      </c>
      <c r="C376" s="697" t="s">
        <v>1176</v>
      </c>
      <c r="D376" s="691">
        <v>4698</v>
      </c>
    </row>
    <row r="377" spans="1:4" x14ac:dyDescent="0.2">
      <c r="A377" s="328"/>
      <c r="B377" s="695" t="s">
        <v>1177</v>
      </c>
      <c r="C377" s="700" t="s">
        <v>632</v>
      </c>
      <c r="D377" s="691">
        <v>1264.4000000000001</v>
      </c>
    </row>
    <row r="378" spans="1:4" x14ac:dyDescent="0.2">
      <c r="A378" s="328"/>
      <c r="B378" s="695" t="s">
        <v>1178</v>
      </c>
      <c r="C378" s="700" t="s">
        <v>632</v>
      </c>
      <c r="D378" s="691">
        <v>4280.3999999999996</v>
      </c>
    </row>
    <row r="379" spans="1:4" x14ac:dyDescent="0.2">
      <c r="A379" s="328"/>
      <c r="B379" s="695" t="s">
        <v>1179</v>
      </c>
      <c r="C379" s="700" t="s">
        <v>632</v>
      </c>
      <c r="D379" s="691">
        <v>563.5</v>
      </c>
    </row>
    <row r="380" spans="1:4" ht="22.5" x14ac:dyDescent="0.2">
      <c r="A380" s="328"/>
      <c r="B380" s="695" t="s">
        <v>1180</v>
      </c>
      <c r="C380" s="700" t="s">
        <v>1181</v>
      </c>
      <c r="D380" s="691">
        <v>5092.3999999999996</v>
      </c>
    </row>
    <row r="381" spans="1:4" x14ac:dyDescent="0.2">
      <c r="A381" s="328"/>
      <c r="B381" s="695" t="s">
        <v>1182</v>
      </c>
      <c r="C381" s="700" t="s">
        <v>632</v>
      </c>
      <c r="D381" s="691">
        <v>563.5</v>
      </c>
    </row>
    <row r="382" spans="1:4" ht="22.5" x14ac:dyDescent="0.2">
      <c r="A382" s="328"/>
      <c r="B382" s="695" t="s">
        <v>1183</v>
      </c>
      <c r="C382" s="696" t="s">
        <v>1184</v>
      </c>
      <c r="D382" s="691">
        <v>5092.3999999999996</v>
      </c>
    </row>
    <row r="383" spans="1:4" x14ac:dyDescent="0.2">
      <c r="A383" s="328"/>
      <c r="B383" s="695" t="s">
        <v>1185</v>
      </c>
      <c r="C383" s="696" t="s">
        <v>1151</v>
      </c>
      <c r="D383" s="691">
        <v>1264.4000000000001</v>
      </c>
    </row>
    <row r="384" spans="1:4" x14ac:dyDescent="0.2">
      <c r="A384" s="328"/>
      <c r="B384" s="695" t="s">
        <v>1186</v>
      </c>
      <c r="C384" s="697" t="s">
        <v>1148</v>
      </c>
      <c r="D384" s="691">
        <v>8002.84</v>
      </c>
    </row>
    <row r="385" spans="1:4" ht="22.5" x14ac:dyDescent="0.2">
      <c r="A385" s="328"/>
      <c r="B385" s="695" t="s">
        <v>1187</v>
      </c>
      <c r="C385" s="700" t="s">
        <v>1145</v>
      </c>
      <c r="D385" s="691">
        <v>4976.3999999999996</v>
      </c>
    </row>
    <row r="386" spans="1:4" x14ac:dyDescent="0.2">
      <c r="A386" s="328"/>
      <c r="B386" s="695" t="s">
        <v>1188</v>
      </c>
      <c r="C386" s="696" t="s">
        <v>1189</v>
      </c>
      <c r="D386" s="691">
        <v>2691</v>
      </c>
    </row>
    <row r="387" spans="1:4" x14ac:dyDescent="0.2">
      <c r="A387" s="328"/>
      <c r="B387" s="695" t="s">
        <v>1190</v>
      </c>
      <c r="C387" s="697" t="s">
        <v>1148</v>
      </c>
      <c r="D387" s="702">
        <v>8919.24</v>
      </c>
    </row>
    <row r="388" spans="1:4" x14ac:dyDescent="0.2">
      <c r="A388" s="328"/>
      <c r="B388" s="695" t="s">
        <v>1191</v>
      </c>
      <c r="C388" s="696" t="s">
        <v>1127</v>
      </c>
      <c r="D388" s="691">
        <v>4628.3999999999996</v>
      </c>
    </row>
    <row r="389" spans="1:4" ht="22.5" x14ac:dyDescent="0.2">
      <c r="A389" s="328"/>
      <c r="B389" s="695" t="s">
        <v>1192</v>
      </c>
      <c r="C389" s="700" t="s">
        <v>1184</v>
      </c>
      <c r="D389" s="691">
        <v>5092.3999999999996</v>
      </c>
    </row>
    <row r="390" spans="1:4" x14ac:dyDescent="0.2">
      <c r="A390" s="328"/>
      <c r="B390" s="695" t="s">
        <v>1193</v>
      </c>
      <c r="C390" s="697" t="s">
        <v>1148</v>
      </c>
      <c r="D390" s="691">
        <v>8522.3459999999995</v>
      </c>
    </row>
    <row r="391" spans="1:4" x14ac:dyDescent="0.2">
      <c r="A391" s="328"/>
      <c r="B391" s="695" t="s">
        <v>1194</v>
      </c>
      <c r="C391" s="700" t="s">
        <v>1195</v>
      </c>
      <c r="D391" s="691">
        <v>3120.4</v>
      </c>
    </row>
    <row r="392" spans="1:4" x14ac:dyDescent="0.2">
      <c r="A392" s="328"/>
      <c r="B392" s="695" t="s">
        <v>1196</v>
      </c>
      <c r="C392" s="700" t="s">
        <v>1110</v>
      </c>
      <c r="D392" s="691">
        <v>2888.4</v>
      </c>
    </row>
    <row r="393" spans="1:4" ht="22.5" x14ac:dyDescent="0.2">
      <c r="A393" s="328"/>
      <c r="B393" s="695" t="s">
        <v>1197</v>
      </c>
      <c r="C393" s="700" t="s">
        <v>1184</v>
      </c>
      <c r="D393" s="691">
        <v>5092.3999999999996</v>
      </c>
    </row>
    <row r="394" spans="1:4" x14ac:dyDescent="0.2">
      <c r="A394" s="328"/>
      <c r="B394" s="695" t="s">
        <v>1198</v>
      </c>
      <c r="C394" s="697" t="s">
        <v>1148</v>
      </c>
      <c r="D394" s="691">
        <v>8002.84</v>
      </c>
    </row>
    <row r="395" spans="1:4" ht="22.5" x14ac:dyDescent="0.2">
      <c r="A395" s="328"/>
      <c r="B395" s="695" t="s">
        <v>1199</v>
      </c>
      <c r="C395" s="700" t="s">
        <v>1184</v>
      </c>
      <c r="D395" s="691">
        <v>5092.3999999999996</v>
      </c>
    </row>
    <row r="396" spans="1:4" x14ac:dyDescent="0.2">
      <c r="A396" s="328"/>
      <c r="B396" s="695" t="s">
        <v>1200</v>
      </c>
      <c r="C396" s="697" t="s">
        <v>1148</v>
      </c>
      <c r="D396" s="691">
        <v>8002.84</v>
      </c>
    </row>
    <row r="397" spans="1:4" x14ac:dyDescent="0.2">
      <c r="A397" s="328"/>
      <c r="B397" s="695" t="s">
        <v>1201</v>
      </c>
      <c r="C397" s="700" t="s">
        <v>632</v>
      </c>
      <c r="D397" s="691">
        <v>1264.4000000000001</v>
      </c>
    </row>
    <row r="398" spans="1:4" ht="22.5" x14ac:dyDescent="0.2">
      <c r="A398" s="328"/>
      <c r="B398" s="695" t="s">
        <v>1202</v>
      </c>
      <c r="C398" s="700" t="s">
        <v>1184</v>
      </c>
      <c r="D398" s="691">
        <v>5092.3999999999996</v>
      </c>
    </row>
    <row r="399" spans="1:4" ht="22.5" x14ac:dyDescent="0.2">
      <c r="A399" s="328"/>
      <c r="B399" s="695" t="s">
        <v>1203</v>
      </c>
      <c r="C399" s="700" t="s">
        <v>1184</v>
      </c>
      <c r="D399" s="691">
        <v>5092.3999999999996</v>
      </c>
    </row>
    <row r="400" spans="1:4" ht="22.5" x14ac:dyDescent="0.2">
      <c r="A400" s="328"/>
      <c r="B400" s="695" t="s">
        <v>1204</v>
      </c>
      <c r="C400" s="700" t="s">
        <v>1184</v>
      </c>
      <c r="D400" s="691">
        <v>5092.3999999999996</v>
      </c>
    </row>
    <row r="401" spans="1:4" ht="22.5" x14ac:dyDescent="0.2">
      <c r="A401" s="328"/>
      <c r="B401" s="695" t="s">
        <v>1205</v>
      </c>
      <c r="C401" s="700" t="s">
        <v>1184</v>
      </c>
      <c r="D401" s="691">
        <v>5092.3999999999996</v>
      </c>
    </row>
    <row r="402" spans="1:4" x14ac:dyDescent="0.2">
      <c r="A402" s="328"/>
      <c r="B402" s="695" t="s">
        <v>1206</v>
      </c>
      <c r="C402" s="697" t="s">
        <v>1148</v>
      </c>
      <c r="D402" s="691">
        <v>8002.84</v>
      </c>
    </row>
    <row r="403" spans="1:4" x14ac:dyDescent="0.2">
      <c r="A403" s="328"/>
      <c r="B403" s="695" t="s">
        <v>1207</v>
      </c>
      <c r="C403" s="700" t="s">
        <v>632</v>
      </c>
      <c r="D403" s="691">
        <v>1264.4000000000001</v>
      </c>
    </row>
    <row r="404" spans="1:4" ht="22.5" x14ac:dyDescent="0.2">
      <c r="A404" s="328"/>
      <c r="B404" s="695" t="s">
        <v>1208</v>
      </c>
      <c r="C404" s="700" t="s">
        <v>1184</v>
      </c>
      <c r="D404" s="691">
        <v>5092.3999999999996</v>
      </c>
    </row>
    <row r="405" spans="1:4" x14ac:dyDescent="0.2">
      <c r="A405" s="328"/>
      <c r="B405" s="695" t="s">
        <v>1209</v>
      </c>
      <c r="C405" s="697" t="s">
        <v>1148</v>
      </c>
      <c r="D405" s="691">
        <v>16995</v>
      </c>
    </row>
    <row r="406" spans="1:4" ht="22.5" x14ac:dyDescent="0.2">
      <c r="A406" s="328"/>
      <c r="B406" s="695" t="s">
        <v>1210</v>
      </c>
      <c r="C406" s="700" t="s">
        <v>1211</v>
      </c>
      <c r="D406" s="691">
        <v>4872</v>
      </c>
    </row>
    <row r="407" spans="1:4" x14ac:dyDescent="0.2">
      <c r="A407" s="328"/>
      <c r="B407" s="695" t="s">
        <v>1212</v>
      </c>
      <c r="C407" s="700" t="s">
        <v>632</v>
      </c>
      <c r="D407" s="691">
        <v>1264.4000000000001</v>
      </c>
    </row>
    <row r="408" spans="1:4" ht="22.5" x14ac:dyDescent="0.2">
      <c r="A408" s="328"/>
      <c r="B408" s="695" t="s">
        <v>1213</v>
      </c>
      <c r="C408" s="700" t="s">
        <v>1211</v>
      </c>
      <c r="D408" s="691">
        <v>4872</v>
      </c>
    </row>
    <row r="409" spans="1:4" x14ac:dyDescent="0.2">
      <c r="A409" s="328"/>
      <c r="B409" s="695" t="s">
        <v>1214</v>
      </c>
      <c r="C409" s="700" t="s">
        <v>632</v>
      </c>
      <c r="D409" s="691">
        <v>563.5</v>
      </c>
    </row>
    <row r="410" spans="1:4" x14ac:dyDescent="0.2">
      <c r="A410" s="328"/>
      <c r="B410" s="695" t="s">
        <v>1215</v>
      </c>
      <c r="C410" s="693" t="s">
        <v>1216</v>
      </c>
      <c r="D410" s="694">
        <v>3712</v>
      </c>
    </row>
    <row r="411" spans="1:4" x14ac:dyDescent="0.2">
      <c r="A411" s="328"/>
      <c r="B411" s="695" t="s">
        <v>1217</v>
      </c>
      <c r="C411" s="696" t="s">
        <v>1127</v>
      </c>
      <c r="D411" s="691">
        <v>4628.3999999999996</v>
      </c>
    </row>
    <row r="412" spans="1:4" x14ac:dyDescent="0.2">
      <c r="A412" s="328"/>
      <c r="B412" s="695" t="s">
        <v>1218</v>
      </c>
      <c r="C412" s="700" t="s">
        <v>1219</v>
      </c>
      <c r="D412" s="691">
        <v>8850.01</v>
      </c>
    </row>
    <row r="413" spans="1:4" ht="22.5" x14ac:dyDescent="0.2">
      <c r="A413" s="328"/>
      <c r="B413" s="695" t="s">
        <v>1220</v>
      </c>
      <c r="C413" s="700" t="s">
        <v>1211</v>
      </c>
      <c r="D413" s="691">
        <v>4872</v>
      </c>
    </row>
    <row r="414" spans="1:4" x14ac:dyDescent="0.2">
      <c r="A414" s="328"/>
      <c r="B414" s="688" t="s">
        <v>1221</v>
      </c>
      <c r="C414" s="697" t="s">
        <v>1148</v>
      </c>
      <c r="D414" s="699">
        <v>8002.84</v>
      </c>
    </row>
    <row r="415" spans="1:4" ht="22.5" x14ac:dyDescent="0.2">
      <c r="A415" s="328"/>
      <c r="B415" s="688" t="s">
        <v>1222</v>
      </c>
      <c r="C415" s="700" t="s">
        <v>1211</v>
      </c>
      <c r="D415" s="691">
        <v>4872</v>
      </c>
    </row>
    <row r="416" spans="1:4" x14ac:dyDescent="0.2">
      <c r="A416" s="328"/>
      <c r="B416" s="688" t="s">
        <v>1223</v>
      </c>
      <c r="C416" s="697" t="s">
        <v>1148</v>
      </c>
      <c r="D416" s="699">
        <v>8002.84</v>
      </c>
    </row>
    <row r="417" spans="1:4" x14ac:dyDescent="0.2">
      <c r="A417" s="328"/>
      <c r="B417" s="688" t="s">
        <v>1224</v>
      </c>
      <c r="C417" s="700" t="s">
        <v>1225</v>
      </c>
      <c r="D417" s="691">
        <v>563.5</v>
      </c>
    </row>
    <row r="418" spans="1:4" x14ac:dyDescent="0.2">
      <c r="A418" s="328"/>
      <c r="B418" s="688" t="s">
        <v>1226</v>
      </c>
      <c r="C418" s="703" t="s">
        <v>1227</v>
      </c>
      <c r="D418" s="699">
        <v>5990</v>
      </c>
    </row>
    <row r="419" spans="1:4" ht="22.5" x14ac:dyDescent="0.2">
      <c r="A419" s="328"/>
      <c r="B419" s="688" t="s">
        <v>1228</v>
      </c>
      <c r="C419" s="700" t="s">
        <v>1145</v>
      </c>
      <c r="D419" s="699">
        <v>4396.3999999999996</v>
      </c>
    </row>
    <row r="420" spans="1:4" x14ac:dyDescent="0.2">
      <c r="A420" s="328"/>
      <c r="B420" s="688" t="s">
        <v>1229</v>
      </c>
      <c r="C420" s="703" t="s">
        <v>632</v>
      </c>
      <c r="D420" s="691">
        <v>563.5</v>
      </c>
    </row>
    <row r="421" spans="1:4" x14ac:dyDescent="0.2">
      <c r="A421" s="328"/>
      <c r="B421" s="688" t="s">
        <v>1230</v>
      </c>
      <c r="C421" s="697" t="s">
        <v>1148</v>
      </c>
      <c r="D421" s="699">
        <v>8522.3459999999995</v>
      </c>
    </row>
    <row r="422" spans="1:4" ht="22.5" x14ac:dyDescent="0.2">
      <c r="A422" s="328"/>
      <c r="B422" s="688" t="s">
        <v>1231</v>
      </c>
      <c r="C422" s="700" t="s">
        <v>1145</v>
      </c>
      <c r="D422" s="699">
        <v>4338.3999999999996</v>
      </c>
    </row>
    <row r="423" spans="1:4" x14ac:dyDescent="0.2">
      <c r="A423" s="328"/>
      <c r="B423" s="688" t="s">
        <v>1232</v>
      </c>
      <c r="C423" s="697" t="s">
        <v>1148</v>
      </c>
      <c r="D423" s="699">
        <v>8002.84</v>
      </c>
    </row>
    <row r="424" spans="1:4" x14ac:dyDescent="0.2">
      <c r="A424" s="328"/>
      <c r="B424" s="688" t="s">
        <v>1233</v>
      </c>
      <c r="C424" s="697" t="s">
        <v>1176</v>
      </c>
      <c r="D424" s="699">
        <v>4698</v>
      </c>
    </row>
    <row r="425" spans="1:4" x14ac:dyDescent="0.2">
      <c r="A425" s="328"/>
      <c r="B425" s="688" t="s">
        <v>1234</v>
      </c>
      <c r="C425" s="675" t="s">
        <v>1235</v>
      </c>
      <c r="D425" s="674">
        <v>4135.28</v>
      </c>
    </row>
    <row r="426" spans="1:4" x14ac:dyDescent="0.2">
      <c r="A426" s="328"/>
      <c r="B426" s="688" t="s">
        <v>1236</v>
      </c>
      <c r="C426" s="703" t="s">
        <v>1237</v>
      </c>
      <c r="D426" s="699">
        <v>5336</v>
      </c>
    </row>
    <row r="427" spans="1:4" x14ac:dyDescent="0.2">
      <c r="A427" s="328"/>
      <c r="B427" s="688" t="s">
        <v>1238</v>
      </c>
      <c r="C427" s="703" t="s">
        <v>1237</v>
      </c>
      <c r="D427" s="699">
        <v>5336</v>
      </c>
    </row>
    <row r="428" spans="1:4" x14ac:dyDescent="0.2">
      <c r="A428" s="328"/>
      <c r="B428" s="688" t="s">
        <v>1239</v>
      </c>
      <c r="C428" s="703" t="s">
        <v>1240</v>
      </c>
      <c r="D428" s="699">
        <v>7540</v>
      </c>
    </row>
    <row r="429" spans="1:4" x14ac:dyDescent="0.2">
      <c r="A429" s="328"/>
      <c r="B429" s="688" t="s">
        <v>1241</v>
      </c>
      <c r="C429" s="703" t="s">
        <v>1242</v>
      </c>
      <c r="D429" s="699">
        <v>7999</v>
      </c>
    </row>
    <row r="430" spans="1:4" x14ac:dyDescent="0.2">
      <c r="A430" s="328"/>
      <c r="B430" s="688" t="s">
        <v>1243</v>
      </c>
      <c r="C430" s="704" t="s">
        <v>1244</v>
      </c>
      <c r="D430" s="686">
        <v>1955</v>
      </c>
    </row>
    <row r="431" spans="1:4" x14ac:dyDescent="0.2">
      <c r="A431" s="328"/>
      <c r="B431" s="688" t="s">
        <v>1245</v>
      </c>
      <c r="C431" s="704" t="s">
        <v>1244</v>
      </c>
      <c r="D431" s="686">
        <v>1955</v>
      </c>
    </row>
    <row r="432" spans="1:4" x14ac:dyDescent="0.2">
      <c r="A432" s="328"/>
      <c r="B432" s="688" t="s">
        <v>1246</v>
      </c>
      <c r="C432" s="675" t="s">
        <v>638</v>
      </c>
      <c r="D432" s="686">
        <v>1328.25</v>
      </c>
    </row>
    <row r="433" spans="1:4" x14ac:dyDescent="0.2">
      <c r="A433" s="328"/>
      <c r="B433" s="688" t="s">
        <v>1247</v>
      </c>
      <c r="C433" s="704" t="s">
        <v>1248</v>
      </c>
      <c r="D433" s="686">
        <v>31015.599999999999</v>
      </c>
    </row>
    <row r="434" spans="1:4" x14ac:dyDescent="0.2">
      <c r="A434" s="328"/>
      <c r="B434" s="688" t="s">
        <v>1249</v>
      </c>
      <c r="C434" s="703" t="s">
        <v>1250</v>
      </c>
      <c r="D434" s="699">
        <v>5200</v>
      </c>
    </row>
    <row r="435" spans="1:4" x14ac:dyDescent="0.2">
      <c r="A435" s="328"/>
      <c r="B435" s="688" t="s">
        <v>1251</v>
      </c>
      <c r="C435" s="703" t="s">
        <v>1252</v>
      </c>
      <c r="D435" s="686">
        <v>4800</v>
      </c>
    </row>
    <row r="436" spans="1:4" x14ac:dyDescent="0.2">
      <c r="A436" s="328"/>
      <c r="B436" s="688" t="s">
        <v>1253</v>
      </c>
      <c r="C436" s="703" t="s">
        <v>1252</v>
      </c>
      <c r="D436" s="686">
        <v>4500</v>
      </c>
    </row>
    <row r="437" spans="1:4" x14ac:dyDescent="0.2">
      <c r="A437" s="328"/>
      <c r="B437" s="688" t="s">
        <v>1254</v>
      </c>
      <c r="C437" s="703" t="s">
        <v>1252</v>
      </c>
      <c r="D437" s="686">
        <v>4500</v>
      </c>
    </row>
    <row r="438" spans="1:4" x14ac:dyDescent="0.2">
      <c r="A438" s="328"/>
      <c r="B438" s="688" t="s">
        <v>1255</v>
      </c>
      <c r="C438" s="703" t="s">
        <v>1252</v>
      </c>
      <c r="D438" s="686">
        <v>4500</v>
      </c>
    </row>
    <row r="439" spans="1:4" x14ac:dyDescent="0.2">
      <c r="A439" s="328"/>
      <c r="B439" s="688" t="s">
        <v>1256</v>
      </c>
      <c r="C439" s="703" t="s">
        <v>1257</v>
      </c>
      <c r="D439" s="686">
        <v>6840</v>
      </c>
    </row>
    <row r="440" spans="1:4" x14ac:dyDescent="0.2">
      <c r="A440" s="328"/>
      <c r="B440" s="688" t="s">
        <v>1258</v>
      </c>
      <c r="C440" s="703" t="s">
        <v>1250</v>
      </c>
      <c r="D440" s="686">
        <v>8550</v>
      </c>
    </row>
    <row r="441" spans="1:4" x14ac:dyDescent="0.2">
      <c r="A441" s="328"/>
      <c r="B441" s="688" t="s">
        <v>1259</v>
      </c>
      <c r="C441" s="700" t="s">
        <v>1227</v>
      </c>
      <c r="D441" s="691">
        <v>5990</v>
      </c>
    </row>
    <row r="442" spans="1:4" x14ac:dyDescent="0.2">
      <c r="A442" s="328"/>
      <c r="B442" s="688" t="s">
        <v>1260</v>
      </c>
      <c r="C442" s="704" t="s">
        <v>1261</v>
      </c>
      <c r="D442" s="686">
        <v>1437.5</v>
      </c>
    </row>
    <row r="443" spans="1:4" x14ac:dyDescent="0.2">
      <c r="A443" s="328"/>
      <c r="B443" s="688" t="s">
        <v>1262</v>
      </c>
      <c r="C443" s="704" t="s">
        <v>1263</v>
      </c>
      <c r="D443" s="686">
        <v>4140</v>
      </c>
    </row>
    <row r="444" spans="1:4" x14ac:dyDescent="0.2">
      <c r="A444" s="328"/>
      <c r="B444" s="688" t="s">
        <v>1264</v>
      </c>
      <c r="C444" s="703" t="s">
        <v>1257</v>
      </c>
      <c r="D444" s="686">
        <v>8150</v>
      </c>
    </row>
    <row r="445" spans="1:4" x14ac:dyDescent="0.2">
      <c r="A445" s="328"/>
      <c r="B445" s="688" t="s">
        <v>1265</v>
      </c>
      <c r="C445" s="703" t="s">
        <v>1252</v>
      </c>
      <c r="D445" s="686">
        <v>5300</v>
      </c>
    </row>
    <row r="446" spans="1:4" x14ac:dyDescent="0.2">
      <c r="A446" s="328"/>
      <c r="B446" s="688" t="s">
        <v>1266</v>
      </c>
      <c r="C446" s="703" t="s">
        <v>1257</v>
      </c>
      <c r="D446" s="686">
        <v>8150.0050000000001</v>
      </c>
    </row>
    <row r="447" spans="1:4" x14ac:dyDescent="0.2">
      <c r="A447" s="328"/>
      <c r="B447" s="688" t="s">
        <v>1267</v>
      </c>
      <c r="C447" s="703" t="s">
        <v>1257</v>
      </c>
      <c r="D447" s="686">
        <v>8150.0050000000001</v>
      </c>
    </row>
    <row r="448" spans="1:4" x14ac:dyDescent="0.2">
      <c r="A448" s="328"/>
      <c r="B448" s="688" t="s">
        <v>1268</v>
      </c>
      <c r="C448" s="704" t="s">
        <v>1269</v>
      </c>
      <c r="D448" s="686">
        <v>1483.5</v>
      </c>
    </row>
    <row r="449" spans="1:4" x14ac:dyDescent="0.2">
      <c r="A449" s="328"/>
      <c r="B449" s="688" t="s">
        <v>1270</v>
      </c>
      <c r="C449" s="704" t="s">
        <v>1271</v>
      </c>
      <c r="D449" s="686">
        <v>25825</v>
      </c>
    </row>
    <row r="450" spans="1:4" x14ac:dyDescent="0.2">
      <c r="A450" s="328"/>
      <c r="B450" s="688" t="s">
        <v>1272</v>
      </c>
      <c r="C450" s="704" t="s">
        <v>1273</v>
      </c>
      <c r="D450" s="686">
        <v>24909</v>
      </c>
    </row>
    <row r="451" spans="1:4" x14ac:dyDescent="0.2">
      <c r="A451" s="328"/>
      <c r="B451" s="688" t="s">
        <v>1274</v>
      </c>
      <c r="C451" s="704" t="s">
        <v>1275</v>
      </c>
      <c r="D451" s="686">
        <v>18681.75</v>
      </c>
    </row>
    <row r="452" spans="1:4" x14ac:dyDescent="0.2">
      <c r="A452" s="328"/>
      <c r="B452" s="688" t="s">
        <v>1276</v>
      </c>
      <c r="C452" s="704" t="s">
        <v>1277</v>
      </c>
      <c r="D452" s="686">
        <v>3070.5</v>
      </c>
    </row>
    <row r="453" spans="1:4" x14ac:dyDescent="0.2">
      <c r="A453" s="328"/>
      <c r="B453" s="688" t="s">
        <v>1278</v>
      </c>
      <c r="C453" s="704" t="s">
        <v>1279</v>
      </c>
      <c r="D453" s="686">
        <v>5556.4</v>
      </c>
    </row>
    <row r="454" spans="1:4" x14ac:dyDescent="0.2">
      <c r="A454" s="328"/>
      <c r="B454" s="688" t="s">
        <v>1280</v>
      </c>
      <c r="C454" s="704" t="s">
        <v>1279</v>
      </c>
      <c r="D454" s="686">
        <v>5556.4</v>
      </c>
    </row>
    <row r="455" spans="1:4" x14ac:dyDescent="0.2">
      <c r="A455" s="328"/>
      <c r="B455" s="688" t="s">
        <v>1281</v>
      </c>
      <c r="C455" s="704" t="s">
        <v>1282</v>
      </c>
      <c r="D455" s="686">
        <v>5672.4</v>
      </c>
    </row>
    <row r="456" spans="1:4" x14ac:dyDescent="0.2">
      <c r="A456" s="328"/>
      <c r="B456" s="688" t="s">
        <v>1283</v>
      </c>
      <c r="C456" s="704" t="s">
        <v>1282</v>
      </c>
      <c r="D456" s="686">
        <v>5672.4</v>
      </c>
    </row>
    <row r="457" spans="1:4" ht="22.5" x14ac:dyDescent="0.2">
      <c r="A457" s="328"/>
      <c r="B457" s="688" t="s">
        <v>1284</v>
      </c>
      <c r="C457" s="704" t="s">
        <v>1285</v>
      </c>
      <c r="D457" s="686">
        <v>12528</v>
      </c>
    </row>
    <row r="458" spans="1:4" x14ac:dyDescent="0.2">
      <c r="A458" s="328"/>
      <c r="B458" s="688" t="s">
        <v>1286</v>
      </c>
      <c r="C458" s="704" t="s">
        <v>1287</v>
      </c>
      <c r="D458" s="686">
        <v>6844</v>
      </c>
    </row>
    <row r="459" spans="1:4" ht="22.5" x14ac:dyDescent="0.2">
      <c r="A459" s="328"/>
      <c r="B459" s="688" t="s">
        <v>1288</v>
      </c>
      <c r="C459" s="704" t="s">
        <v>1289</v>
      </c>
      <c r="D459" s="686">
        <v>19952</v>
      </c>
    </row>
    <row r="460" spans="1:4" x14ac:dyDescent="0.2">
      <c r="A460" s="328"/>
      <c r="B460" s="688" t="s">
        <v>1290</v>
      </c>
      <c r="C460" s="704" t="s">
        <v>1291</v>
      </c>
      <c r="D460" s="686">
        <v>12412</v>
      </c>
    </row>
    <row r="461" spans="1:4" x14ac:dyDescent="0.2">
      <c r="A461" s="328"/>
      <c r="B461" s="688" t="s">
        <v>1292</v>
      </c>
      <c r="C461" s="704" t="s">
        <v>1291</v>
      </c>
      <c r="D461" s="686">
        <v>12412</v>
      </c>
    </row>
    <row r="462" spans="1:4" x14ac:dyDescent="0.2">
      <c r="A462" s="328"/>
      <c r="B462" s="688" t="s">
        <v>1293</v>
      </c>
      <c r="C462" s="704" t="s">
        <v>1291</v>
      </c>
      <c r="D462" s="686">
        <v>12412</v>
      </c>
    </row>
    <row r="463" spans="1:4" x14ac:dyDescent="0.2">
      <c r="A463" s="328"/>
      <c r="B463" s="688" t="s">
        <v>1294</v>
      </c>
      <c r="C463" s="704" t="s">
        <v>1295</v>
      </c>
      <c r="D463" s="686">
        <v>8104.41</v>
      </c>
    </row>
    <row r="464" spans="1:4" x14ac:dyDescent="0.2">
      <c r="A464" s="328"/>
      <c r="B464" s="688" t="s">
        <v>1296</v>
      </c>
      <c r="C464" s="704" t="s">
        <v>1295</v>
      </c>
      <c r="D464" s="686">
        <v>8104.41</v>
      </c>
    </row>
    <row r="465" spans="1:4" x14ac:dyDescent="0.2">
      <c r="A465" s="328"/>
      <c r="B465" s="688" t="s">
        <v>1297</v>
      </c>
      <c r="C465" s="704" t="s">
        <v>1298</v>
      </c>
      <c r="D465" s="686">
        <v>12412</v>
      </c>
    </row>
    <row r="466" spans="1:4" x14ac:dyDescent="0.2">
      <c r="A466" s="328"/>
      <c r="B466" s="688" t="s">
        <v>1299</v>
      </c>
      <c r="C466" s="704" t="s">
        <v>1300</v>
      </c>
      <c r="D466" s="686">
        <v>3190</v>
      </c>
    </row>
    <row r="467" spans="1:4" ht="22.5" x14ac:dyDescent="0.2">
      <c r="A467" s="328"/>
      <c r="B467" s="688" t="s">
        <v>1301</v>
      </c>
      <c r="C467" s="704" t="s">
        <v>1289</v>
      </c>
      <c r="D467" s="686">
        <v>49300</v>
      </c>
    </row>
    <row r="468" spans="1:4" x14ac:dyDescent="0.2">
      <c r="A468" s="328"/>
      <c r="B468" s="705" t="s">
        <v>1302</v>
      </c>
      <c r="C468" s="704" t="s">
        <v>1303</v>
      </c>
      <c r="D468" s="686">
        <v>1566</v>
      </c>
    </row>
    <row r="469" spans="1:4" ht="22.5" x14ac:dyDescent="0.2">
      <c r="A469" s="328"/>
      <c r="B469" s="688" t="s">
        <v>1304</v>
      </c>
      <c r="C469" s="704" t="s">
        <v>1305</v>
      </c>
      <c r="D469" s="686">
        <v>2766.6</v>
      </c>
    </row>
    <row r="470" spans="1:4" x14ac:dyDescent="0.2">
      <c r="A470" s="328"/>
      <c r="B470" s="688" t="s">
        <v>1306</v>
      </c>
      <c r="C470" s="704" t="s">
        <v>1295</v>
      </c>
      <c r="D470" s="686">
        <v>8104.41</v>
      </c>
    </row>
    <row r="471" spans="1:4" x14ac:dyDescent="0.2">
      <c r="A471" s="328"/>
      <c r="B471" s="705" t="s">
        <v>1307</v>
      </c>
      <c r="C471" s="704" t="s">
        <v>1295</v>
      </c>
      <c r="D471" s="686">
        <v>8104.41</v>
      </c>
    </row>
    <row r="472" spans="1:4" x14ac:dyDescent="0.2">
      <c r="A472" s="328"/>
      <c r="B472" s="688" t="s">
        <v>1308</v>
      </c>
      <c r="C472" s="704" t="s">
        <v>1303</v>
      </c>
      <c r="D472" s="686">
        <v>3364</v>
      </c>
    </row>
    <row r="473" spans="1:4" x14ac:dyDescent="0.2">
      <c r="A473" s="328"/>
      <c r="B473" s="688" t="s">
        <v>1309</v>
      </c>
      <c r="C473" s="704" t="s">
        <v>1310</v>
      </c>
      <c r="D473" s="686">
        <v>1832.8</v>
      </c>
    </row>
    <row r="474" spans="1:4" ht="22.5" x14ac:dyDescent="0.2">
      <c r="A474" s="328"/>
      <c r="B474" s="705" t="s">
        <v>1311</v>
      </c>
      <c r="C474" s="704" t="s">
        <v>1312</v>
      </c>
      <c r="D474" s="686">
        <v>12956.04</v>
      </c>
    </row>
    <row r="475" spans="1:4" x14ac:dyDescent="0.2">
      <c r="A475" s="328"/>
      <c r="B475" s="688" t="s">
        <v>1313</v>
      </c>
      <c r="C475" s="704" t="s">
        <v>1314</v>
      </c>
      <c r="D475" s="686">
        <v>48580.800000000003</v>
      </c>
    </row>
    <row r="476" spans="1:4" x14ac:dyDescent="0.2">
      <c r="A476" s="328"/>
      <c r="B476" s="688" t="s">
        <v>1315</v>
      </c>
      <c r="C476" s="704" t="s">
        <v>1316</v>
      </c>
      <c r="D476" s="686">
        <v>799</v>
      </c>
    </row>
    <row r="477" spans="1:4" x14ac:dyDescent="0.2">
      <c r="A477" s="328"/>
      <c r="B477" s="688" t="s">
        <v>1317</v>
      </c>
      <c r="C477" s="704" t="s">
        <v>1316</v>
      </c>
      <c r="D477" s="686">
        <v>799</v>
      </c>
    </row>
    <row r="478" spans="1:4" x14ac:dyDescent="0.2">
      <c r="A478" s="328"/>
      <c r="B478" s="705" t="s">
        <v>1318</v>
      </c>
      <c r="C478" s="704" t="s">
        <v>1319</v>
      </c>
      <c r="D478" s="686">
        <v>2784</v>
      </c>
    </row>
    <row r="479" spans="1:4" x14ac:dyDescent="0.2">
      <c r="A479" s="328"/>
      <c r="B479" s="688" t="s">
        <v>1320</v>
      </c>
      <c r="C479" s="704" t="s">
        <v>1319</v>
      </c>
      <c r="D479" s="686">
        <v>2784</v>
      </c>
    </row>
    <row r="480" spans="1:4" ht="22.5" x14ac:dyDescent="0.2">
      <c r="A480" s="328"/>
      <c r="B480" s="688" t="s">
        <v>1321</v>
      </c>
      <c r="C480" s="704" t="s">
        <v>1322</v>
      </c>
      <c r="D480" s="686">
        <v>11832</v>
      </c>
    </row>
    <row r="481" spans="1:4" ht="22.5" x14ac:dyDescent="0.2">
      <c r="A481" s="328"/>
      <c r="B481" s="688" t="s">
        <v>1323</v>
      </c>
      <c r="C481" s="704" t="s">
        <v>1322</v>
      </c>
      <c r="D481" s="686">
        <v>11832</v>
      </c>
    </row>
    <row r="482" spans="1:4" ht="22.5" x14ac:dyDescent="0.2">
      <c r="A482" s="328"/>
      <c r="B482" s="688" t="s">
        <v>1324</v>
      </c>
      <c r="C482" s="704" t="s">
        <v>1322</v>
      </c>
      <c r="D482" s="686">
        <v>11832</v>
      </c>
    </row>
    <row r="483" spans="1:4" ht="22.5" x14ac:dyDescent="0.2">
      <c r="A483" s="328"/>
      <c r="B483" s="705" t="s">
        <v>1325</v>
      </c>
      <c r="C483" s="704" t="s">
        <v>1322</v>
      </c>
      <c r="D483" s="686">
        <v>11832</v>
      </c>
    </row>
    <row r="484" spans="1:4" ht="22.5" x14ac:dyDescent="0.2">
      <c r="A484" s="328"/>
      <c r="B484" s="688" t="s">
        <v>1326</v>
      </c>
      <c r="C484" s="704" t="s">
        <v>1327</v>
      </c>
      <c r="D484" s="686">
        <v>9860</v>
      </c>
    </row>
    <row r="485" spans="1:4" ht="22.5" x14ac:dyDescent="0.2">
      <c r="A485" s="328"/>
      <c r="B485" s="688" t="s">
        <v>1328</v>
      </c>
      <c r="C485" s="704" t="s">
        <v>1327</v>
      </c>
      <c r="D485" s="686">
        <v>9860</v>
      </c>
    </row>
    <row r="486" spans="1:4" ht="22.5" x14ac:dyDescent="0.2">
      <c r="A486" s="328"/>
      <c r="B486" s="688" t="s">
        <v>1329</v>
      </c>
      <c r="C486" s="704" t="s">
        <v>1327</v>
      </c>
      <c r="D486" s="686">
        <v>9860</v>
      </c>
    </row>
    <row r="487" spans="1:4" x14ac:dyDescent="0.2">
      <c r="A487" s="328"/>
      <c r="B487" s="705" t="s">
        <v>1330</v>
      </c>
      <c r="C487" s="704" t="s">
        <v>1331</v>
      </c>
      <c r="D487" s="686">
        <v>45820</v>
      </c>
    </row>
    <row r="488" spans="1:4" x14ac:dyDescent="0.2">
      <c r="A488" s="328"/>
      <c r="B488" s="688" t="s">
        <v>1332</v>
      </c>
      <c r="C488" s="703" t="s">
        <v>1333</v>
      </c>
      <c r="D488" s="699">
        <v>3770.11</v>
      </c>
    </row>
    <row r="489" spans="1:4" x14ac:dyDescent="0.2">
      <c r="A489" s="328"/>
      <c r="B489" s="688" t="s">
        <v>1348</v>
      </c>
      <c r="C489" s="703" t="s">
        <v>1349</v>
      </c>
      <c r="D489" s="699">
        <v>21460</v>
      </c>
    </row>
    <row r="490" spans="1:4" x14ac:dyDescent="0.2">
      <c r="A490" s="328"/>
      <c r="B490" s="688" t="s">
        <v>1350</v>
      </c>
      <c r="C490" s="703" t="s">
        <v>1349</v>
      </c>
      <c r="D490" s="699">
        <v>21460</v>
      </c>
    </row>
    <row r="491" spans="1:4" ht="15" thickBot="1" x14ac:dyDescent="0.25">
      <c r="A491" s="328"/>
      <c r="B491" s="665" t="s">
        <v>1746</v>
      </c>
      <c r="C491" s="666" t="s">
        <v>1250</v>
      </c>
      <c r="D491" s="667">
        <v>7700</v>
      </c>
    </row>
    <row r="492" spans="1:4" ht="15" thickBot="1" x14ac:dyDescent="0.25">
      <c r="A492" s="328"/>
      <c r="B492" s="665" t="s">
        <v>2166</v>
      </c>
      <c r="C492" s="666" t="s">
        <v>2170</v>
      </c>
      <c r="D492" s="713">
        <v>2499</v>
      </c>
    </row>
    <row r="493" spans="1:4" ht="15" thickBot="1" x14ac:dyDescent="0.25">
      <c r="A493" s="328"/>
      <c r="B493" s="665" t="s">
        <v>2167</v>
      </c>
      <c r="C493" s="666" t="s">
        <v>2171</v>
      </c>
      <c r="D493" s="713">
        <v>3199</v>
      </c>
    </row>
    <row r="494" spans="1:4" ht="15" thickBot="1" x14ac:dyDescent="0.25">
      <c r="A494" s="328"/>
      <c r="B494" s="665" t="s">
        <v>2169</v>
      </c>
      <c r="C494" s="841" t="s">
        <v>2172</v>
      </c>
      <c r="D494" s="840">
        <v>3076.32</v>
      </c>
    </row>
    <row r="495" spans="1:4" x14ac:dyDescent="0.2">
      <c r="A495" s="328"/>
      <c r="B495" s="706" t="s">
        <v>1748</v>
      </c>
      <c r="C495" s="707" t="s">
        <v>1749</v>
      </c>
      <c r="D495" s="708">
        <v>3758065.4</v>
      </c>
    </row>
    <row r="496" spans="1:4" x14ac:dyDescent="0.2">
      <c r="A496" s="328"/>
      <c r="B496" s="672" t="s">
        <v>1750</v>
      </c>
      <c r="C496" s="709" t="s">
        <v>1751</v>
      </c>
      <c r="D496" s="710">
        <v>26640</v>
      </c>
    </row>
    <row r="497" spans="1:4" ht="15" thickBot="1" x14ac:dyDescent="0.25">
      <c r="A497" s="328"/>
      <c r="B497" s="711" t="s">
        <v>1752</v>
      </c>
      <c r="C497" s="712" t="s">
        <v>1753</v>
      </c>
      <c r="D497" s="713">
        <v>34029</v>
      </c>
    </row>
    <row r="505" spans="1:4" x14ac:dyDescent="0.2">
      <c r="B505" s="721" t="s">
        <v>1834</v>
      </c>
      <c r="C505" s="722" t="s">
        <v>1830</v>
      </c>
    </row>
    <row r="506" spans="1:4" x14ac:dyDescent="0.2">
      <c r="B506" s="721" t="s">
        <v>1831</v>
      </c>
      <c r="C506" s="722" t="s">
        <v>1832</v>
      </c>
    </row>
    <row r="507" spans="1:4" x14ac:dyDescent="0.2">
      <c r="B507" s="724"/>
      <c r="C507" s="723"/>
    </row>
    <row r="508" spans="1:4" x14ac:dyDescent="0.2">
      <c r="B508" s="719" t="s">
        <v>1833</v>
      </c>
      <c r="C508" s="723"/>
    </row>
    <row r="509" spans="1:4" x14ac:dyDescent="0.2">
      <c r="B509" s="720" t="s">
        <v>1835</v>
      </c>
      <c r="C509" s="723"/>
    </row>
  </sheetData>
  <mergeCells count="8">
    <mergeCell ref="C7:C8"/>
    <mergeCell ref="D7:D8"/>
    <mergeCell ref="A1:D1"/>
    <mergeCell ref="A2:D2"/>
    <mergeCell ref="A3:D3"/>
    <mergeCell ref="A4:D4"/>
    <mergeCell ref="A5:D5"/>
    <mergeCell ref="A7:B8"/>
  </mergeCells>
  <printOptions horizontalCentered="1"/>
  <pageMargins left="0.35433070866141736" right="0.23622047244094491" top="0.3" bottom="0.36" header="0.31496062992125984" footer="0.31496062992125984"/>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47"/>
  <sheetViews>
    <sheetView topLeftCell="A20" workbookViewId="0">
      <selection activeCell="B1" sqref="A1:E47"/>
    </sheetView>
  </sheetViews>
  <sheetFormatPr baseColWidth="10" defaultRowHeight="14.25" x14ac:dyDescent="0.2"/>
  <cols>
    <col min="1" max="1" width="4.28515625" style="56" customWidth="1"/>
    <col min="2" max="2" width="41.5703125" style="8" customWidth="1"/>
    <col min="3" max="3" width="26.7109375" style="8" customWidth="1"/>
    <col min="4" max="4" width="17.85546875" style="8" customWidth="1"/>
    <col min="5" max="5" width="21.28515625" style="8" customWidth="1"/>
    <col min="6" max="16384" width="11.42578125" style="8"/>
  </cols>
  <sheetData>
    <row r="1" spans="1:5" ht="15" x14ac:dyDescent="0.25">
      <c r="C1" s="151" t="s">
        <v>167</v>
      </c>
      <c r="E1" s="130" t="s">
        <v>1337</v>
      </c>
    </row>
    <row r="2" spans="1:5" ht="15.75" x14ac:dyDescent="0.25">
      <c r="A2" s="1027" t="s">
        <v>1338</v>
      </c>
      <c r="B2" s="1027"/>
      <c r="C2" s="1027"/>
      <c r="D2" s="1027"/>
      <c r="E2" s="1027"/>
    </row>
    <row r="3" spans="1:5" ht="15" x14ac:dyDescent="0.25">
      <c r="B3" s="1172" t="s">
        <v>600</v>
      </c>
      <c r="C3" s="1172"/>
      <c r="D3" s="1172"/>
      <c r="E3" s="1172"/>
    </row>
    <row r="4" spans="1:5" ht="15.75" x14ac:dyDescent="0.25">
      <c r="B4" s="334"/>
      <c r="C4" s="831" t="s">
        <v>1840</v>
      </c>
      <c r="D4" s="334"/>
      <c r="E4" s="334"/>
    </row>
    <row r="5" spans="1:5" ht="15.75" x14ac:dyDescent="0.25">
      <c r="A5" s="334"/>
      <c r="B5" s="334"/>
      <c r="C5" s="334" t="s">
        <v>297</v>
      </c>
      <c r="D5" s="36"/>
      <c r="E5" s="152"/>
    </row>
    <row r="6" spans="1:5" ht="15" thickBot="1" x14ac:dyDescent="0.25"/>
    <row r="7" spans="1:5" s="131" customFormat="1" x14ac:dyDescent="0.25">
      <c r="A7" s="1028" t="s">
        <v>1339</v>
      </c>
      <c r="B7" s="1029"/>
      <c r="C7" s="147" t="s">
        <v>1340</v>
      </c>
      <c r="D7" s="335" t="s">
        <v>1341</v>
      </c>
      <c r="E7" s="336" t="s">
        <v>1342</v>
      </c>
    </row>
    <row r="8" spans="1:5" s="131" customFormat="1" ht="15" thickBot="1" x14ac:dyDescent="0.3">
      <c r="A8" s="1030"/>
      <c r="B8" s="1031"/>
      <c r="C8" s="150" t="s">
        <v>224</v>
      </c>
      <c r="D8" s="150" t="s">
        <v>225</v>
      </c>
      <c r="E8" s="154" t="s">
        <v>1343</v>
      </c>
    </row>
    <row r="9" spans="1:5" s="131" customFormat="1" x14ac:dyDescent="0.25">
      <c r="A9" s="1032"/>
      <c r="B9" s="1033"/>
      <c r="C9" s="1033"/>
      <c r="D9" s="1033"/>
      <c r="E9" s="1034"/>
    </row>
    <row r="10" spans="1:5" s="131" customFormat="1" x14ac:dyDescent="0.25">
      <c r="A10" s="144">
        <v>1</v>
      </c>
      <c r="B10" s="145"/>
      <c r="C10" s="153"/>
      <c r="D10" s="145"/>
      <c r="E10" s="146"/>
    </row>
    <row r="11" spans="1:5" s="131" customFormat="1" x14ac:dyDescent="0.25">
      <c r="A11" s="144">
        <v>2</v>
      </c>
      <c r="B11" s="145"/>
      <c r="C11" s="153"/>
      <c r="D11" s="145"/>
      <c r="E11" s="146"/>
    </row>
    <row r="12" spans="1:5" s="131" customFormat="1" x14ac:dyDescent="0.25">
      <c r="A12" s="144">
        <v>3</v>
      </c>
      <c r="B12" s="145"/>
      <c r="C12" s="153"/>
      <c r="D12" s="145"/>
      <c r="E12" s="146"/>
    </row>
    <row r="13" spans="1:5" s="131" customFormat="1" x14ac:dyDescent="0.25">
      <c r="A13" s="144">
        <v>4</v>
      </c>
      <c r="B13" s="145"/>
      <c r="C13" s="153"/>
      <c r="D13" s="145"/>
      <c r="E13" s="146"/>
    </row>
    <row r="14" spans="1:5" s="131" customFormat="1" x14ac:dyDescent="0.25">
      <c r="A14" s="144">
        <v>5</v>
      </c>
      <c r="B14" s="145"/>
      <c r="C14" s="153"/>
      <c r="D14" s="145"/>
      <c r="E14" s="146"/>
    </row>
    <row r="15" spans="1:5" s="131" customFormat="1" x14ac:dyDescent="0.25">
      <c r="A15" s="144">
        <v>6</v>
      </c>
      <c r="B15" s="145"/>
      <c r="C15" s="153"/>
      <c r="D15" s="145"/>
      <c r="E15" s="146"/>
    </row>
    <row r="16" spans="1:5" s="131" customFormat="1" x14ac:dyDescent="0.25">
      <c r="A16" s="144">
        <v>7</v>
      </c>
      <c r="B16" s="145"/>
      <c r="C16" s="153"/>
      <c r="D16" s="145"/>
      <c r="E16" s="146"/>
    </row>
    <row r="17" spans="1:5" s="131" customFormat="1" x14ac:dyDescent="0.25">
      <c r="A17" s="144">
        <v>8</v>
      </c>
      <c r="B17" s="145"/>
      <c r="C17" s="153"/>
      <c r="D17" s="145"/>
      <c r="E17" s="146"/>
    </row>
    <row r="18" spans="1:5" s="131" customFormat="1" x14ac:dyDescent="0.25">
      <c r="A18" s="144">
        <v>9</v>
      </c>
      <c r="B18" s="145"/>
      <c r="C18" s="153"/>
      <c r="D18" s="145"/>
      <c r="E18" s="146"/>
    </row>
    <row r="19" spans="1:5" s="131" customFormat="1" x14ac:dyDescent="0.25">
      <c r="A19" s="144">
        <v>10</v>
      </c>
      <c r="B19" s="145"/>
      <c r="C19" s="153"/>
      <c r="D19" s="145"/>
      <c r="E19" s="146"/>
    </row>
    <row r="20" spans="1:5" s="131" customFormat="1" x14ac:dyDescent="0.25">
      <c r="A20" s="144"/>
      <c r="B20" s="145" t="s">
        <v>1344</v>
      </c>
      <c r="C20" s="153"/>
      <c r="D20" s="145"/>
      <c r="E20" s="146"/>
    </row>
    <row r="21" spans="1:5" s="131" customFormat="1" x14ac:dyDescent="0.25">
      <c r="A21" s="144"/>
      <c r="B21" s="145"/>
      <c r="C21" s="153"/>
      <c r="D21" s="145"/>
      <c r="E21" s="146"/>
    </row>
    <row r="22" spans="1:5" s="131" customFormat="1" x14ac:dyDescent="0.25">
      <c r="A22" s="1024" t="s">
        <v>1345</v>
      </c>
      <c r="B22" s="1181"/>
      <c r="C22" s="1181"/>
      <c r="D22" s="1181"/>
      <c r="E22" s="1182"/>
    </row>
    <row r="23" spans="1:5" s="131" customFormat="1" x14ac:dyDescent="0.25">
      <c r="A23" s="144">
        <v>1</v>
      </c>
      <c r="B23" s="145"/>
      <c r="C23" s="153"/>
      <c r="D23" s="145"/>
      <c r="E23" s="146"/>
    </row>
    <row r="24" spans="1:5" s="131" customFormat="1" x14ac:dyDescent="0.25">
      <c r="A24" s="144">
        <v>2</v>
      </c>
      <c r="B24" s="145"/>
      <c r="C24" s="153"/>
      <c r="D24" s="145"/>
      <c r="E24" s="146"/>
    </row>
    <row r="25" spans="1:5" s="131" customFormat="1" x14ac:dyDescent="0.25">
      <c r="A25" s="144">
        <v>3</v>
      </c>
      <c r="B25" s="145"/>
      <c r="C25" s="153"/>
      <c r="D25" s="145"/>
      <c r="E25" s="146"/>
    </row>
    <row r="26" spans="1:5" s="131" customFormat="1" x14ac:dyDescent="0.25">
      <c r="A26" s="144">
        <v>4</v>
      </c>
      <c r="B26" s="145"/>
      <c r="C26" s="153"/>
      <c r="D26" s="145"/>
      <c r="E26" s="146"/>
    </row>
    <row r="27" spans="1:5" s="131" customFormat="1" x14ac:dyDescent="0.25">
      <c r="A27" s="144">
        <v>5</v>
      </c>
      <c r="B27" s="145"/>
      <c r="C27" s="153"/>
      <c r="D27" s="145"/>
      <c r="E27" s="146"/>
    </row>
    <row r="28" spans="1:5" s="131" customFormat="1" x14ac:dyDescent="0.25">
      <c r="A28" s="144">
        <v>6</v>
      </c>
      <c r="B28" s="145"/>
      <c r="C28" s="153"/>
      <c r="D28" s="145"/>
      <c r="E28" s="146"/>
    </row>
    <row r="29" spans="1:5" s="131" customFormat="1" x14ac:dyDescent="0.25">
      <c r="A29" s="144">
        <v>7</v>
      </c>
      <c r="B29" s="145"/>
      <c r="C29" s="153"/>
      <c r="D29" s="145"/>
      <c r="E29" s="146"/>
    </row>
    <row r="30" spans="1:5" s="131" customFormat="1" x14ac:dyDescent="0.25">
      <c r="A30" s="144">
        <v>8</v>
      </c>
      <c r="B30" s="145"/>
      <c r="C30" s="153"/>
      <c r="D30" s="145"/>
      <c r="E30" s="146"/>
    </row>
    <row r="31" spans="1:5" s="131" customFormat="1" x14ac:dyDescent="0.25">
      <c r="A31" s="144">
        <v>9</v>
      </c>
      <c r="B31" s="145"/>
      <c r="C31" s="153"/>
      <c r="D31" s="145"/>
      <c r="E31" s="146"/>
    </row>
    <row r="32" spans="1:5" s="131" customFormat="1" x14ac:dyDescent="0.25">
      <c r="A32" s="144">
        <v>10</v>
      </c>
      <c r="B32" s="145"/>
      <c r="C32" s="153"/>
      <c r="D32" s="145"/>
      <c r="E32" s="146"/>
    </row>
    <row r="33" spans="1:10" s="53" customFormat="1" ht="39.950000000000003" customHeight="1" x14ac:dyDescent="0.2">
      <c r="A33" s="144"/>
      <c r="B33" s="121" t="s">
        <v>1346</v>
      </c>
      <c r="C33" s="123"/>
      <c r="D33" s="122"/>
      <c r="E33" s="124"/>
    </row>
    <row r="34" spans="1:10" s="53" customFormat="1" ht="39.950000000000003" customHeight="1" thickBot="1" x14ac:dyDescent="0.25">
      <c r="A34" s="144"/>
      <c r="B34" s="121"/>
      <c r="C34" s="123"/>
      <c r="D34" s="122"/>
      <c r="E34" s="124"/>
    </row>
    <row r="35" spans="1:10" ht="30" customHeight="1" thickBot="1" x14ac:dyDescent="0.25">
      <c r="A35" s="133"/>
      <c r="B35" s="126" t="s">
        <v>232</v>
      </c>
      <c r="C35" s="127"/>
      <c r="D35" s="128"/>
      <c r="E35" s="129"/>
    </row>
    <row r="36" spans="1:10" x14ac:dyDescent="0.2">
      <c r="J36" s="37"/>
    </row>
    <row r="37" spans="1:10" x14ac:dyDescent="0.2">
      <c r="B37" s="8" t="s">
        <v>1347</v>
      </c>
    </row>
    <row r="43" spans="1:10" x14ac:dyDescent="0.2">
      <c r="B43" s="721" t="s">
        <v>1834</v>
      </c>
      <c r="C43" s="722" t="s">
        <v>1830</v>
      </c>
    </row>
    <row r="44" spans="1:10" x14ac:dyDescent="0.2">
      <c r="B44" s="721" t="s">
        <v>1831</v>
      </c>
      <c r="C44" s="722" t="s">
        <v>1832</v>
      </c>
    </row>
    <row r="45" spans="1:10" x14ac:dyDescent="0.2">
      <c r="B45" s="724"/>
      <c r="C45" s="723"/>
    </row>
    <row r="46" spans="1:10" x14ac:dyDescent="0.2">
      <c r="B46" s="719" t="s">
        <v>1833</v>
      </c>
      <c r="C46" s="723"/>
    </row>
    <row r="47" spans="1:10" x14ac:dyDescent="0.2">
      <c r="B47" s="720" t="s">
        <v>1835</v>
      </c>
      <c r="C47" s="723"/>
    </row>
  </sheetData>
  <mergeCells count="5">
    <mergeCell ref="A2:E2"/>
    <mergeCell ref="A7:B8"/>
    <mergeCell ref="A9:E9"/>
    <mergeCell ref="A22:E22"/>
    <mergeCell ref="B3:E3"/>
  </mergeCells>
  <pageMargins left="0.15748031496062992" right="0.13" top="0.74803149606299213" bottom="0.74803149606299213" header="0.31496062992125984" footer="0.31496062992125984"/>
  <pageSetup scale="85"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46"/>
  <sheetViews>
    <sheetView topLeftCell="B34" zoomScale="115" zoomScaleNormal="115" workbookViewId="0">
      <selection activeCell="B46" sqref="B46:E46"/>
    </sheetView>
  </sheetViews>
  <sheetFormatPr baseColWidth="10" defaultRowHeight="15" x14ac:dyDescent="0.25"/>
  <cols>
    <col min="1" max="1" width="0.5703125" hidden="1" customWidth="1"/>
    <col min="2" max="2" width="3.28515625" customWidth="1"/>
    <col min="3" max="3" width="12.5703125" customWidth="1"/>
    <col min="5" max="5" width="64.42578125" customWidth="1"/>
    <col min="6" max="6" width="3" customWidth="1"/>
    <col min="7" max="7" width="1.42578125" customWidth="1"/>
    <col min="8" max="8" width="17" hidden="1" customWidth="1"/>
  </cols>
  <sheetData>
    <row r="1" spans="1:5" ht="15" customHeight="1" x14ac:dyDescent="0.25">
      <c r="A1" s="1184" t="s">
        <v>299</v>
      </c>
      <c r="B1" s="1184"/>
      <c r="C1" s="1184"/>
      <c r="D1" s="1184"/>
      <c r="E1" s="1184"/>
    </row>
    <row r="2" spans="1:5" ht="15" customHeight="1" x14ac:dyDescent="0.25">
      <c r="A2" s="1184" t="s">
        <v>300</v>
      </c>
      <c r="B2" s="1184"/>
      <c r="C2" s="1184"/>
      <c r="D2" s="1184"/>
      <c r="E2" s="1184"/>
    </row>
    <row r="3" spans="1:5" x14ac:dyDescent="0.25">
      <c r="A3" s="1185" t="s">
        <v>454</v>
      </c>
      <c r="B3" s="1185"/>
      <c r="C3" s="1185"/>
      <c r="D3" s="1185"/>
      <c r="E3" s="1185"/>
    </row>
    <row r="4" spans="1:5" x14ac:dyDescent="0.25">
      <c r="A4" s="1185" t="s">
        <v>298</v>
      </c>
      <c r="B4" s="1185"/>
      <c r="C4" s="1185"/>
      <c r="D4" s="1185"/>
      <c r="E4" s="1185"/>
    </row>
    <row r="5" spans="1:5" x14ac:dyDescent="0.25">
      <c r="A5" s="1185" t="s">
        <v>184</v>
      </c>
      <c r="B5" s="1185"/>
      <c r="C5" s="1185"/>
      <c r="D5" s="1185"/>
      <c r="E5" s="1185"/>
    </row>
    <row r="6" spans="1:5" ht="8.25" customHeight="1" x14ac:dyDescent="0.25">
      <c r="E6" s="19"/>
    </row>
    <row r="7" spans="1:5" x14ac:dyDescent="0.25">
      <c r="C7" s="23" t="s">
        <v>455</v>
      </c>
      <c r="D7" s="23"/>
      <c r="E7" s="24"/>
    </row>
    <row r="8" spans="1:5" ht="9" customHeight="1" x14ac:dyDescent="0.25">
      <c r="E8" s="19"/>
    </row>
    <row r="9" spans="1:5" s="14" customFormat="1" ht="15.75" x14ac:dyDescent="0.25">
      <c r="B9" s="22" t="s">
        <v>171</v>
      </c>
      <c r="C9" s="200" t="s">
        <v>172</v>
      </c>
      <c r="D9" s="201"/>
      <c r="E9" s="22" t="s">
        <v>177</v>
      </c>
    </row>
    <row r="10" spans="1:5" s="14" customFormat="1" ht="18.75" customHeight="1" x14ac:dyDescent="0.25">
      <c r="B10" s="25"/>
      <c r="C10" s="1183" t="s">
        <v>178</v>
      </c>
      <c r="D10" s="1183"/>
      <c r="E10" s="1183"/>
    </row>
    <row r="11" spans="1:5" s="14" customFormat="1" ht="6" customHeight="1" x14ac:dyDescent="0.25">
      <c r="B11" s="26"/>
      <c r="C11" s="26"/>
      <c r="D11" s="26"/>
      <c r="E11" s="26"/>
    </row>
    <row r="12" spans="1:5" x14ac:dyDescent="0.25">
      <c r="B12" s="15">
        <v>1</v>
      </c>
      <c r="C12" s="194" t="s">
        <v>428</v>
      </c>
      <c r="D12" s="195"/>
      <c r="E12" s="16" t="s">
        <v>349</v>
      </c>
    </row>
    <row r="13" spans="1:5" x14ac:dyDescent="0.25">
      <c r="B13" s="15">
        <v>2</v>
      </c>
      <c r="C13" s="194" t="s">
        <v>437</v>
      </c>
      <c r="D13" s="195"/>
      <c r="E13" s="16" t="s">
        <v>0</v>
      </c>
    </row>
    <row r="14" spans="1:5" x14ac:dyDescent="0.25">
      <c r="B14" s="15">
        <v>3</v>
      </c>
      <c r="C14" s="194" t="s">
        <v>438</v>
      </c>
      <c r="D14" s="195"/>
      <c r="E14" s="16" t="s">
        <v>111</v>
      </c>
    </row>
    <row r="15" spans="1:5" x14ac:dyDescent="0.25">
      <c r="B15" s="15">
        <v>4</v>
      </c>
      <c r="C15" s="194" t="s">
        <v>439</v>
      </c>
      <c r="D15" s="195"/>
      <c r="E15" s="16" t="s">
        <v>425</v>
      </c>
    </row>
    <row r="16" spans="1:5" x14ac:dyDescent="0.25">
      <c r="B16" s="15">
        <v>5</v>
      </c>
      <c r="C16" s="194" t="s">
        <v>440</v>
      </c>
      <c r="D16" s="195"/>
      <c r="E16" s="16" t="s">
        <v>123</v>
      </c>
    </row>
    <row r="17" spans="2:8" x14ac:dyDescent="0.25">
      <c r="B17" s="15">
        <v>6</v>
      </c>
      <c r="C17" s="194" t="s">
        <v>441</v>
      </c>
      <c r="D17" s="195"/>
      <c r="E17" s="16" t="s">
        <v>173</v>
      </c>
    </row>
    <row r="18" spans="2:8" x14ac:dyDescent="0.25">
      <c r="B18" s="15">
        <v>7</v>
      </c>
      <c r="C18" s="194" t="s">
        <v>442</v>
      </c>
      <c r="D18" s="195"/>
      <c r="E18" s="16" t="s">
        <v>174</v>
      </c>
    </row>
    <row r="19" spans="2:8" x14ac:dyDescent="0.25">
      <c r="B19" s="15">
        <v>8</v>
      </c>
      <c r="C19" s="194" t="s">
        <v>443</v>
      </c>
      <c r="D19" s="195"/>
      <c r="E19" s="16" t="s">
        <v>131</v>
      </c>
    </row>
    <row r="20" spans="2:8" x14ac:dyDescent="0.25">
      <c r="B20" s="15">
        <v>9</v>
      </c>
      <c r="C20" s="194" t="s">
        <v>444</v>
      </c>
      <c r="D20" s="195"/>
      <c r="E20" s="16" t="s">
        <v>132</v>
      </c>
    </row>
    <row r="21" spans="2:8" s="14" customFormat="1" ht="21" customHeight="1" x14ac:dyDescent="0.25">
      <c r="B21" s="25"/>
      <c r="C21" s="1183" t="s">
        <v>179</v>
      </c>
      <c r="D21" s="1183"/>
      <c r="E21" s="1183"/>
    </row>
    <row r="22" spans="2:8" s="14" customFormat="1" ht="9" customHeight="1" x14ac:dyDescent="0.25">
      <c r="B22" s="26"/>
      <c r="C22" s="26"/>
      <c r="D22" s="26"/>
      <c r="E22" s="26"/>
    </row>
    <row r="23" spans="2:8" x14ac:dyDescent="0.25">
      <c r="B23" s="15">
        <v>10</v>
      </c>
      <c r="C23" s="194" t="s">
        <v>445</v>
      </c>
      <c r="D23" s="195"/>
      <c r="E23" s="16" t="s">
        <v>152</v>
      </c>
    </row>
    <row r="24" spans="2:8" x14ac:dyDescent="0.25">
      <c r="B24" s="21">
        <v>11</v>
      </c>
      <c r="C24" s="194" t="s">
        <v>446</v>
      </c>
      <c r="D24" s="195"/>
      <c r="E24" s="17" t="s">
        <v>266</v>
      </c>
      <c r="H24" s="191" t="s">
        <v>331</v>
      </c>
    </row>
    <row r="25" spans="2:8" ht="13.5" customHeight="1" x14ac:dyDescent="0.25">
      <c r="B25" s="21">
        <v>12</v>
      </c>
      <c r="C25" s="193" t="s">
        <v>447</v>
      </c>
      <c r="D25" s="198"/>
      <c r="E25" s="17" t="s">
        <v>157</v>
      </c>
    </row>
    <row r="26" spans="2:8" ht="13.5" customHeight="1" x14ac:dyDescent="0.25">
      <c r="B26" s="20"/>
      <c r="C26" s="196"/>
      <c r="D26" s="197"/>
      <c r="E26" s="18" t="s">
        <v>344</v>
      </c>
    </row>
    <row r="27" spans="2:8" x14ac:dyDescent="0.25">
      <c r="B27" s="21">
        <v>13</v>
      </c>
      <c r="C27" s="193" t="s">
        <v>448</v>
      </c>
      <c r="D27" s="198"/>
      <c r="E27" s="17" t="s">
        <v>157</v>
      </c>
    </row>
    <row r="28" spans="2:8" x14ac:dyDescent="0.25">
      <c r="B28" s="20"/>
      <c r="C28" s="196"/>
      <c r="D28" s="197"/>
      <c r="E28" s="18" t="s">
        <v>169</v>
      </c>
    </row>
    <row r="29" spans="2:8" x14ac:dyDescent="0.25">
      <c r="B29" s="21">
        <v>14</v>
      </c>
      <c r="C29" s="193" t="s">
        <v>449</v>
      </c>
      <c r="D29" s="198"/>
      <c r="E29" s="17" t="s">
        <v>157</v>
      </c>
    </row>
    <row r="30" spans="2:8" x14ac:dyDescent="0.25">
      <c r="B30" s="20"/>
      <c r="C30" s="196"/>
      <c r="D30" s="199"/>
      <c r="E30" s="18" t="s">
        <v>345</v>
      </c>
    </row>
    <row r="31" spans="2:8" x14ac:dyDescent="0.25">
      <c r="B31" s="21">
        <v>15</v>
      </c>
      <c r="C31" s="193" t="s">
        <v>450</v>
      </c>
      <c r="D31" s="198"/>
      <c r="E31" s="17" t="s">
        <v>157</v>
      </c>
    </row>
    <row r="32" spans="2:8" ht="27.75" customHeight="1" x14ac:dyDescent="0.25">
      <c r="B32" s="20"/>
      <c r="C32" s="196"/>
      <c r="D32" s="197"/>
      <c r="E32" s="211" t="s">
        <v>423</v>
      </c>
    </row>
    <row r="33" spans="2:8" x14ac:dyDescent="0.25">
      <c r="B33" s="20">
        <v>16</v>
      </c>
      <c r="C33" s="193" t="s">
        <v>451</v>
      </c>
      <c r="D33" s="198"/>
      <c r="E33" s="177" t="s">
        <v>267</v>
      </c>
      <c r="H33" s="191" t="s">
        <v>331</v>
      </c>
    </row>
    <row r="34" spans="2:8" x14ac:dyDescent="0.25">
      <c r="B34" s="15">
        <v>17</v>
      </c>
      <c r="C34" s="193" t="s">
        <v>429</v>
      </c>
      <c r="D34" s="195"/>
      <c r="E34" s="17" t="s">
        <v>175</v>
      </c>
    </row>
    <row r="35" spans="2:8" x14ac:dyDescent="0.25">
      <c r="B35" s="15">
        <v>18</v>
      </c>
      <c r="C35" s="194" t="s">
        <v>430</v>
      </c>
      <c r="D35" s="195"/>
      <c r="E35" s="16" t="s">
        <v>176</v>
      </c>
    </row>
    <row r="36" spans="2:8" x14ac:dyDescent="0.25">
      <c r="B36" s="15">
        <v>19</v>
      </c>
      <c r="C36" s="194" t="s">
        <v>431</v>
      </c>
      <c r="D36" s="195"/>
      <c r="E36" s="16" t="s">
        <v>287</v>
      </c>
    </row>
    <row r="37" spans="2:8" s="14" customFormat="1" ht="22.5" customHeight="1" x14ac:dyDescent="0.25">
      <c r="B37" s="25"/>
      <c r="C37" s="1183" t="s">
        <v>180</v>
      </c>
      <c r="D37" s="1183"/>
      <c r="E37" s="1183"/>
    </row>
    <row r="38" spans="2:8" s="14" customFormat="1" ht="9.75" customHeight="1" x14ac:dyDescent="0.25">
      <c r="B38" s="26"/>
      <c r="C38" s="26"/>
      <c r="D38" s="26"/>
      <c r="E38" s="26"/>
    </row>
    <row r="39" spans="2:8" ht="45" x14ac:dyDescent="0.25">
      <c r="B39" s="223">
        <v>20</v>
      </c>
      <c r="C39" s="224" t="s">
        <v>432</v>
      </c>
      <c r="D39" s="225"/>
      <c r="E39" s="222" t="s">
        <v>457</v>
      </c>
    </row>
    <row r="40" spans="2:8" x14ac:dyDescent="0.25">
      <c r="B40" s="15">
        <v>22</v>
      </c>
      <c r="C40" s="194" t="s">
        <v>452</v>
      </c>
      <c r="D40" s="195"/>
      <c r="E40" s="16" t="s">
        <v>338</v>
      </c>
    </row>
    <row r="41" spans="2:8" s="14" customFormat="1" ht="24" customHeight="1" x14ac:dyDescent="0.25">
      <c r="B41" s="25"/>
      <c r="C41" s="1183" t="s">
        <v>181</v>
      </c>
      <c r="D41" s="1183"/>
      <c r="E41" s="1183"/>
    </row>
    <row r="42" spans="2:8" s="14" customFormat="1" ht="15.75" x14ac:dyDescent="0.25">
      <c r="B42" s="27"/>
      <c r="C42" s="32" t="s">
        <v>182</v>
      </c>
      <c r="D42" s="32"/>
      <c r="E42" s="28"/>
    </row>
    <row r="43" spans="2:8" x14ac:dyDescent="0.25">
      <c r="C43" s="29" t="s">
        <v>183</v>
      </c>
      <c r="D43" s="29"/>
    </row>
    <row r="44" spans="2:8" x14ac:dyDescent="0.25">
      <c r="B44" s="15">
        <v>21</v>
      </c>
      <c r="C44" s="193" t="s">
        <v>456</v>
      </c>
      <c r="D44" s="195"/>
      <c r="E44" s="17" t="s">
        <v>332</v>
      </c>
      <c r="H44" s="192" t="s">
        <v>331</v>
      </c>
    </row>
    <row r="45" spans="2:8" x14ac:dyDescent="0.25">
      <c r="B45" s="15">
        <v>22</v>
      </c>
      <c r="C45" s="194" t="s">
        <v>453</v>
      </c>
      <c r="D45" s="195"/>
      <c r="E45" s="16" t="s">
        <v>424</v>
      </c>
      <c r="H45" s="192" t="s">
        <v>331</v>
      </c>
    </row>
    <row r="46" spans="2:8" x14ac:dyDescent="0.25">
      <c r="B46" s="15">
        <v>23</v>
      </c>
      <c r="C46" s="194" t="s">
        <v>1337</v>
      </c>
      <c r="D46" s="195"/>
      <c r="E46" s="15" t="s">
        <v>1836</v>
      </c>
    </row>
  </sheetData>
  <mergeCells count="9">
    <mergeCell ref="C21:E21"/>
    <mergeCell ref="C37:E37"/>
    <mergeCell ref="C41:E41"/>
    <mergeCell ref="A1:E1"/>
    <mergeCell ref="A2:E2"/>
    <mergeCell ref="A3:E3"/>
    <mergeCell ref="A4:E4"/>
    <mergeCell ref="A5:E5"/>
    <mergeCell ref="C10:E10"/>
  </mergeCells>
  <pageMargins left="0.5" right="0.22" top="0.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74"/>
  <sheetViews>
    <sheetView workbookViewId="0">
      <selection activeCell="E65" sqref="E65"/>
    </sheetView>
  </sheetViews>
  <sheetFormatPr baseColWidth="10" defaultRowHeight="14.25" x14ac:dyDescent="0.2"/>
  <cols>
    <col min="1" max="1" width="2.85546875" style="8" customWidth="1"/>
    <col min="2" max="2" width="63.85546875" style="8" customWidth="1"/>
    <col min="3" max="3" width="17.5703125" style="8" customWidth="1"/>
    <col min="4" max="4" width="19.5703125" style="8" customWidth="1"/>
    <col min="5" max="5" width="16.5703125" style="796" bestFit="1" customWidth="1"/>
    <col min="6" max="6" width="16.85546875" style="797" bestFit="1" customWidth="1"/>
    <col min="7" max="12" width="11.42578125" style="796"/>
    <col min="13" max="16384" width="11.42578125" style="8"/>
  </cols>
  <sheetData>
    <row r="1" spans="1:12" ht="15" x14ac:dyDescent="0.25">
      <c r="A1" s="932" t="s">
        <v>167</v>
      </c>
      <c r="B1" s="933"/>
      <c r="C1" s="933"/>
      <c r="D1" s="934"/>
    </row>
    <row r="2" spans="1:12" ht="15" x14ac:dyDescent="0.2">
      <c r="A2" s="935" t="s">
        <v>111</v>
      </c>
      <c r="B2" s="936"/>
      <c r="C2" s="936"/>
      <c r="D2" s="937"/>
    </row>
    <row r="3" spans="1:12" ht="15" x14ac:dyDescent="0.2">
      <c r="A3" s="935" t="s">
        <v>599</v>
      </c>
      <c r="B3" s="936"/>
      <c r="C3" s="936"/>
      <c r="D3" s="937"/>
      <c r="F3" s="798"/>
    </row>
    <row r="4" spans="1:12" x14ac:dyDescent="0.2">
      <c r="A4" s="923" t="s">
        <v>1838</v>
      </c>
      <c r="B4" s="923"/>
      <c r="C4" s="923"/>
      <c r="D4" s="938"/>
      <c r="F4" s="798"/>
    </row>
    <row r="5" spans="1:12" x14ac:dyDescent="0.2">
      <c r="A5" s="939" t="s">
        <v>122</v>
      </c>
      <c r="B5" s="940"/>
      <c r="C5" s="940"/>
      <c r="D5" s="941"/>
      <c r="F5" s="799"/>
    </row>
    <row r="6" spans="1:12" ht="15" x14ac:dyDescent="0.2">
      <c r="A6" s="240"/>
      <c r="B6" s="241" t="s">
        <v>113</v>
      </c>
      <c r="C6" s="242">
        <v>2015</v>
      </c>
      <c r="D6" s="243">
        <v>2014</v>
      </c>
      <c r="F6" s="798"/>
    </row>
    <row r="7" spans="1:12" ht="15" x14ac:dyDescent="0.2">
      <c r="A7" s="504" t="s">
        <v>306</v>
      </c>
      <c r="B7" s="505"/>
      <c r="C7" s="506"/>
      <c r="D7" s="507"/>
      <c r="F7" s="798"/>
    </row>
    <row r="8" spans="1:12" ht="12.75" customHeight="1" x14ac:dyDescent="0.25">
      <c r="A8" s="508"/>
      <c r="B8" s="505" t="s">
        <v>124</v>
      </c>
      <c r="C8" s="509">
        <f>SUM(C9:C19)</f>
        <v>691079242.16000009</v>
      </c>
      <c r="D8" s="510">
        <f>SUM(D9:D19)</f>
        <v>502149806.36000001</v>
      </c>
      <c r="F8" s="798"/>
    </row>
    <row r="9" spans="1:12" s="53" customFormat="1" ht="12" customHeight="1" x14ac:dyDescent="0.2">
      <c r="A9" s="511"/>
      <c r="B9" s="512" t="s">
        <v>3</v>
      </c>
      <c r="C9" s="513"/>
      <c r="D9" s="491"/>
      <c r="E9" s="800"/>
      <c r="F9" s="801"/>
      <c r="G9" s="800"/>
      <c r="H9" s="800"/>
      <c r="I9" s="800"/>
      <c r="J9" s="800"/>
      <c r="K9" s="800"/>
      <c r="L9" s="800"/>
    </row>
    <row r="10" spans="1:12" s="53" customFormat="1" ht="12" customHeight="1" x14ac:dyDescent="0.25">
      <c r="A10" s="511"/>
      <c r="B10" s="512" t="s">
        <v>4</v>
      </c>
      <c r="C10" s="513"/>
      <c r="D10" s="491"/>
      <c r="E10" s="800"/>
      <c r="F10" s="802"/>
      <c r="G10" s="800"/>
      <c r="H10" s="800"/>
      <c r="I10" s="800"/>
      <c r="J10" s="800"/>
      <c r="K10" s="800"/>
      <c r="L10" s="800"/>
    </row>
    <row r="11" spans="1:12" s="53" customFormat="1" ht="12" customHeight="1" x14ac:dyDescent="0.2">
      <c r="A11" s="511"/>
      <c r="B11" s="512" t="s">
        <v>307</v>
      </c>
      <c r="C11" s="513"/>
      <c r="D11" s="491"/>
      <c r="E11" s="800"/>
      <c r="F11" s="801"/>
      <c r="G11" s="800"/>
      <c r="H11" s="800"/>
      <c r="I11" s="800"/>
      <c r="J11" s="800"/>
      <c r="K11" s="800"/>
      <c r="L11" s="800"/>
    </row>
    <row r="12" spans="1:12" s="53" customFormat="1" ht="12" customHeight="1" x14ac:dyDescent="0.2">
      <c r="A12" s="511"/>
      <c r="B12" s="512" t="s">
        <v>6</v>
      </c>
      <c r="C12" s="513"/>
      <c r="D12" s="491"/>
      <c r="E12" s="800"/>
      <c r="F12" s="801"/>
      <c r="G12" s="800"/>
      <c r="H12" s="800"/>
      <c r="I12" s="800"/>
      <c r="J12" s="800"/>
      <c r="K12" s="800"/>
      <c r="L12" s="800"/>
    </row>
    <row r="13" spans="1:12" s="53" customFormat="1" ht="12" customHeight="1" x14ac:dyDescent="0.2">
      <c r="A13" s="511"/>
      <c r="B13" s="512" t="s">
        <v>308</v>
      </c>
      <c r="C13" s="513"/>
      <c r="D13" s="491"/>
      <c r="E13" s="800"/>
      <c r="F13" s="801"/>
      <c r="G13" s="800"/>
      <c r="H13" s="800"/>
      <c r="I13" s="800"/>
      <c r="J13" s="800"/>
      <c r="K13" s="800"/>
      <c r="L13" s="800"/>
    </row>
    <row r="14" spans="1:12" s="53" customFormat="1" ht="15.75" customHeight="1" x14ac:dyDescent="0.2">
      <c r="A14" s="511"/>
      <c r="B14" s="512" t="s">
        <v>7</v>
      </c>
      <c r="C14" s="513"/>
      <c r="D14" s="491"/>
      <c r="E14" s="800"/>
      <c r="F14" s="801"/>
      <c r="G14" s="800"/>
      <c r="H14" s="800"/>
      <c r="I14" s="800"/>
      <c r="J14" s="800"/>
      <c r="K14" s="800"/>
      <c r="L14" s="800"/>
    </row>
    <row r="15" spans="1:12" s="53" customFormat="1" ht="16.5" customHeight="1" x14ac:dyDescent="0.2">
      <c r="A15" s="511"/>
      <c r="B15" s="512" t="s">
        <v>8</v>
      </c>
      <c r="C15" s="513"/>
      <c r="D15" s="491"/>
      <c r="E15" s="800"/>
      <c r="F15" s="801"/>
      <c r="G15" s="800"/>
      <c r="H15" s="800"/>
      <c r="I15" s="800"/>
      <c r="J15" s="800"/>
      <c r="K15" s="800"/>
      <c r="L15" s="800"/>
    </row>
    <row r="16" spans="1:12" s="53" customFormat="1" ht="17.25" customHeight="1" x14ac:dyDescent="0.2">
      <c r="A16" s="511"/>
      <c r="B16" s="512" t="s">
        <v>9</v>
      </c>
      <c r="C16" s="513"/>
      <c r="D16" s="491"/>
      <c r="E16" s="800"/>
      <c r="F16" s="801"/>
      <c r="G16" s="800"/>
      <c r="H16" s="800"/>
      <c r="I16" s="800"/>
      <c r="J16" s="800"/>
      <c r="K16" s="800"/>
      <c r="L16" s="800"/>
    </row>
    <row r="17" spans="1:12" s="53" customFormat="1" x14ac:dyDescent="0.2">
      <c r="A17" s="511"/>
      <c r="B17" s="512" t="s">
        <v>11</v>
      </c>
      <c r="C17" s="514">
        <v>419321438.56999999</v>
      </c>
      <c r="D17" s="495">
        <v>240681306.21000001</v>
      </c>
      <c r="E17" s="800"/>
      <c r="F17" s="801"/>
      <c r="G17" s="800"/>
      <c r="H17" s="800"/>
      <c r="I17" s="800"/>
      <c r="J17" s="800"/>
      <c r="K17" s="800"/>
      <c r="L17" s="800"/>
    </row>
    <row r="18" spans="1:12" s="53" customFormat="1" ht="15" x14ac:dyDescent="0.25">
      <c r="A18" s="511"/>
      <c r="B18" s="512" t="s">
        <v>309</v>
      </c>
      <c r="C18" s="514">
        <v>228841416.77000001</v>
      </c>
      <c r="D18" s="495">
        <v>261118630.05000001</v>
      </c>
      <c r="E18" s="800"/>
      <c r="F18" s="802"/>
      <c r="G18" s="800"/>
      <c r="H18" s="800"/>
      <c r="I18" s="800"/>
      <c r="J18" s="800"/>
      <c r="K18" s="800"/>
      <c r="L18" s="800"/>
    </row>
    <row r="19" spans="1:12" s="53" customFormat="1" ht="12" customHeight="1" x14ac:dyDescent="0.2">
      <c r="A19" s="511"/>
      <c r="B19" s="512" t="s">
        <v>310</v>
      </c>
      <c r="C19" s="514">
        <v>42916386.82</v>
      </c>
      <c r="D19" s="495">
        <v>349870.1</v>
      </c>
      <c r="E19" s="800"/>
      <c r="F19" s="801"/>
      <c r="G19" s="800"/>
      <c r="H19" s="800"/>
      <c r="I19" s="800"/>
      <c r="J19" s="800"/>
      <c r="K19" s="800"/>
      <c r="L19" s="800"/>
    </row>
    <row r="20" spans="1:12" s="53" customFormat="1" ht="13.5" customHeight="1" x14ac:dyDescent="0.25">
      <c r="A20" s="511"/>
      <c r="B20" s="515" t="s">
        <v>125</v>
      </c>
      <c r="C20" s="516">
        <f>SUM(C21:C36)</f>
        <v>26074515.850000001</v>
      </c>
      <c r="D20" s="517">
        <f>SUM(D21:D36)</f>
        <v>268084800</v>
      </c>
      <c r="E20" s="800"/>
      <c r="F20" s="801"/>
      <c r="G20" s="800"/>
      <c r="H20" s="800"/>
      <c r="I20" s="800"/>
      <c r="J20" s="800"/>
      <c r="K20" s="800"/>
      <c r="L20" s="800"/>
    </row>
    <row r="21" spans="1:12" s="53" customFormat="1" ht="15" x14ac:dyDescent="0.25">
      <c r="A21" s="511"/>
      <c r="B21" s="512" t="s">
        <v>22</v>
      </c>
      <c r="C21" s="514">
        <v>21219933.760000002</v>
      </c>
      <c r="D21" s="518">
        <v>19171717</v>
      </c>
      <c r="E21" s="800"/>
      <c r="F21" s="802"/>
      <c r="G21" s="800"/>
      <c r="H21" s="800"/>
      <c r="I21" s="800"/>
      <c r="J21" s="800"/>
      <c r="K21" s="800"/>
      <c r="L21" s="800"/>
    </row>
    <row r="22" spans="1:12" s="53" customFormat="1" x14ac:dyDescent="0.2">
      <c r="A22" s="511"/>
      <c r="B22" s="512" t="s">
        <v>23</v>
      </c>
      <c r="C22" s="514">
        <v>1847021.9</v>
      </c>
      <c r="D22" s="518">
        <v>1513869</v>
      </c>
      <c r="E22" s="800"/>
      <c r="F22" s="801"/>
      <c r="G22" s="800"/>
      <c r="H22" s="800"/>
      <c r="I22" s="800"/>
      <c r="J22" s="800"/>
      <c r="K22" s="800"/>
      <c r="L22" s="800"/>
    </row>
    <row r="23" spans="1:12" s="53" customFormat="1" x14ac:dyDescent="0.2">
      <c r="A23" s="511"/>
      <c r="B23" s="512" t="s">
        <v>24</v>
      </c>
      <c r="C23" s="514">
        <v>3007560.19</v>
      </c>
      <c r="D23" s="518">
        <v>3081272</v>
      </c>
      <c r="E23" s="800"/>
      <c r="F23" s="801"/>
      <c r="G23" s="800"/>
      <c r="H23" s="800"/>
      <c r="I23" s="800"/>
      <c r="J23" s="800"/>
      <c r="K23" s="800"/>
      <c r="L23" s="800"/>
    </row>
    <row r="24" spans="1:12" s="53" customFormat="1" x14ac:dyDescent="0.2">
      <c r="A24" s="511"/>
      <c r="B24" s="512" t="s">
        <v>25</v>
      </c>
      <c r="C24" s="514"/>
      <c r="D24" s="491"/>
      <c r="E24" s="800"/>
      <c r="F24" s="801"/>
      <c r="G24" s="800"/>
      <c r="H24" s="800"/>
      <c r="I24" s="800"/>
      <c r="J24" s="800"/>
      <c r="K24" s="800"/>
      <c r="L24" s="800"/>
    </row>
    <row r="25" spans="1:12" s="53" customFormat="1" x14ac:dyDescent="0.2">
      <c r="A25" s="511"/>
      <c r="B25" s="512" t="s">
        <v>311</v>
      </c>
      <c r="C25" s="514"/>
      <c r="D25" s="491"/>
      <c r="E25" s="800"/>
      <c r="F25" s="801"/>
      <c r="G25" s="800"/>
      <c r="H25" s="800"/>
      <c r="I25" s="800"/>
      <c r="J25" s="800"/>
      <c r="K25" s="800"/>
      <c r="L25" s="800"/>
    </row>
    <row r="26" spans="1:12" s="53" customFormat="1" x14ac:dyDescent="0.2">
      <c r="A26" s="511"/>
      <c r="B26" s="512" t="s">
        <v>312</v>
      </c>
      <c r="C26" s="513"/>
      <c r="D26" s="491"/>
      <c r="E26" s="803"/>
      <c r="F26" s="801"/>
      <c r="G26" s="800"/>
      <c r="H26" s="800"/>
      <c r="I26" s="800"/>
      <c r="J26" s="800"/>
      <c r="K26" s="800"/>
      <c r="L26" s="800"/>
    </row>
    <row r="27" spans="1:12" s="53" customFormat="1" x14ac:dyDescent="0.2">
      <c r="A27" s="511"/>
      <c r="B27" s="512" t="s">
        <v>28</v>
      </c>
      <c r="C27" s="513"/>
      <c r="D27" s="491"/>
      <c r="E27" s="800"/>
      <c r="F27" s="804"/>
      <c r="G27" s="800"/>
      <c r="H27" s="800"/>
      <c r="I27" s="800"/>
      <c r="J27" s="800"/>
      <c r="K27" s="800"/>
      <c r="L27" s="800"/>
    </row>
    <row r="28" spans="1:12" s="53" customFormat="1" x14ac:dyDescent="0.2">
      <c r="A28" s="511"/>
      <c r="B28" s="512" t="s">
        <v>29</v>
      </c>
      <c r="C28" s="513"/>
      <c r="D28" s="491"/>
      <c r="E28" s="800"/>
      <c r="F28" s="804"/>
      <c r="G28" s="800"/>
      <c r="H28" s="800"/>
      <c r="I28" s="800"/>
      <c r="J28" s="800"/>
      <c r="K28" s="800"/>
      <c r="L28" s="800"/>
    </row>
    <row r="29" spans="1:12" s="53" customFormat="1" ht="11.25" customHeight="1" x14ac:dyDescent="0.2">
      <c r="A29" s="511"/>
      <c r="B29" s="512" t="s">
        <v>30</v>
      </c>
      <c r="C29" s="513"/>
      <c r="D29" s="491"/>
      <c r="E29" s="800"/>
      <c r="F29" s="804"/>
      <c r="G29" s="800"/>
      <c r="H29" s="800"/>
      <c r="I29" s="800"/>
      <c r="J29" s="800"/>
      <c r="K29" s="800"/>
      <c r="L29" s="800"/>
    </row>
    <row r="30" spans="1:12" s="53" customFormat="1" ht="11.25" customHeight="1" x14ac:dyDescent="0.2">
      <c r="A30" s="511"/>
      <c r="B30" s="512" t="s">
        <v>31</v>
      </c>
      <c r="C30" s="513"/>
      <c r="D30" s="491"/>
      <c r="E30" s="800"/>
      <c r="F30" s="804"/>
      <c r="G30" s="800"/>
      <c r="H30" s="800"/>
      <c r="I30" s="800"/>
      <c r="J30" s="800"/>
      <c r="K30" s="800"/>
      <c r="L30" s="800"/>
    </row>
    <row r="31" spans="1:12" s="53" customFormat="1" ht="11.25" customHeight="1" x14ac:dyDescent="0.2">
      <c r="A31" s="511"/>
      <c r="B31" s="512" t="s">
        <v>32</v>
      </c>
      <c r="C31" s="513"/>
      <c r="D31" s="491"/>
      <c r="E31" s="800"/>
      <c r="F31" s="804"/>
      <c r="G31" s="800"/>
      <c r="H31" s="800"/>
      <c r="I31" s="800"/>
      <c r="J31" s="800"/>
      <c r="K31" s="800"/>
      <c r="L31" s="800"/>
    </row>
    <row r="32" spans="1:12" s="53" customFormat="1" x14ac:dyDescent="0.2">
      <c r="A32" s="511"/>
      <c r="B32" s="512" t="s">
        <v>33</v>
      </c>
      <c r="C32" s="513"/>
      <c r="D32" s="491"/>
      <c r="E32" s="800"/>
      <c r="F32" s="804"/>
      <c r="G32" s="800"/>
      <c r="H32" s="800"/>
      <c r="I32" s="800"/>
      <c r="J32" s="800"/>
      <c r="K32" s="800"/>
      <c r="L32" s="800"/>
    </row>
    <row r="33" spans="1:12" s="53" customFormat="1" x14ac:dyDescent="0.2">
      <c r="A33" s="511"/>
      <c r="B33" s="512" t="s">
        <v>313</v>
      </c>
      <c r="C33" s="513"/>
      <c r="D33" s="495">
        <v>244317942</v>
      </c>
      <c r="E33" s="800"/>
      <c r="F33" s="804"/>
      <c r="G33" s="800"/>
      <c r="H33" s="800"/>
      <c r="I33" s="800"/>
      <c r="J33" s="800"/>
      <c r="K33" s="800"/>
      <c r="L33" s="800"/>
    </row>
    <row r="34" spans="1:12" s="53" customFormat="1" x14ac:dyDescent="0.2">
      <c r="A34" s="511"/>
      <c r="B34" s="512" t="s">
        <v>36</v>
      </c>
      <c r="C34" s="513"/>
      <c r="D34" s="519"/>
      <c r="E34" s="800"/>
      <c r="F34" s="804"/>
      <c r="G34" s="800"/>
      <c r="H34" s="800"/>
      <c r="I34" s="800"/>
      <c r="J34" s="800"/>
      <c r="K34" s="800"/>
      <c r="L34" s="800"/>
    </row>
    <row r="35" spans="1:12" s="53" customFormat="1" x14ac:dyDescent="0.2">
      <c r="A35" s="511"/>
      <c r="B35" s="512" t="s">
        <v>37</v>
      </c>
      <c r="C35" s="513"/>
      <c r="D35" s="491"/>
      <c r="E35" s="800"/>
      <c r="F35" s="804"/>
      <c r="G35" s="800"/>
      <c r="H35" s="800"/>
      <c r="I35" s="800"/>
      <c r="J35" s="800"/>
      <c r="K35" s="800"/>
      <c r="L35" s="800"/>
    </row>
    <row r="36" spans="1:12" s="53" customFormat="1" x14ac:dyDescent="0.2">
      <c r="A36" s="511"/>
      <c r="B36" s="512" t="s">
        <v>314</v>
      </c>
      <c r="C36" s="514">
        <v>0</v>
      </c>
      <c r="D36" s="491"/>
      <c r="E36" s="800"/>
      <c r="F36" s="804"/>
      <c r="G36" s="800"/>
      <c r="H36" s="800"/>
      <c r="I36" s="800"/>
      <c r="J36" s="800"/>
      <c r="K36" s="800"/>
      <c r="L36" s="800"/>
    </row>
    <row r="37" spans="1:12" s="53" customFormat="1" ht="24" customHeight="1" x14ac:dyDescent="0.25">
      <c r="A37" s="520"/>
      <c r="B37" s="521" t="s">
        <v>315</v>
      </c>
      <c r="C37" s="522">
        <f>+C8-C20</f>
        <v>665004726.31000006</v>
      </c>
      <c r="D37" s="517">
        <f>+D8-D20</f>
        <v>234065006.36000001</v>
      </c>
      <c r="E37" s="800"/>
      <c r="F37" s="804"/>
      <c r="G37" s="800"/>
      <c r="H37" s="800"/>
      <c r="I37" s="800"/>
      <c r="J37" s="800"/>
      <c r="K37" s="800"/>
      <c r="L37" s="800"/>
    </row>
    <row r="38" spans="1:12" s="53" customFormat="1" ht="4.5" customHeight="1" x14ac:dyDescent="0.2">
      <c r="A38" s="929"/>
      <c r="B38" s="930"/>
      <c r="C38" s="930"/>
      <c r="D38" s="931"/>
      <c r="E38" s="800"/>
      <c r="F38" s="804"/>
      <c r="G38" s="800"/>
      <c r="H38" s="800"/>
      <c r="I38" s="800"/>
      <c r="J38" s="800"/>
      <c r="K38" s="800"/>
      <c r="L38" s="800"/>
    </row>
    <row r="39" spans="1:12" s="53" customFormat="1" ht="15" customHeight="1" x14ac:dyDescent="0.2">
      <c r="A39" s="520"/>
      <c r="B39" s="515" t="s">
        <v>316</v>
      </c>
      <c r="C39" s="515"/>
      <c r="D39" s="491"/>
      <c r="E39" s="800"/>
      <c r="F39" s="804"/>
      <c r="G39" s="800"/>
      <c r="H39" s="800"/>
      <c r="I39" s="800"/>
      <c r="J39" s="800"/>
      <c r="K39" s="800"/>
      <c r="L39" s="800"/>
    </row>
    <row r="40" spans="1:12" s="53" customFormat="1" ht="15" x14ac:dyDescent="0.25">
      <c r="A40" s="511"/>
      <c r="B40" s="515" t="s">
        <v>124</v>
      </c>
      <c r="C40" s="523">
        <f>+C41+C42+C43</f>
        <v>0</v>
      </c>
      <c r="D40" s="492">
        <f>SUM(D43)</f>
        <v>63671703</v>
      </c>
      <c r="E40" s="800"/>
      <c r="F40" s="804"/>
      <c r="G40" s="800"/>
      <c r="H40" s="800"/>
      <c r="I40" s="800"/>
      <c r="J40" s="800"/>
      <c r="K40" s="800"/>
      <c r="L40" s="800"/>
    </row>
    <row r="41" spans="1:12" s="53" customFormat="1" x14ac:dyDescent="0.2">
      <c r="A41" s="511"/>
      <c r="B41" s="512" t="s">
        <v>82</v>
      </c>
      <c r="C41" s="514"/>
      <c r="D41" s="491"/>
      <c r="E41" s="800"/>
      <c r="F41" s="804"/>
      <c r="G41" s="800"/>
      <c r="H41" s="800"/>
      <c r="I41" s="800"/>
      <c r="J41" s="800"/>
      <c r="K41" s="800"/>
      <c r="L41" s="800"/>
    </row>
    <row r="42" spans="1:12" s="53" customFormat="1" x14ac:dyDescent="0.2">
      <c r="A42" s="511"/>
      <c r="B42" s="512" t="s">
        <v>85</v>
      </c>
      <c r="C42" s="513"/>
      <c r="D42" s="491"/>
      <c r="E42" s="800"/>
      <c r="F42" s="804"/>
      <c r="G42" s="800"/>
      <c r="H42" s="800"/>
      <c r="I42" s="800"/>
      <c r="J42" s="800"/>
      <c r="K42" s="800"/>
      <c r="L42" s="800"/>
    </row>
    <row r="43" spans="1:12" s="53" customFormat="1" x14ac:dyDescent="0.2">
      <c r="A43" s="511"/>
      <c r="B43" s="512" t="s">
        <v>317</v>
      </c>
      <c r="C43" s="513"/>
      <c r="D43" s="493">
        <v>63671703</v>
      </c>
      <c r="E43" s="800"/>
      <c r="F43" s="804"/>
      <c r="G43" s="800"/>
      <c r="H43" s="800"/>
      <c r="I43" s="800"/>
      <c r="J43" s="800"/>
      <c r="K43" s="800"/>
      <c r="L43" s="800"/>
    </row>
    <row r="44" spans="1:12" s="53" customFormat="1" ht="15" x14ac:dyDescent="0.25">
      <c r="A44" s="511"/>
      <c r="B44" s="515" t="s">
        <v>125</v>
      </c>
      <c r="C44" s="516">
        <f>+C45+C46+C47</f>
        <v>596994523.63</v>
      </c>
      <c r="D44" s="494">
        <f>SUM(D45:D47)</f>
        <v>210204663</v>
      </c>
      <c r="E44" s="800"/>
      <c r="F44" s="804"/>
      <c r="G44" s="800"/>
      <c r="H44" s="800"/>
      <c r="I44" s="800"/>
      <c r="J44" s="800"/>
      <c r="K44" s="800"/>
      <c r="L44" s="800"/>
    </row>
    <row r="45" spans="1:12" s="53" customFormat="1" x14ac:dyDescent="0.2">
      <c r="A45" s="511"/>
      <c r="B45" s="512" t="s">
        <v>82</v>
      </c>
      <c r="C45" s="514">
        <v>596935129.30999994</v>
      </c>
      <c r="D45" s="495">
        <v>0</v>
      </c>
      <c r="E45" s="800"/>
      <c r="F45" s="804"/>
      <c r="G45" s="800"/>
      <c r="H45" s="800"/>
      <c r="I45" s="800"/>
      <c r="J45" s="800"/>
      <c r="K45" s="800"/>
      <c r="L45" s="800"/>
    </row>
    <row r="46" spans="1:12" s="53" customFormat="1" x14ac:dyDescent="0.2">
      <c r="A46" s="511"/>
      <c r="B46" s="512" t="s">
        <v>85</v>
      </c>
      <c r="C46" s="514">
        <v>59394.32</v>
      </c>
      <c r="D46" s="496">
        <v>138156</v>
      </c>
      <c r="E46" s="800"/>
      <c r="F46" s="804"/>
      <c r="G46" s="800"/>
      <c r="H46" s="800"/>
      <c r="I46" s="800"/>
      <c r="J46" s="800"/>
      <c r="K46" s="800"/>
      <c r="L46" s="800"/>
    </row>
    <row r="47" spans="1:12" s="53" customFormat="1" x14ac:dyDescent="0.2">
      <c r="A47" s="511"/>
      <c r="B47" s="512" t="s">
        <v>318</v>
      </c>
      <c r="C47" s="513"/>
      <c r="D47" s="496">
        <v>210066507</v>
      </c>
      <c r="E47" s="800"/>
      <c r="F47" s="804"/>
      <c r="G47" s="800"/>
      <c r="H47" s="800"/>
      <c r="I47" s="800"/>
      <c r="J47" s="800"/>
      <c r="K47" s="800"/>
      <c r="L47" s="800"/>
    </row>
    <row r="48" spans="1:12" s="53" customFormat="1" ht="12.75" customHeight="1" x14ac:dyDescent="0.25">
      <c r="A48" s="520"/>
      <c r="B48" s="521" t="s">
        <v>319</v>
      </c>
      <c r="C48" s="522">
        <f>+C40-C44</f>
        <v>-596994523.63</v>
      </c>
      <c r="D48" s="492">
        <f>+D40-D44</f>
        <v>-146532960</v>
      </c>
      <c r="E48" s="800"/>
      <c r="F48" s="804"/>
      <c r="G48" s="800"/>
      <c r="H48" s="800"/>
      <c r="I48" s="800"/>
      <c r="J48" s="800"/>
      <c r="K48" s="800"/>
      <c r="L48" s="800"/>
    </row>
    <row r="49" spans="1:12" s="53" customFormat="1" ht="4.5" customHeight="1" x14ac:dyDescent="0.2">
      <c r="A49" s="929"/>
      <c r="B49" s="930"/>
      <c r="C49" s="930"/>
      <c r="D49" s="931"/>
      <c r="E49" s="800"/>
      <c r="F49" s="804"/>
      <c r="G49" s="800"/>
      <c r="H49" s="800"/>
      <c r="I49" s="800"/>
      <c r="J49" s="800"/>
      <c r="K49" s="800"/>
      <c r="L49" s="800"/>
    </row>
    <row r="50" spans="1:12" s="53" customFormat="1" ht="15" customHeight="1" x14ac:dyDescent="0.2">
      <c r="A50" s="520"/>
      <c r="B50" s="515" t="s">
        <v>320</v>
      </c>
      <c r="C50" s="515"/>
      <c r="D50" s="491"/>
      <c r="E50" s="800"/>
      <c r="F50" s="804"/>
      <c r="G50" s="800"/>
      <c r="H50" s="800"/>
      <c r="I50" s="800"/>
      <c r="J50" s="800"/>
      <c r="K50" s="800"/>
      <c r="L50" s="800"/>
    </row>
    <row r="51" spans="1:12" s="53" customFormat="1" ht="15" x14ac:dyDescent="0.2">
      <c r="A51" s="511"/>
      <c r="B51" s="515" t="s">
        <v>124</v>
      </c>
      <c r="C51" s="523">
        <f>+C52+C53+C54+C55</f>
        <v>0</v>
      </c>
      <c r="D51" s="524">
        <f>+D52+D53+D54+D55</f>
        <v>0</v>
      </c>
      <c r="E51" s="800"/>
      <c r="F51" s="804"/>
      <c r="G51" s="800"/>
      <c r="H51" s="800"/>
      <c r="I51" s="800"/>
      <c r="J51" s="800"/>
      <c r="K51" s="800"/>
      <c r="L51" s="800"/>
    </row>
    <row r="52" spans="1:12" s="53" customFormat="1" x14ac:dyDescent="0.2">
      <c r="A52" s="511"/>
      <c r="B52" s="512" t="s">
        <v>175</v>
      </c>
      <c r="C52" s="513"/>
      <c r="D52" s="491"/>
      <c r="E52" s="800"/>
      <c r="F52" s="804"/>
      <c r="G52" s="800"/>
      <c r="H52" s="800"/>
      <c r="I52" s="800"/>
      <c r="J52" s="800"/>
      <c r="K52" s="800"/>
      <c r="L52" s="800"/>
    </row>
    <row r="53" spans="1:12" s="53" customFormat="1" x14ac:dyDescent="0.2">
      <c r="A53" s="511"/>
      <c r="B53" s="512" t="s">
        <v>321</v>
      </c>
      <c r="C53" s="513"/>
      <c r="D53" s="491"/>
      <c r="E53" s="800"/>
      <c r="F53" s="804"/>
      <c r="G53" s="800"/>
      <c r="H53" s="800"/>
      <c r="I53" s="800"/>
      <c r="J53" s="800"/>
      <c r="K53" s="800"/>
      <c r="L53" s="800"/>
    </row>
    <row r="54" spans="1:12" s="53" customFormat="1" x14ac:dyDescent="0.2">
      <c r="A54" s="511"/>
      <c r="B54" s="512" t="s">
        <v>322</v>
      </c>
      <c r="C54" s="513"/>
      <c r="D54" s="491"/>
      <c r="E54" s="800"/>
      <c r="F54" s="804"/>
      <c r="G54" s="800"/>
      <c r="H54" s="800"/>
      <c r="I54" s="800"/>
      <c r="J54" s="800"/>
      <c r="K54" s="800"/>
      <c r="L54" s="800"/>
    </row>
    <row r="55" spans="1:12" s="53" customFormat="1" x14ac:dyDescent="0.2">
      <c r="A55" s="511"/>
      <c r="B55" s="512" t="s">
        <v>323</v>
      </c>
      <c r="C55" s="514">
        <v>0</v>
      </c>
      <c r="D55" s="495">
        <v>0</v>
      </c>
      <c r="E55" s="800"/>
      <c r="F55" s="804"/>
      <c r="G55" s="800"/>
      <c r="H55" s="800"/>
      <c r="I55" s="800"/>
      <c r="J55" s="800"/>
      <c r="K55" s="800"/>
      <c r="L55" s="800"/>
    </row>
    <row r="56" spans="1:12" s="53" customFormat="1" ht="15" x14ac:dyDescent="0.2">
      <c r="A56" s="511"/>
      <c r="B56" s="515" t="s">
        <v>125</v>
      </c>
      <c r="C56" s="516">
        <f>+C58+C59+C60</f>
        <v>0</v>
      </c>
      <c r="D56" s="525">
        <f>+D58+D59+D60</f>
        <v>0</v>
      </c>
      <c r="E56" s="800"/>
      <c r="F56" s="804"/>
      <c r="G56" s="800"/>
      <c r="H56" s="800"/>
      <c r="I56" s="800"/>
      <c r="J56" s="800"/>
      <c r="K56" s="800"/>
      <c r="L56" s="800"/>
    </row>
    <row r="57" spans="1:12" s="53" customFormat="1" x14ac:dyDescent="0.2">
      <c r="A57" s="511"/>
      <c r="B57" s="512" t="s">
        <v>324</v>
      </c>
      <c r="C57" s="514"/>
      <c r="D57" s="491"/>
      <c r="E57" s="800"/>
      <c r="F57" s="804"/>
      <c r="G57" s="800"/>
      <c r="H57" s="800"/>
      <c r="I57" s="800"/>
      <c r="J57" s="800"/>
      <c r="K57" s="800"/>
      <c r="L57" s="800"/>
    </row>
    <row r="58" spans="1:12" s="53" customFormat="1" x14ac:dyDescent="0.2">
      <c r="A58" s="511"/>
      <c r="B58" s="512" t="s">
        <v>321</v>
      </c>
      <c r="C58" s="514"/>
      <c r="D58" s="491"/>
      <c r="E58" s="800"/>
      <c r="F58" s="804"/>
      <c r="G58" s="800"/>
      <c r="H58" s="800"/>
      <c r="I58" s="800"/>
      <c r="J58" s="800"/>
      <c r="K58" s="800"/>
      <c r="L58" s="800"/>
    </row>
    <row r="59" spans="1:12" s="53" customFormat="1" x14ac:dyDescent="0.2">
      <c r="A59" s="511"/>
      <c r="B59" s="512" t="s">
        <v>322</v>
      </c>
      <c r="C59" s="514"/>
      <c r="D59" s="491"/>
      <c r="E59" s="800"/>
      <c r="F59" s="804"/>
      <c r="G59" s="800"/>
      <c r="H59" s="800"/>
      <c r="I59" s="800"/>
      <c r="J59" s="800"/>
      <c r="K59" s="800"/>
      <c r="L59" s="800"/>
    </row>
    <row r="60" spans="1:12" s="53" customFormat="1" x14ac:dyDescent="0.2">
      <c r="A60" s="511"/>
      <c r="B60" s="512" t="s">
        <v>325</v>
      </c>
      <c r="C60" s="514">
        <v>0</v>
      </c>
      <c r="D60" s="491">
        <v>0</v>
      </c>
      <c r="E60" s="800"/>
      <c r="F60" s="804"/>
      <c r="G60" s="800"/>
      <c r="H60" s="800"/>
      <c r="I60" s="800"/>
      <c r="J60" s="800"/>
      <c r="K60" s="800"/>
      <c r="L60" s="800"/>
    </row>
    <row r="61" spans="1:12" s="53" customFormat="1" ht="13.5" customHeight="1" x14ac:dyDescent="0.2">
      <c r="A61" s="244"/>
      <c r="B61" s="238" t="s">
        <v>326</v>
      </c>
      <c r="C61" s="246">
        <f>+C51-C56</f>
        <v>0</v>
      </c>
      <c r="D61" s="497">
        <f>+D51-D56</f>
        <v>0</v>
      </c>
      <c r="E61" s="800"/>
      <c r="F61" s="804"/>
      <c r="G61" s="800"/>
      <c r="H61" s="800"/>
      <c r="I61" s="800"/>
      <c r="J61" s="800"/>
      <c r="K61" s="800"/>
      <c r="L61" s="800"/>
    </row>
    <row r="62" spans="1:12" s="53" customFormat="1" ht="3" customHeight="1" x14ac:dyDescent="0.2">
      <c r="A62" s="926"/>
      <c r="B62" s="927"/>
      <c r="C62" s="927"/>
      <c r="D62" s="928"/>
      <c r="E62" s="800"/>
      <c r="F62" s="804"/>
      <c r="G62" s="800"/>
      <c r="H62" s="800"/>
      <c r="I62" s="800"/>
      <c r="J62" s="800"/>
      <c r="K62" s="800"/>
      <c r="L62" s="800"/>
    </row>
    <row r="63" spans="1:12" s="53" customFormat="1" ht="15" customHeight="1" x14ac:dyDescent="0.25">
      <c r="A63" s="244"/>
      <c r="B63" s="238" t="s">
        <v>327</v>
      </c>
      <c r="C63" s="246">
        <f>+C66-C65</f>
        <v>68010202.680000007</v>
      </c>
      <c r="D63" s="235">
        <f>+D66-D65</f>
        <v>87532046.360000014</v>
      </c>
      <c r="E63" s="800"/>
      <c r="F63" s="804"/>
      <c r="G63" s="800"/>
      <c r="H63" s="800"/>
      <c r="I63" s="800"/>
      <c r="J63" s="800"/>
      <c r="K63" s="800"/>
      <c r="L63" s="800"/>
    </row>
    <row r="64" spans="1:12" s="53" customFormat="1" ht="3.75" customHeight="1" x14ac:dyDescent="0.2">
      <c r="A64" s="926"/>
      <c r="B64" s="927"/>
      <c r="C64" s="927"/>
      <c r="D64" s="928"/>
      <c r="E64" s="800"/>
      <c r="F64" s="804"/>
      <c r="G64" s="800"/>
      <c r="H64" s="800"/>
      <c r="I64" s="800"/>
      <c r="J64" s="800"/>
      <c r="K64" s="800"/>
      <c r="L64" s="800"/>
    </row>
    <row r="65" spans="1:12" s="53" customFormat="1" ht="14.25" customHeight="1" x14ac:dyDescent="0.2">
      <c r="A65" s="244"/>
      <c r="B65" s="238" t="s">
        <v>264</v>
      </c>
      <c r="C65" s="247">
        <v>153900623.47</v>
      </c>
      <c r="D65" s="236">
        <v>66343857</v>
      </c>
      <c r="E65" s="803"/>
      <c r="F65" s="804"/>
      <c r="G65" s="800"/>
      <c r="H65" s="800"/>
      <c r="I65" s="800"/>
      <c r="J65" s="800"/>
      <c r="K65" s="800"/>
      <c r="L65" s="800"/>
    </row>
    <row r="66" spans="1:12" s="53" customFormat="1" ht="15" customHeight="1" thickBot="1" x14ac:dyDescent="0.25">
      <c r="A66" s="245"/>
      <c r="B66" s="239" t="s">
        <v>265</v>
      </c>
      <c r="C66" s="249">
        <v>221910826.15000001</v>
      </c>
      <c r="D66" s="237">
        <v>153875903.36000001</v>
      </c>
      <c r="E66" s="803"/>
      <c r="F66" s="804"/>
      <c r="G66" s="800"/>
      <c r="H66" s="800"/>
      <c r="I66" s="800"/>
      <c r="J66" s="800"/>
      <c r="K66" s="800"/>
      <c r="L66" s="800"/>
    </row>
    <row r="67" spans="1:12" s="53" customFormat="1" x14ac:dyDescent="0.2">
      <c r="C67" s="248"/>
      <c r="E67" s="800"/>
      <c r="F67" s="804"/>
      <c r="G67" s="800"/>
      <c r="H67" s="800"/>
      <c r="I67" s="800"/>
      <c r="J67" s="800"/>
      <c r="K67" s="800"/>
      <c r="L67" s="800"/>
    </row>
    <row r="68" spans="1:12" s="53" customFormat="1" x14ac:dyDescent="0.2">
      <c r="E68" s="800"/>
      <c r="F68" s="804"/>
      <c r="G68" s="800"/>
      <c r="H68" s="800"/>
      <c r="I68" s="800"/>
      <c r="J68" s="800"/>
      <c r="K68" s="800"/>
      <c r="L68" s="800"/>
    </row>
    <row r="69" spans="1:12" s="53" customFormat="1" x14ac:dyDescent="0.2">
      <c r="C69" s="248"/>
      <c r="E69" s="800"/>
      <c r="F69" s="804"/>
      <c r="G69" s="800"/>
      <c r="H69" s="800"/>
      <c r="I69" s="800"/>
      <c r="J69" s="800"/>
      <c r="K69" s="800"/>
      <c r="L69" s="800"/>
    </row>
    <row r="70" spans="1:12" s="53" customFormat="1" x14ac:dyDescent="0.2">
      <c r="B70" s="721" t="s">
        <v>1834</v>
      </c>
      <c r="C70" s="722" t="s">
        <v>1830</v>
      </c>
      <c r="D70" s="722"/>
      <c r="E70" s="805"/>
      <c r="F70" s="806"/>
      <c r="G70" s="800"/>
      <c r="H70" s="800"/>
      <c r="I70" s="800"/>
      <c r="J70" s="800"/>
      <c r="K70" s="800"/>
      <c r="L70" s="800"/>
    </row>
    <row r="71" spans="1:12" x14ac:dyDescent="0.2">
      <c r="B71" s="721" t="s">
        <v>1831</v>
      </c>
      <c r="C71" s="722" t="s">
        <v>1832</v>
      </c>
      <c r="D71" s="722"/>
      <c r="E71" s="807"/>
      <c r="F71" s="808"/>
    </row>
    <row r="72" spans="1:12" x14ac:dyDescent="0.2">
      <c r="B72" s="724"/>
      <c r="C72" s="723"/>
      <c r="D72" s="723"/>
      <c r="E72" s="805"/>
      <c r="F72" s="806"/>
    </row>
    <row r="73" spans="1:12" x14ac:dyDescent="0.2">
      <c r="B73" s="719" t="s">
        <v>1833</v>
      </c>
      <c r="C73" s="723"/>
      <c r="D73" s="723"/>
      <c r="E73" s="805"/>
      <c r="F73" s="806"/>
    </row>
    <row r="74" spans="1:12" x14ac:dyDescent="0.2">
      <c r="B74" s="720" t="s">
        <v>1835</v>
      </c>
      <c r="C74" s="723"/>
      <c r="D74" s="723"/>
      <c r="E74" s="805"/>
      <c r="F74" s="806"/>
    </row>
  </sheetData>
  <mergeCells count="9">
    <mergeCell ref="A62:D62"/>
    <mergeCell ref="A64:D64"/>
    <mergeCell ref="A49:D49"/>
    <mergeCell ref="A38:D38"/>
    <mergeCell ref="A1:D1"/>
    <mergeCell ref="A3:D3"/>
    <mergeCell ref="A2:D2"/>
    <mergeCell ref="A4:D4"/>
    <mergeCell ref="A5:D5"/>
  </mergeCells>
  <pageMargins left="0.15748031496062992" right="0.15748031496062992" top="0.27559055118110237" bottom="0.31496062992125984" header="0.31496062992125984" footer="0.31496062992125984"/>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45"/>
  <sheetViews>
    <sheetView workbookViewId="0">
      <selection activeCell="F21" sqref="F21"/>
    </sheetView>
  </sheetViews>
  <sheetFormatPr baseColWidth="10" defaultRowHeight="15" x14ac:dyDescent="0.25"/>
  <cols>
    <col min="1" max="1" width="50.5703125" customWidth="1"/>
    <col min="2" max="2" width="10.85546875" customWidth="1"/>
    <col min="3" max="6" width="15.5703125" style="226" customWidth="1"/>
    <col min="7" max="8" width="12.85546875" bestFit="1" customWidth="1"/>
  </cols>
  <sheetData>
    <row r="1" spans="1:6" s="1" customFormat="1" x14ac:dyDescent="0.25">
      <c r="A1" s="942" t="s">
        <v>167</v>
      </c>
      <c r="B1" s="942"/>
      <c r="C1" s="942"/>
      <c r="D1" s="942"/>
      <c r="E1" s="942"/>
      <c r="F1" s="942"/>
    </row>
    <row r="2" spans="1:6" s="39" customFormat="1" ht="15.75" x14ac:dyDescent="0.25">
      <c r="A2" s="936" t="s">
        <v>112</v>
      </c>
      <c r="B2" s="936"/>
      <c r="C2" s="936"/>
      <c r="D2" s="936"/>
      <c r="E2" s="936"/>
      <c r="F2" s="936"/>
    </row>
    <row r="3" spans="1:6" s="39" customFormat="1" ht="15.75" x14ac:dyDescent="0.25">
      <c r="A3" s="936" t="s">
        <v>599</v>
      </c>
      <c r="B3" s="936"/>
      <c r="C3" s="936"/>
      <c r="D3" s="936"/>
      <c r="E3" s="936"/>
      <c r="F3" s="936"/>
    </row>
    <row r="4" spans="1:6" s="39" customFormat="1" ht="15.75" x14ac:dyDescent="0.25">
      <c r="A4" s="936" t="s">
        <v>1840</v>
      </c>
      <c r="B4" s="936"/>
      <c r="C4" s="936"/>
      <c r="D4" s="936"/>
      <c r="E4" s="936"/>
      <c r="F4" s="936"/>
    </row>
    <row r="5" spans="1:6" s="38" customFormat="1" ht="15.75" thickBot="1" x14ac:dyDescent="0.3">
      <c r="A5" s="943" t="s">
        <v>122</v>
      </c>
      <c r="B5" s="943"/>
      <c r="C5" s="943"/>
      <c r="D5" s="943"/>
      <c r="E5" s="943"/>
      <c r="F5" s="943"/>
    </row>
    <row r="6" spans="1:6" s="9" customFormat="1" ht="60.75" thickBot="1" x14ac:dyDescent="0.25">
      <c r="A6" s="41" t="s">
        <v>113</v>
      </c>
      <c r="B6" s="42" t="s">
        <v>114</v>
      </c>
      <c r="C6" s="250" t="s">
        <v>115</v>
      </c>
      <c r="D6" s="250" t="s">
        <v>116</v>
      </c>
      <c r="E6" s="250" t="s">
        <v>117</v>
      </c>
      <c r="F6" s="250" t="s">
        <v>118</v>
      </c>
    </row>
    <row r="7" spans="1:6" s="45" customFormat="1" ht="16.5" customHeight="1" x14ac:dyDescent="0.25">
      <c r="A7" s="43"/>
      <c r="B7" s="44"/>
      <c r="C7" s="251"/>
      <c r="D7" s="251"/>
      <c r="E7" s="251"/>
      <c r="F7" s="251"/>
    </row>
    <row r="8" spans="1:6" s="48" customFormat="1" ht="16.5" customHeight="1" x14ac:dyDescent="0.25">
      <c r="A8" s="46" t="s">
        <v>105</v>
      </c>
      <c r="B8" s="47"/>
      <c r="C8" s="252">
        <v>-62555538.079999998</v>
      </c>
      <c r="D8" s="868">
        <f>-259070182.23</f>
        <v>-259070182.22999999</v>
      </c>
      <c r="E8" s="252"/>
      <c r="F8" s="253">
        <f>+C8+D8</f>
        <v>-321625720.31</v>
      </c>
    </row>
    <row r="9" spans="1:6" s="48" customFormat="1" ht="16.5" customHeight="1" x14ac:dyDescent="0.25">
      <c r="A9" s="46"/>
      <c r="B9" s="47"/>
      <c r="C9" s="252"/>
      <c r="D9" s="252"/>
      <c r="E9" s="252"/>
      <c r="F9" s="252"/>
    </row>
    <row r="10" spans="1:6" s="48" customFormat="1" ht="16.5" customHeight="1" x14ac:dyDescent="0.25">
      <c r="A10" s="46" t="s">
        <v>119</v>
      </c>
      <c r="B10" s="47"/>
      <c r="C10" s="252"/>
      <c r="D10" s="252"/>
      <c r="E10" s="252"/>
      <c r="F10" s="252"/>
    </row>
    <row r="11" spans="1:6" s="48" customFormat="1" ht="16.5" customHeight="1" x14ac:dyDescent="0.25">
      <c r="A11" s="49" t="s">
        <v>36</v>
      </c>
      <c r="B11" s="47"/>
      <c r="C11" s="252"/>
      <c r="D11" s="252"/>
      <c r="E11" s="252"/>
      <c r="F11" s="252"/>
    </row>
    <row r="12" spans="1:6" s="48" customFormat="1" ht="16.5" customHeight="1" x14ac:dyDescent="0.25">
      <c r="A12" s="49" t="s">
        <v>97</v>
      </c>
      <c r="B12" s="47"/>
      <c r="C12" s="252"/>
      <c r="D12" s="252"/>
      <c r="E12" s="252"/>
      <c r="F12" s="252"/>
    </row>
    <row r="13" spans="1:6" s="48" customFormat="1" ht="16.5" customHeight="1" x14ac:dyDescent="0.25">
      <c r="A13" s="49" t="s">
        <v>99</v>
      </c>
      <c r="B13" s="47"/>
      <c r="C13" s="252"/>
      <c r="D13" s="252"/>
      <c r="E13" s="252"/>
      <c r="F13" s="252"/>
    </row>
    <row r="14" spans="1:6" s="48" customFormat="1" ht="16.5" customHeight="1" x14ac:dyDescent="0.25">
      <c r="A14" s="46"/>
      <c r="B14" s="47"/>
      <c r="C14" s="252"/>
      <c r="D14" s="252"/>
      <c r="E14" s="252"/>
      <c r="F14" s="252"/>
    </row>
    <row r="15" spans="1:6" s="48" customFormat="1" ht="24" x14ac:dyDescent="0.25">
      <c r="A15" s="46" t="s">
        <v>120</v>
      </c>
      <c r="B15" s="47"/>
      <c r="C15" s="253">
        <f>SUM(C16:C19)</f>
        <v>5427152.8099999996</v>
      </c>
      <c r="D15" s="253">
        <f>SUM(D16:D19)</f>
        <v>259070182.22999999</v>
      </c>
      <c r="E15" s="252"/>
      <c r="F15" s="253">
        <f t="shared" ref="F15:F17" si="0">+C15+D15</f>
        <v>264497335.03999999</v>
      </c>
    </row>
    <row r="16" spans="1:6" s="48" customFormat="1" ht="16.5" customHeight="1" x14ac:dyDescent="0.25">
      <c r="A16" s="49" t="s">
        <v>54</v>
      </c>
      <c r="B16" s="47"/>
      <c r="C16" s="868"/>
      <c r="D16" s="868">
        <f>259070182.23</f>
        <v>259070182.22999999</v>
      </c>
      <c r="E16" s="252"/>
      <c r="F16" s="252">
        <f t="shared" si="0"/>
        <v>259070182.22999999</v>
      </c>
    </row>
    <row r="17" spans="1:8" s="48" customFormat="1" ht="16.5" customHeight="1" x14ac:dyDescent="0.25">
      <c r="A17" s="49" t="s">
        <v>102</v>
      </c>
      <c r="B17" s="50"/>
      <c r="C17" s="868">
        <v>5427152.8099999996</v>
      </c>
      <c r="D17" s="869"/>
      <c r="E17" s="253"/>
      <c r="F17" s="252">
        <f t="shared" si="0"/>
        <v>5427152.8099999996</v>
      </c>
    </row>
    <row r="18" spans="1:8" s="48" customFormat="1" ht="16.5" customHeight="1" x14ac:dyDescent="0.25">
      <c r="A18" s="49" t="s">
        <v>103</v>
      </c>
      <c r="B18" s="47"/>
      <c r="C18" s="252"/>
      <c r="D18" s="252"/>
      <c r="E18" s="252"/>
      <c r="F18" s="252"/>
    </row>
    <row r="19" spans="1:8" s="48" customFormat="1" ht="16.5" customHeight="1" x14ac:dyDescent="0.25">
      <c r="A19" s="49" t="s">
        <v>104</v>
      </c>
      <c r="B19" s="47"/>
      <c r="C19" s="252"/>
      <c r="D19" s="252"/>
      <c r="E19" s="252"/>
      <c r="F19" s="252"/>
    </row>
    <row r="20" spans="1:8" s="48" customFormat="1" ht="16.5" customHeight="1" x14ac:dyDescent="0.25">
      <c r="A20" s="46"/>
      <c r="B20" s="47"/>
      <c r="C20" s="252"/>
      <c r="D20" s="252"/>
      <c r="E20" s="252"/>
      <c r="F20" s="252"/>
    </row>
    <row r="21" spans="1:8" s="48" customFormat="1" ht="16.5" customHeight="1" x14ac:dyDescent="0.25">
      <c r="A21" s="46" t="s">
        <v>583</v>
      </c>
      <c r="B21" s="47"/>
      <c r="C21" s="253">
        <f>SUM(C8+C10+C15)</f>
        <v>-57128385.269999996</v>
      </c>
      <c r="D21" s="253">
        <f t="shared" ref="D21" si="1">SUM(D8+D10+D15)</f>
        <v>0</v>
      </c>
      <c r="E21" s="253">
        <f t="shared" ref="E21" si="2">SUM(E8+E10+E15)</f>
        <v>0</v>
      </c>
      <c r="F21" s="253">
        <f>SUM(F8+F10+F15)</f>
        <v>-57128385.270000011</v>
      </c>
      <c r="G21" s="870"/>
    </row>
    <row r="22" spans="1:8" s="48" customFormat="1" ht="16.5" customHeight="1" x14ac:dyDescent="0.25">
      <c r="A22" s="46"/>
      <c r="B22" s="47"/>
      <c r="C22" s="252"/>
      <c r="D22" s="252"/>
      <c r="E22" s="252"/>
      <c r="F22" s="252"/>
    </row>
    <row r="23" spans="1:8" s="48" customFormat="1" ht="24" x14ac:dyDescent="0.25">
      <c r="A23" s="46" t="s">
        <v>121</v>
      </c>
      <c r="B23" s="47"/>
      <c r="C23" s="252"/>
      <c r="D23" s="252"/>
      <c r="E23" s="252"/>
      <c r="F23" s="252"/>
    </row>
    <row r="24" spans="1:8" s="48" customFormat="1" ht="16.5" customHeight="1" x14ac:dyDescent="0.25">
      <c r="A24" s="49" t="s">
        <v>36</v>
      </c>
      <c r="B24" s="47"/>
      <c r="C24" s="252"/>
      <c r="D24" s="252"/>
      <c r="E24" s="252"/>
      <c r="F24" s="252"/>
    </row>
    <row r="25" spans="1:8" s="48" customFormat="1" ht="16.5" customHeight="1" x14ac:dyDescent="0.25">
      <c r="A25" s="49" t="s">
        <v>97</v>
      </c>
      <c r="B25" s="47"/>
      <c r="C25" s="252"/>
      <c r="D25" s="252"/>
      <c r="E25" s="252"/>
      <c r="F25" s="252"/>
    </row>
    <row r="26" spans="1:8" s="48" customFormat="1" ht="16.5" customHeight="1" x14ac:dyDescent="0.25">
      <c r="A26" s="49" t="s">
        <v>99</v>
      </c>
      <c r="B26" s="47"/>
      <c r="C26" s="252"/>
      <c r="D26" s="252"/>
      <c r="E26" s="252"/>
      <c r="F26" s="252"/>
    </row>
    <row r="27" spans="1:8" s="48" customFormat="1" ht="16.5" customHeight="1" x14ac:dyDescent="0.25">
      <c r="A27" s="46"/>
      <c r="B27" s="47"/>
      <c r="C27" s="252"/>
      <c r="D27" s="252"/>
      <c r="E27" s="252"/>
      <c r="F27" s="252"/>
    </row>
    <row r="28" spans="1:8" s="48" customFormat="1" ht="24" x14ac:dyDescent="0.25">
      <c r="A28" s="46" t="s">
        <v>120</v>
      </c>
      <c r="B28" s="47"/>
      <c r="C28" s="253">
        <f>SUM(C29:C32)</f>
        <v>259070182.22999999</v>
      </c>
      <c r="D28" s="253">
        <f>SUM(D29:D32)</f>
        <v>468588726.12</v>
      </c>
      <c r="E28" s="252"/>
      <c r="F28" s="253">
        <f>+C28+D28</f>
        <v>727658908.35000002</v>
      </c>
      <c r="G28" s="870"/>
    </row>
    <row r="29" spans="1:8" s="48" customFormat="1" ht="16.5" customHeight="1" x14ac:dyDescent="0.25">
      <c r="A29" s="49" t="s">
        <v>54</v>
      </c>
      <c r="B29" s="47"/>
      <c r="C29" s="252"/>
      <c r="D29" s="252">
        <v>468588726.12</v>
      </c>
      <c r="E29" s="252"/>
      <c r="F29" s="252">
        <f>SUM(C29:D29)</f>
        <v>468588726.12</v>
      </c>
      <c r="H29" s="870"/>
    </row>
    <row r="30" spans="1:8" s="48" customFormat="1" ht="16.5" customHeight="1" x14ac:dyDescent="0.25">
      <c r="A30" s="49" t="s">
        <v>102</v>
      </c>
      <c r="B30" s="50"/>
      <c r="C30" s="252">
        <f>+D16</f>
        <v>259070182.22999999</v>
      </c>
      <c r="D30" s="253"/>
      <c r="E30" s="253"/>
      <c r="F30" s="252">
        <f>SUM(C30:D30)</f>
        <v>259070182.22999999</v>
      </c>
    </row>
    <row r="31" spans="1:8" s="48" customFormat="1" ht="16.5" customHeight="1" x14ac:dyDescent="0.25">
      <c r="A31" s="49" t="s">
        <v>103</v>
      </c>
      <c r="B31" s="47"/>
      <c r="C31" s="252"/>
      <c r="D31" s="252"/>
      <c r="E31" s="252"/>
      <c r="F31" s="252"/>
      <c r="G31" s="870"/>
    </row>
    <row r="32" spans="1:8" s="48" customFormat="1" ht="16.5" customHeight="1" x14ac:dyDescent="0.25">
      <c r="A32" s="49" t="s">
        <v>104</v>
      </c>
      <c r="B32" s="47"/>
      <c r="C32" s="252"/>
      <c r="D32" s="252"/>
      <c r="E32" s="252"/>
      <c r="F32" s="252"/>
    </row>
    <row r="33" spans="1:7" s="48" customFormat="1" ht="16.5" customHeight="1" x14ac:dyDescent="0.25">
      <c r="A33" s="46"/>
      <c r="B33" s="50"/>
      <c r="C33" s="253"/>
      <c r="D33" s="253"/>
      <c r="E33" s="253"/>
      <c r="F33" s="253"/>
    </row>
    <row r="34" spans="1:7" s="48" customFormat="1" ht="16.5" customHeight="1" x14ac:dyDescent="0.25">
      <c r="A34" s="46" t="s">
        <v>584</v>
      </c>
      <c r="B34" s="50"/>
      <c r="C34" s="253">
        <f>+C15+C28</f>
        <v>264497335.03999999</v>
      </c>
      <c r="D34" s="253">
        <f t="shared" ref="D34:E34" si="3">+D15+D28</f>
        <v>727658908.35000002</v>
      </c>
      <c r="E34" s="253">
        <f t="shared" si="3"/>
        <v>0</v>
      </c>
      <c r="F34" s="253">
        <f>+F28+F21</f>
        <v>670530523.08000004</v>
      </c>
      <c r="G34" s="870"/>
    </row>
    <row r="35" spans="1:7" s="45" customFormat="1" ht="16.5" customHeight="1" thickBot="1" x14ac:dyDescent="0.3">
      <c r="A35" s="51"/>
      <c r="B35" s="52"/>
      <c r="C35" s="254"/>
      <c r="D35" s="254"/>
      <c r="E35" s="254"/>
      <c r="F35" s="254"/>
    </row>
    <row r="41" spans="1:7" x14ac:dyDescent="0.25">
      <c r="A41" s="721" t="s">
        <v>1834</v>
      </c>
      <c r="B41" s="722" t="s">
        <v>1830</v>
      </c>
      <c r="C41" s="722"/>
      <c r="D41" s="723"/>
      <c r="E41" s="724"/>
    </row>
    <row r="42" spans="1:7" x14ac:dyDescent="0.25">
      <c r="A42" s="721" t="s">
        <v>1831</v>
      </c>
      <c r="B42" s="722" t="s">
        <v>1832</v>
      </c>
      <c r="C42" s="722"/>
      <c r="D42" s="722"/>
      <c r="E42" s="721"/>
    </row>
    <row r="43" spans="1:7" x14ac:dyDescent="0.25">
      <c r="A43" s="724"/>
      <c r="B43" s="723"/>
      <c r="C43" s="723"/>
      <c r="D43" s="723"/>
      <c r="E43" s="724"/>
    </row>
    <row r="44" spans="1:7" x14ac:dyDescent="0.25">
      <c r="A44" s="719" t="s">
        <v>1833</v>
      </c>
      <c r="B44" s="723"/>
      <c r="C44" s="723"/>
      <c r="D44" s="723"/>
      <c r="E44" s="724"/>
    </row>
    <row r="45" spans="1:7" x14ac:dyDescent="0.25">
      <c r="A45" s="720" t="s">
        <v>1835</v>
      </c>
      <c r="B45" s="723"/>
      <c r="C45" s="723"/>
      <c r="D45" s="723"/>
      <c r="E45" s="724"/>
    </row>
  </sheetData>
  <mergeCells count="5">
    <mergeCell ref="A4:F4"/>
    <mergeCell ref="A2:F2"/>
    <mergeCell ref="A3:F3"/>
    <mergeCell ref="A1:F1"/>
    <mergeCell ref="A5:F5"/>
  </mergeCells>
  <pageMargins left="0.15748031496062992" right="0.15748031496062992" top="0.74803149606299213" bottom="0.74803149606299213" header="0.31496062992125984" footer="0.31496062992125984"/>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A73"/>
  <sheetViews>
    <sheetView workbookViewId="0">
      <selection activeCell="D5" sqref="D5"/>
    </sheetView>
  </sheetViews>
  <sheetFormatPr baseColWidth="10" defaultRowHeight="15" x14ac:dyDescent="0.25"/>
  <cols>
    <col min="1" max="1" width="68.42578125" style="54" customWidth="1"/>
    <col min="2" max="2" width="17" style="54" customWidth="1"/>
    <col min="3" max="3" width="22" style="54" customWidth="1"/>
    <col min="4" max="4" width="16.85546875" style="832" bestFit="1" customWidth="1"/>
    <col min="5" max="5" width="16.85546875" style="918" bestFit="1" customWidth="1"/>
    <col min="6" max="7" width="16.85546875" style="832" bestFit="1" customWidth="1"/>
    <col min="8" max="27" width="11.42578125" style="826"/>
    <col min="28" max="16384" width="11.42578125" style="54"/>
  </cols>
  <sheetData>
    <row r="1" spans="1:27" s="55" customFormat="1" x14ac:dyDescent="0.25">
      <c r="A1" s="942" t="s">
        <v>167</v>
      </c>
      <c r="B1" s="942"/>
      <c r="C1" s="942"/>
      <c r="D1" s="832"/>
      <c r="E1" s="832"/>
      <c r="F1" s="832"/>
      <c r="G1" s="832"/>
      <c r="H1" s="826"/>
      <c r="I1" s="826"/>
      <c r="J1" s="826"/>
      <c r="K1" s="826"/>
      <c r="L1" s="826"/>
      <c r="M1" s="826"/>
      <c r="N1" s="826"/>
      <c r="O1" s="826"/>
      <c r="P1" s="826"/>
      <c r="Q1" s="826"/>
      <c r="R1" s="826"/>
      <c r="S1" s="826"/>
      <c r="T1" s="826"/>
      <c r="U1" s="826"/>
      <c r="V1" s="826"/>
      <c r="W1" s="826"/>
      <c r="X1" s="826"/>
      <c r="Y1" s="826"/>
      <c r="Z1" s="826"/>
      <c r="AA1" s="826"/>
    </row>
    <row r="2" spans="1:27" s="39" customFormat="1" ht="15.75" x14ac:dyDescent="0.25">
      <c r="A2" s="936" t="s">
        <v>123</v>
      </c>
      <c r="B2" s="936"/>
      <c r="C2" s="936"/>
      <c r="D2" s="28"/>
      <c r="E2" s="28"/>
      <c r="F2" s="28"/>
      <c r="G2" s="28"/>
      <c r="H2" s="827"/>
      <c r="I2" s="827"/>
      <c r="J2" s="827"/>
      <c r="K2" s="827"/>
      <c r="L2" s="827"/>
      <c r="M2" s="827"/>
      <c r="N2" s="827"/>
      <c r="O2" s="827"/>
      <c r="P2" s="827"/>
      <c r="Q2" s="827"/>
      <c r="R2" s="827"/>
      <c r="S2" s="827"/>
      <c r="T2" s="827"/>
      <c r="U2" s="827"/>
      <c r="V2" s="827"/>
      <c r="W2" s="827"/>
      <c r="X2" s="827"/>
      <c r="Y2" s="827"/>
      <c r="Z2" s="827"/>
      <c r="AA2" s="827"/>
    </row>
    <row r="3" spans="1:27" s="39" customFormat="1" ht="15.75" x14ac:dyDescent="0.25">
      <c r="A3" s="936" t="s">
        <v>599</v>
      </c>
      <c r="B3" s="936"/>
      <c r="C3" s="936"/>
      <c r="D3" s="28"/>
      <c r="E3" s="28"/>
      <c r="F3" s="28"/>
      <c r="G3" s="28"/>
      <c r="H3" s="827"/>
      <c r="I3" s="827"/>
      <c r="J3" s="827"/>
      <c r="K3" s="827"/>
      <c r="L3" s="827"/>
      <c r="M3" s="827"/>
      <c r="N3" s="827"/>
      <c r="O3" s="827"/>
      <c r="P3" s="827"/>
      <c r="Q3" s="827"/>
      <c r="R3" s="827"/>
      <c r="S3" s="827"/>
      <c r="T3" s="827"/>
      <c r="U3" s="827"/>
      <c r="V3" s="827"/>
      <c r="W3" s="827"/>
      <c r="X3" s="827"/>
      <c r="Y3" s="827"/>
      <c r="Z3" s="827"/>
      <c r="AA3" s="827"/>
    </row>
    <row r="4" spans="1:27" s="39" customFormat="1" ht="15.75" x14ac:dyDescent="0.25">
      <c r="A4" s="936" t="s">
        <v>1840</v>
      </c>
      <c r="B4" s="936"/>
      <c r="C4" s="936"/>
      <c r="D4" s="28"/>
      <c r="E4" s="28"/>
      <c r="F4" s="28"/>
      <c r="G4" s="28"/>
      <c r="H4" s="827"/>
      <c r="I4" s="827"/>
      <c r="J4" s="827"/>
      <c r="K4" s="827"/>
      <c r="L4" s="827"/>
      <c r="M4" s="827"/>
      <c r="N4" s="827"/>
      <c r="O4" s="827"/>
      <c r="P4" s="827"/>
      <c r="Q4" s="827"/>
      <c r="R4" s="827"/>
      <c r="S4" s="827"/>
      <c r="T4" s="827"/>
      <c r="U4" s="827"/>
      <c r="V4" s="827"/>
      <c r="W4" s="827"/>
      <c r="X4" s="827"/>
      <c r="Y4" s="827"/>
      <c r="Z4" s="827"/>
      <c r="AA4" s="827"/>
    </row>
    <row r="5" spans="1:27" s="38" customFormat="1" ht="15.75" thickBot="1" x14ac:dyDescent="0.3">
      <c r="A5" s="940" t="s">
        <v>122</v>
      </c>
      <c r="B5" s="940"/>
      <c r="C5" s="940"/>
      <c r="D5" s="32"/>
      <c r="E5" s="914"/>
      <c r="F5" s="32"/>
      <c r="G5" s="32"/>
      <c r="H5" s="828"/>
      <c r="I5" s="828"/>
      <c r="J5" s="828"/>
      <c r="K5" s="828"/>
      <c r="L5" s="828"/>
      <c r="M5" s="828"/>
      <c r="N5" s="828"/>
      <c r="O5" s="828"/>
      <c r="P5" s="828"/>
      <c r="Q5" s="828"/>
      <c r="R5" s="828"/>
      <c r="S5" s="828"/>
      <c r="T5" s="828"/>
      <c r="U5" s="828"/>
      <c r="V5" s="828"/>
      <c r="W5" s="828"/>
      <c r="X5" s="828"/>
      <c r="Y5" s="828"/>
      <c r="Z5" s="828"/>
      <c r="AA5" s="828"/>
    </row>
    <row r="6" spans="1:27" s="56" customFormat="1" x14ac:dyDescent="0.2">
      <c r="A6" s="66"/>
      <c r="B6" s="67" t="s">
        <v>124</v>
      </c>
      <c r="C6" s="68" t="s">
        <v>125</v>
      </c>
      <c r="D6" s="833"/>
      <c r="E6" s="833"/>
      <c r="F6" s="833"/>
      <c r="G6" s="833"/>
      <c r="H6" s="829"/>
      <c r="I6" s="829"/>
      <c r="J6" s="829"/>
      <c r="K6" s="829"/>
      <c r="L6" s="829"/>
      <c r="M6" s="829"/>
      <c r="N6" s="829"/>
      <c r="O6" s="829"/>
      <c r="P6" s="829"/>
      <c r="Q6" s="829"/>
      <c r="R6" s="829"/>
      <c r="S6" s="829"/>
      <c r="T6" s="829"/>
      <c r="U6" s="829"/>
      <c r="V6" s="829"/>
      <c r="W6" s="829"/>
      <c r="X6" s="829"/>
      <c r="Y6" s="829"/>
      <c r="Z6" s="829"/>
      <c r="AA6" s="829"/>
    </row>
    <row r="7" spans="1:27" s="56" customFormat="1" ht="15.75" thickBot="1" x14ac:dyDescent="0.25">
      <c r="A7" s="57" t="s">
        <v>126</v>
      </c>
      <c r="B7" s="526"/>
      <c r="C7" s="498">
        <f>+C8+C17</f>
        <v>489287844.68999994</v>
      </c>
      <c r="D7" s="834"/>
      <c r="E7" s="833"/>
      <c r="F7" s="833"/>
      <c r="G7" s="833"/>
      <c r="H7" s="829"/>
      <c r="I7" s="829"/>
      <c r="J7" s="829"/>
      <c r="K7" s="829"/>
      <c r="L7" s="829"/>
      <c r="M7" s="829"/>
      <c r="N7" s="829"/>
      <c r="O7" s="829"/>
      <c r="P7" s="829"/>
      <c r="Q7" s="829"/>
      <c r="R7" s="829"/>
      <c r="S7" s="829"/>
      <c r="T7" s="829"/>
      <c r="U7" s="829"/>
      <c r="V7" s="829"/>
      <c r="W7" s="829"/>
      <c r="X7" s="829"/>
      <c r="Y7" s="829"/>
      <c r="Z7" s="829"/>
      <c r="AA7" s="829"/>
    </row>
    <row r="8" spans="1:27" s="56" customFormat="1" ht="15.75" thickTop="1" x14ac:dyDescent="0.2">
      <c r="A8" s="58" t="s">
        <v>58</v>
      </c>
      <c r="B8" s="279"/>
      <c r="C8" s="499">
        <f>+C9-B10-B11</f>
        <v>57711436.219999999</v>
      </c>
      <c r="D8" s="833"/>
      <c r="E8" s="915"/>
      <c r="F8" s="833"/>
      <c r="G8" s="833"/>
      <c r="H8" s="829"/>
      <c r="I8" s="829"/>
      <c r="J8" s="829"/>
      <c r="K8" s="829"/>
      <c r="L8" s="829"/>
      <c r="M8" s="829"/>
      <c r="N8" s="829"/>
      <c r="O8" s="829"/>
      <c r="P8" s="829"/>
      <c r="Q8" s="829"/>
      <c r="R8" s="829"/>
      <c r="S8" s="829"/>
      <c r="T8" s="829"/>
      <c r="U8" s="829"/>
      <c r="V8" s="829"/>
      <c r="W8" s="829"/>
      <c r="X8" s="829"/>
      <c r="Y8" s="829"/>
      <c r="Z8" s="829"/>
      <c r="AA8" s="829"/>
    </row>
    <row r="9" spans="1:27" s="56" customFormat="1" ht="14.25" x14ac:dyDescent="0.2">
      <c r="A9" s="59" t="s">
        <v>60</v>
      </c>
      <c r="B9" s="264"/>
      <c r="C9" s="265">
        <v>68010202.680000007</v>
      </c>
      <c r="D9" s="833"/>
      <c r="E9" s="915"/>
      <c r="F9" s="834"/>
      <c r="G9" s="834"/>
      <c r="H9" s="829"/>
      <c r="I9" s="829"/>
      <c r="J9" s="829"/>
      <c r="K9" s="829"/>
      <c r="L9" s="829"/>
      <c r="M9" s="829"/>
      <c r="N9" s="829"/>
      <c r="O9" s="829"/>
      <c r="P9" s="829"/>
      <c r="Q9" s="829"/>
      <c r="R9" s="829"/>
      <c r="S9" s="829"/>
      <c r="T9" s="829"/>
      <c r="U9" s="829"/>
      <c r="V9" s="829"/>
      <c r="W9" s="829"/>
      <c r="X9" s="829"/>
      <c r="Y9" s="829"/>
      <c r="Z9" s="829"/>
      <c r="AA9" s="829"/>
    </row>
    <row r="10" spans="1:27" s="56" customFormat="1" ht="14.25" x14ac:dyDescent="0.2">
      <c r="A10" s="59" t="s">
        <v>62</v>
      </c>
      <c r="B10" s="264">
        <v>229554.29</v>
      </c>
      <c r="C10" s="265"/>
      <c r="D10" s="833"/>
      <c r="E10" s="915"/>
      <c r="F10" s="834"/>
      <c r="G10" s="834"/>
      <c r="H10" s="829"/>
      <c r="I10" s="829"/>
      <c r="J10" s="829"/>
      <c r="K10" s="829"/>
      <c r="L10" s="829"/>
      <c r="M10" s="829"/>
      <c r="N10" s="829"/>
      <c r="O10" s="829"/>
      <c r="P10" s="829"/>
      <c r="Q10" s="829"/>
      <c r="R10" s="829"/>
      <c r="S10" s="829"/>
      <c r="T10" s="829"/>
      <c r="U10" s="829"/>
      <c r="V10" s="829"/>
      <c r="W10" s="829"/>
      <c r="X10" s="829"/>
      <c r="Y10" s="829"/>
      <c r="Z10" s="829"/>
      <c r="AA10" s="829"/>
    </row>
    <row r="11" spans="1:27" s="56" customFormat="1" ht="14.25" x14ac:dyDescent="0.2">
      <c r="A11" s="59" t="s">
        <v>64</v>
      </c>
      <c r="B11" s="264">
        <v>10069212.17</v>
      </c>
      <c r="C11" s="265"/>
      <c r="D11" s="833"/>
      <c r="E11" s="915"/>
      <c r="F11" s="834"/>
      <c r="G11" s="834"/>
      <c r="H11" s="829"/>
      <c r="I11" s="829"/>
      <c r="J11" s="829"/>
      <c r="K11" s="829"/>
      <c r="L11" s="829"/>
      <c r="M11" s="829"/>
      <c r="N11" s="829"/>
      <c r="O11" s="829"/>
      <c r="P11" s="829"/>
      <c r="Q11" s="829"/>
      <c r="R11" s="829"/>
      <c r="S11" s="829"/>
      <c r="T11" s="829"/>
      <c r="U11" s="829"/>
      <c r="V11" s="829"/>
      <c r="W11" s="829"/>
      <c r="X11" s="829"/>
      <c r="Y11" s="829"/>
      <c r="Z11" s="829"/>
      <c r="AA11" s="829"/>
    </row>
    <row r="12" spans="1:27" s="56" customFormat="1" ht="14.25" x14ac:dyDescent="0.2">
      <c r="A12" s="59" t="s">
        <v>127</v>
      </c>
      <c r="B12" s="264"/>
      <c r="C12" s="265"/>
      <c r="D12" s="833"/>
      <c r="E12" s="915"/>
      <c r="F12" s="833"/>
      <c r="G12" s="833"/>
      <c r="H12" s="829"/>
      <c r="I12" s="829"/>
      <c r="J12" s="829"/>
      <c r="K12" s="829"/>
      <c r="L12" s="829"/>
      <c r="M12" s="829"/>
      <c r="N12" s="829"/>
      <c r="O12" s="829"/>
      <c r="P12" s="829"/>
      <c r="Q12" s="829"/>
      <c r="R12" s="829"/>
      <c r="S12" s="829"/>
      <c r="T12" s="829"/>
      <c r="U12" s="829"/>
      <c r="V12" s="829"/>
      <c r="W12" s="829"/>
      <c r="X12" s="829"/>
      <c r="Y12" s="829"/>
      <c r="Z12" s="829"/>
      <c r="AA12" s="829"/>
    </row>
    <row r="13" spans="1:27" s="56" customFormat="1" x14ac:dyDescent="0.2">
      <c r="A13" s="59" t="s">
        <v>68</v>
      </c>
      <c r="B13" s="266"/>
      <c r="C13" s="267"/>
      <c r="D13" s="833"/>
      <c r="E13" s="915"/>
      <c r="F13" s="833"/>
      <c r="G13" s="833"/>
      <c r="H13" s="829"/>
      <c r="I13" s="829"/>
      <c r="J13" s="829"/>
      <c r="K13" s="829"/>
      <c r="L13" s="829"/>
      <c r="M13" s="829"/>
      <c r="N13" s="829"/>
      <c r="O13" s="829"/>
      <c r="P13" s="829"/>
      <c r="Q13" s="829"/>
      <c r="R13" s="829"/>
      <c r="S13" s="829"/>
      <c r="T13" s="829"/>
      <c r="U13" s="829"/>
      <c r="V13" s="829"/>
      <c r="W13" s="829"/>
      <c r="X13" s="829"/>
      <c r="Y13" s="829"/>
      <c r="Z13" s="829"/>
      <c r="AA13" s="829"/>
    </row>
    <row r="14" spans="1:27" s="56" customFormat="1" x14ac:dyDescent="0.2">
      <c r="A14" s="59" t="s">
        <v>70</v>
      </c>
      <c r="B14" s="266"/>
      <c r="C14" s="267"/>
      <c r="D14" s="833"/>
      <c r="E14" s="915"/>
      <c r="F14" s="833"/>
      <c r="G14" s="833"/>
      <c r="H14" s="829"/>
      <c r="I14" s="829"/>
      <c r="J14" s="829"/>
      <c r="K14" s="829"/>
      <c r="L14" s="829"/>
      <c r="M14" s="829"/>
      <c r="N14" s="829"/>
      <c r="O14" s="829"/>
      <c r="P14" s="829"/>
      <c r="Q14" s="829"/>
      <c r="R14" s="829"/>
      <c r="S14" s="829"/>
      <c r="T14" s="829"/>
      <c r="U14" s="829"/>
      <c r="V14" s="829"/>
      <c r="W14" s="829"/>
      <c r="X14" s="829"/>
      <c r="Y14" s="829"/>
      <c r="Z14" s="829"/>
      <c r="AA14" s="829"/>
    </row>
    <row r="15" spans="1:27" s="56" customFormat="1" x14ac:dyDescent="0.2">
      <c r="A15" s="59" t="s">
        <v>72</v>
      </c>
      <c r="B15" s="266"/>
      <c r="C15" s="267"/>
      <c r="D15" s="833"/>
      <c r="E15" s="915"/>
      <c r="F15" s="833"/>
      <c r="G15" s="833"/>
      <c r="H15" s="829"/>
      <c r="I15" s="829"/>
      <c r="J15" s="829"/>
      <c r="K15" s="829"/>
      <c r="L15" s="829"/>
      <c r="M15" s="829"/>
      <c r="N15" s="829"/>
      <c r="O15" s="829"/>
      <c r="P15" s="829"/>
      <c r="Q15" s="829"/>
      <c r="R15" s="829"/>
      <c r="S15" s="829"/>
      <c r="T15" s="829"/>
      <c r="U15" s="829"/>
      <c r="V15" s="829"/>
      <c r="W15" s="829"/>
      <c r="X15" s="829"/>
      <c r="Y15" s="829"/>
      <c r="Z15" s="829"/>
      <c r="AA15" s="829"/>
    </row>
    <row r="16" spans="1:27" s="56" customFormat="1" ht="5.25" customHeight="1" x14ac:dyDescent="0.2">
      <c r="A16" s="57"/>
      <c r="B16" s="266"/>
      <c r="C16" s="267"/>
      <c r="D16" s="833"/>
      <c r="E16" s="915"/>
      <c r="F16" s="833"/>
      <c r="G16" s="833"/>
      <c r="H16" s="829"/>
      <c r="I16" s="829"/>
      <c r="J16" s="829"/>
      <c r="K16" s="829"/>
      <c r="L16" s="829"/>
      <c r="M16" s="829"/>
      <c r="N16" s="829"/>
      <c r="O16" s="829"/>
      <c r="P16" s="829"/>
      <c r="Q16" s="829"/>
      <c r="R16" s="829"/>
      <c r="S16" s="829"/>
      <c r="T16" s="829"/>
      <c r="U16" s="829"/>
      <c r="V16" s="829"/>
      <c r="W16" s="829"/>
      <c r="X16" s="829"/>
      <c r="Y16" s="829"/>
      <c r="Z16" s="829"/>
      <c r="AA16" s="829"/>
    </row>
    <row r="17" spans="1:27" s="56" customFormat="1" ht="14.25" x14ac:dyDescent="0.2">
      <c r="A17" s="58" t="s">
        <v>75</v>
      </c>
      <c r="B17" s="268"/>
      <c r="C17" s="269">
        <f>+C20-B21-B23</f>
        <v>431576408.46999997</v>
      </c>
      <c r="D17" s="833"/>
      <c r="E17" s="915"/>
      <c r="F17" s="833"/>
      <c r="G17" s="833"/>
      <c r="H17" s="829"/>
      <c r="I17" s="829"/>
      <c r="J17" s="829"/>
      <c r="K17" s="829"/>
      <c r="L17" s="829"/>
      <c r="M17" s="829"/>
      <c r="N17" s="829"/>
      <c r="O17" s="829"/>
      <c r="P17" s="829"/>
      <c r="Q17" s="829"/>
      <c r="R17" s="829"/>
      <c r="S17" s="829"/>
      <c r="T17" s="829"/>
      <c r="U17" s="829"/>
      <c r="V17" s="829"/>
      <c r="W17" s="829"/>
      <c r="X17" s="829"/>
      <c r="Y17" s="829"/>
      <c r="Z17" s="829"/>
      <c r="AA17" s="829"/>
    </row>
    <row r="18" spans="1:27" s="56" customFormat="1" x14ac:dyDescent="0.2">
      <c r="A18" s="59" t="s">
        <v>77</v>
      </c>
      <c r="B18" s="266"/>
      <c r="C18" s="267"/>
      <c r="D18" s="833"/>
      <c r="E18" s="915"/>
      <c r="F18" s="833"/>
      <c r="G18" s="833"/>
      <c r="H18" s="829"/>
      <c r="I18" s="829"/>
      <c r="J18" s="829"/>
      <c r="K18" s="829"/>
      <c r="L18" s="829"/>
      <c r="M18" s="829"/>
      <c r="N18" s="829"/>
      <c r="O18" s="829"/>
      <c r="P18" s="829"/>
      <c r="Q18" s="829"/>
      <c r="R18" s="829"/>
      <c r="S18" s="829"/>
      <c r="T18" s="829"/>
      <c r="U18" s="829"/>
      <c r="V18" s="829"/>
      <c r="W18" s="829"/>
      <c r="X18" s="829"/>
      <c r="Y18" s="829"/>
      <c r="Z18" s="829"/>
      <c r="AA18" s="829"/>
    </row>
    <row r="19" spans="1:27" s="56" customFormat="1" x14ac:dyDescent="0.2">
      <c r="A19" s="59" t="s">
        <v>79</v>
      </c>
      <c r="B19" s="266"/>
      <c r="C19" s="267"/>
      <c r="D19" s="833"/>
      <c r="E19" s="915"/>
      <c r="F19" s="833"/>
      <c r="G19" s="833"/>
      <c r="H19" s="829"/>
      <c r="I19" s="829"/>
      <c r="J19" s="829"/>
      <c r="K19" s="829"/>
      <c r="L19" s="829"/>
      <c r="M19" s="829"/>
      <c r="N19" s="829"/>
      <c r="O19" s="829"/>
      <c r="P19" s="829"/>
      <c r="Q19" s="829"/>
      <c r="R19" s="829"/>
      <c r="S19" s="829"/>
      <c r="T19" s="829"/>
      <c r="U19" s="829"/>
      <c r="V19" s="829"/>
      <c r="W19" s="829"/>
      <c r="X19" s="829"/>
      <c r="Y19" s="829"/>
      <c r="Z19" s="829"/>
      <c r="AA19" s="829"/>
    </row>
    <row r="20" spans="1:27" s="56" customFormat="1" x14ac:dyDescent="0.2">
      <c r="A20" s="59" t="s">
        <v>82</v>
      </c>
      <c r="B20" s="266"/>
      <c r="C20" s="265">
        <v>431862132.83999997</v>
      </c>
      <c r="D20" s="833"/>
      <c r="E20" s="915"/>
      <c r="F20" s="834"/>
      <c r="G20" s="834"/>
      <c r="H20" s="829"/>
      <c r="I20" s="829"/>
      <c r="J20" s="829"/>
      <c r="K20" s="829"/>
      <c r="L20" s="829"/>
      <c r="M20" s="829"/>
      <c r="N20" s="829"/>
      <c r="O20" s="829"/>
      <c r="P20" s="829"/>
      <c r="Q20" s="829"/>
      <c r="R20" s="829"/>
      <c r="S20" s="829"/>
      <c r="T20" s="829"/>
      <c r="U20" s="829"/>
      <c r="V20" s="829"/>
      <c r="W20" s="829"/>
      <c r="X20" s="829"/>
      <c r="Y20" s="829"/>
      <c r="Z20" s="829"/>
      <c r="AA20" s="829"/>
    </row>
    <row r="21" spans="1:27" s="56" customFormat="1" ht="14.25" x14ac:dyDescent="0.2">
      <c r="A21" s="59" t="s">
        <v>85</v>
      </c>
      <c r="B21" s="264">
        <v>57360.74</v>
      </c>
      <c r="C21" s="265"/>
      <c r="D21" s="833"/>
      <c r="E21" s="915"/>
      <c r="F21" s="834"/>
      <c r="G21" s="834"/>
      <c r="H21" s="829"/>
      <c r="I21" s="829"/>
      <c r="J21" s="829"/>
      <c r="K21" s="829"/>
      <c r="L21" s="829"/>
      <c r="M21" s="829"/>
      <c r="N21" s="829"/>
      <c r="O21" s="829"/>
      <c r="P21" s="829"/>
      <c r="Q21" s="829"/>
      <c r="R21" s="829"/>
      <c r="S21" s="829"/>
      <c r="T21" s="829"/>
      <c r="U21" s="829"/>
      <c r="V21" s="829"/>
      <c r="W21" s="829"/>
      <c r="X21" s="829"/>
      <c r="Y21" s="829"/>
      <c r="Z21" s="829"/>
      <c r="AA21" s="829"/>
    </row>
    <row r="22" spans="1:27" s="56" customFormat="1" x14ac:dyDescent="0.2">
      <c r="A22" s="59" t="s">
        <v>86</v>
      </c>
      <c r="B22" s="266"/>
      <c r="C22" s="267"/>
      <c r="D22" s="833"/>
      <c r="E22" s="915"/>
      <c r="F22" s="833"/>
      <c r="G22" s="833"/>
      <c r="H22" s="829"/>
      <c r="I22" s="829"/>
      <c r="J22" s="829"/>
      <c r="K22" s="829"/>
      <c r="L22" s="829"/>
      <c r="M22" s="829"/>
      <c r="N22" s="829"/>
      <c r="O22" s="829"/>
      <c r="P22" s="829"/>
      <c r="Q22" s="829"/>
      <c r="R22" s="829"/>
      <c r="S22" s="829"/>
      <c r="T22" s="829"/>
      <c r="U22" s="829"/>
      <c r="V22" s="829"/>
      <c r="W22" s="829"/>
      <c r="X22" s="829"/>
      <c r="Y22" s="829"/>
      <c r="Z22" s="829"/>
      <c r="AA22" s="829"/>
    </row>
    <row r="23" spans="1:27" s="56" customFormat="1" ht="14.25" x14ac:dyDescent="0.2">
      <c r="A23" s="59" t="s">
        <v>88</v>
      </c>
      <c r="B23" s="264">
        <v>228363.63</v>
      </c>
      <c r="C23" s="809"/>
      <c r="D23" s="833"/>
      <c r="E23" s="915"/>
      <c r="F23" s="834"/>
      <c r="G23" s="834"/>
      <c r="H23" s="829"/>
      <c r="I23" s="829"/>
      <c r="J23" s="829"/>
      <c r="K23" s="829"/>
      <c r="L23" s="829"/>
      <c r="M23" s="829"/>
      <c r="N23" s="829"/>
      <c r="O23" s="829"/>
      <c r="P23" s="829"/>
      <c r="Q23" s="829"/>
      <c r="R23" s="829"/>
      <c r="S23" s="829"/>
      <c r="T23" s="829"/>
      <c r="U23" s="829"/>
      <c r="V23" s="829"/>
      <c r="W23" s="829"/>
      <c r="X23" s="829"/>
      <c r="Y23" s="829"/>
      <c r="Z23" s="829"/>
      <c r="AA23" s="829"/>
    </row>
    <row r="24" spans="1:27" s="56" customFormat="1" x14ac:dyDescent="0.2">
      <c r="A24" s="59" t="s">
        <v>89</v>
      </c>
      <c r="B24" s="266"/>
      <c r="C24" s="267"/>
      <c r="D24" s="833"/>
      <c r="E24" s="833"/>
      <c r="F24" s="833"/>
      <c r="G24" s="833"/>
      <c r="H24" s="829"/>
      <c r="I24" s="829"/>
      <c r="J24" s="829"/>
      <c r="K24" s="829"/>
      <c r="L24" s="829"/>
      <c r="M24" s="829"/>
      <c r="N24" s="829"/>
      <c r="O24" s="829"/>
      <c r="P24" s="829"/>
      <c r="Q24" s="829"/>
      <c r="R24" s="829"/>
      <c r="S24" s="829"/>
      <c r="T24" s="829"/>
      <c r="U24" s="829"/>
      <c r="V24" s="829"/>
      <c r="W24" s="829"/>
      <c r="X24" s="829"/>
      <c r="Y24" s="829"/>
      <c r="Z24" s="829"/>
      <c r="AA24" s="829"/>
    </row>
    <row r="25" spans="1:27" s="56" customFormat="1" x14ac:dyDescent="0.2">
      <c r="A25" s="59" t="s">
        <v>91</v>
      </c>
      <c r="B25" s="266"/>
      <c r="C25" s="267"/>
      <c r="D25" s="833"/>
      <c r="E25" s="833"/>
      <c r="F25" s="833"/>
      <c r="G25" s="833"/>
      <c r="H25" s="829"/>
      <c r="I25" s="829"/>
      <c r="J25" s="829"/>
      <c r="K25" s="829"/>
      <c r="L25" s="829"/>
      <c r="M25" s="829"/>
      <c r="N25" s="829"/>
      <c r="O25" s="829"/>
      <c r="P25" s="829"/>
      <c r="Q25" s="829"/>
      <c r="R25" s="829"/>
      <c r="S25" s="829"/>
      <c r="T25" s="829"/>
      <c r="U25" s="829"/>
      <c r="V25" s="829"/>
      <c r="W25" s="829"/>
      <c r="X25" s="829"/>
      <c r="Y25" s="829"/>
      <c r="Z25" s="829"/>
      <c r="AA25" s="829"/>
    </row>
    <row r="26" spans="1:27" s="56" customFormat="1" x14ac:dyDescent="0.2">
      <c r="A26" s="59" t="s">
        <v>93</v>
      </c>
      <c r="B26" s="266"/>
      <c r="C26" s="267"/>
      <c r="D26" s="833"/>
      <c r="E26" s="833"/>
      <c r="F26" s="833"/>
      <c r="G26" s="833"/>
      <c r="H26" s="829"/>
      <c r="I26" s="829"/>
      <c r="J26" s="829"/>
      <c r="K26" s="829"/>
      <c r="L26" s="829"/>
      <c r="M26" s="829"/>
      <c r="N26" s="829"/>
      <c r="O26" s="829"/>
      <c r="P26" s="829"/>
      <c r="Q26" s="829"/>
      <c r="R26" s="829"/>
      <c r="S26" s="829"/>
      <c r="T26" s="829"/>
      <c r="U26" s="829"/>
      <c r="V26" s="829"/>
      <c r="W26" s="829"/>
      <c r="X26" s="829"/>
      <c r="Y26" s="829"/>
      <c r="Z26" s="829"/>
      <c r="AA26" s="829"/>
    </row>
    <row r="27" spans="1:27" s="56" customFormat="1" ht="6.75" customHeight="1" x14ac:dyDescent="0.2">
      <c r="A27" s="60"/>
      <c r="B27" s="266"/>
      <c r="C27" s="267"/>
      <c r="D27" s="833"/>
      <c r="E27" s="833"/>
      <c r="F27" s="833"/>
      <c r="G27" s="833"/>
      <c r="H27" s="829"/>
      <c r="I27" s="829"/>
      <c r="J27" s="829"/>
      <c r="K27" s="829"/>
      <c r="L27" s="829"/>
      <c r="M27" s="829"/>
      <c r="N27" s="829"/>
      <c r="O27" s="829"/>
      <c r="P27" s="829"/>
      <c r="Q27" s="829"/>
      <c r="R27" s="829"/>
      <c r="S27" s="829"/>
      <c r="T27" s="829"/>
      <c r="U27" s="829"/>
      <c r="V27" s="829"/>
      <c r="W27" s="829"/>
      <c r="X27" s="829"/>
      <c r="Y27" s="829"/>
      <c r="Z27" s="829"/>
      <c r="AA27" s="829"/>
    </row>
    <row r="28" spans="1:27" s="56" customFormat="1" ht="15.75" thickBot="1" x14ac:dyDescent="0.3">
      <c r="A28" s="57" t="s">
        <v>128</v>
      </c>
      <c r="B28" s="266">
        <f>+B29</f>
        <v>83254656.650000006</v>
      </c>
      <c r="C28" s="280">
        <v>0</v>
      </c>
      <c r="D28" s="835"/>
      <c r="E28" s="833"/>
      <c r="F28" s="833"/>
      <c r="G28" s="833"/>
      <c r="H28" s="829"/>
      <c r="I28" s="829"/>
      <c r="J28" s="829"/>
      <c r="K28" s="829"/>
      <c r="L28" s="829"/>
      <c r="M28" s="829"/>
      <c r="N28" s="829"/>
      <c r="O28" s="829"/>
      <c r="P28" s="829"/>
      <c r="Q28" s="829"/>
      <c r="R28" s="829"/>
      <c r="S28" s="829"/>
      <c r="T28" s="829"/>
      <c r="U28" s="829"/>
      <c r="V28" s="829"/>
      <c r="W28" s="829"/>
      <c r="X28" s="829"/>
      <c r="Y28" s="829"/>
      <c r="Z28" s="829"/>
      <c r="AA28" s="829"/>
    </row>
    <row r="29" spans="1:27" s="56" customFormat="1" ht="16.5" thickTop="1" thickBot="1" x14ac:dyDescent="0.25">
      <c r="A29" s="58" t="s">
        <v>59</v>
      </c>
      <c r="B29" s="810">
        <f>+B30+B37</f>
        <v>83254656.650000006</v>
      </c>
      <c r="C29" s="280"/>
      <c r="D29" s="834"/>
      <c r="E29" s="833"/>
      <c r="F29" s="833"/>
      <c r="G29" s="833"/>
      <c r="H29" s="829"/>
      <c r="I29" s="829"/>
      <c r="J29" s="829"/>
      <c r="K29" s="829"/>
      <c r="L29" s="829"/>
      <c r="M29" s="829"/>
      <c r="N29" s="829"/>
      <c r="O29" s="829"/>
      <c r="P29" s="829"/>
      <c r="Q29" s="829"/>
      <c r="R29" s="829"/>
      <c r="S29" s="829"/>
      <c r="T29" s="829"/>
      <c r="U29" s="829"/>
      <c r="V29" s="829"/>
      <c r="W29" s="829"/>
      <c r="X29" s="829"/>
      <c r="Y29" s="829"/>
      <c r="Z29" s="829"/>
      <c r="AA29" s="829"/>
    </row>
    <row r="30" spans="1:27" s="56" customFormat="1" thickTop="1" x14ac:dyDescent="0.2">
      <c r="A30" s="59" t="s">
        <v>61</v>
      </c>
      <c r="B30" s="264">
        <v>83246115.620000005</v>
      </c>
      <c r="C30" s="265"/>
      <c r="D30" s="833"/>
      <c r="E30" s="915"/>
      <c r="F30" s="502"/>
      <c r="G30" s="834"/>
      <c r="H30" s="829"/>
      <c r="I30" s="829"/>
      <c r="J30" s="829"/>
      <c r="K30" s="829"/>
      <c r="L30" s="829"/>
      <c r="M30" s="829"/>
      <c r="N30" s="829"/>
      <c r="O30" s="829"/>
      <c r="P30" s="829"/>
      <c r="Q30" s="829"/>
      <c r="R30" s="829"/>
      <c r="S30" s="829"/>
      <c r="T30" s="829"/>
      <c r="U30" s="829"/>
      <c r="V30" s="829"/>
      <c r="W30" s="829"/>
      <c r="X30" s="829"/>
      <c r="Y30" s="829"/>
      <c r="Z30" s="829"/>
      <c r="AA30" s="829"/>
    </row>
    <row r="31" spans="1:27" s="56" customFormat="1" x14ac:dyDescent="0.2">
      <c r="A31" s="59" t="s">
        <v>63</v>
      </c>
      <c r="B31" s="266"/>
      <c r="C31" s="267"/>
      <c r="D31" s="834"/>
      <c r="E31" s="833"/>
      <c r="F31" s="833"/>
      <c r="G31" s="833"/>
      <c r="H31" s="829"/>
      <c r="I31" s="829"/>
      <c r="J31" s="829"/>
      <c r="K31" s="829"/>
      <c r="L31" s="829"/>
      <c r="M31" s="829"/>
      <c r="N31" s="829"/>
      <c r="O31" s="829"/>
      <c r="P31" s="829"/>
      <c r="Q31" s="829"/>
      <c r="R31" s="829"/>
      <c r="S31" s="829"/>
      <c r="T31" s="829"/>
      <c r="U31" s="829"/>
      <c r="V31" s="829"/>
      <c r="W31" s="829"/>
      <c r="X31" s="829"/>
      <c r="Y31" s="829"/>
      <c r="Z31" s="829"/>
      <c r="AA31" s="829"/>
    </row>
    <row r="32" spans="1:27" s="56" customFormat="1" x14ac:dyDescent="0.2">
      <c r="A32" s="59" t="s">
        <v>65</v>
      </c>
      <c r="B32" s="266"/>
      <c r="C32" s="267"/>
      <c r="D32" s="834"/>
      <c r="E32" s="833"/>
      <c r="F32" s="833"/>
      <c r="G32" s="833"/>
      <c r="H32" s="829"/>
      <c r="I32" s="829"/>
      <c r="J32" s="829"/>
      <c r="K32" s="829"/>
      <c r="L32" s="829"/>
      <c r="M32" s="829"/>
      <c r="N32" s="829"/>
      <c r="O32" s="829"/>
      <c r="P32" s="829"/>
      <c r="Q32" s="829"/>
      <c r="R32" s="829"/>
      <c r="S32" s="829"/>
      <c r="T32" s="829"/>
      <c r="U32" s="829"/>
      <c r="V32" s="829"/>
      <c r="W32" s="829"/>
      <c r="X32" s="829"/>
      <c r="Y32" s="829"/>
      <c r="Z32" s="829"/>
      <c r="AA32" s="829"/>
    </row>
    <row r="33" spans="1:27" s="56" customFormat="1" x14ac:dyDescent="0.2">
      <c r="A33" s="59" t="s">
        <v>67</v>
      </c>
      <c r="B33" s="266"/>
      <c r="C33" s="267"/>
      <c r="D33" s="833"/>
      <c r="E33" s="833"/>
      <c r="F33" s="833"/>
      <c r="G33" s="833"/>
      <c r="H33" s="829"/>
      <c r="I33" s="829"/>
      <c r="J33" s="829"/>
      <c r="K33" s="829"/>
      <c r="L33" s="829"/>
      <c r="M33" s="829"/>
      <c r="N33" s="829"/>
      <c r="O33" s="829"/>
      <c r="P33" s="829"/>
      <c r="Q33" s="829"/>
      <c r="R33" s="829"/>
      <c r="S33" s="829"/>
      <c r="T33" s="829"/>
      <c r="U33" s="829"/>
      <c r="V33" s="829"/>
      <c r="W33" s="829"/>
      <c r="X33" s="829"/>
      <c r="Y33" s="829"/>
      <c r="Z33" s="829"/>
      <c r="AA33" s="829"/>
    </row>
    <row r="34" spans="1:27" s="56" customFormat="1" x14ac:dyDescent="0.2">
      <c r="A34" s="59" t="s">
        <v>69</v>
      </c>
      <c r="B34" s="266"/>
      <c r="C34" s="267"/>
      <c r="D34" s="833"/>
      <c r="E34" s="833"/>
      <c r="F34" s="833"/>
      <c r="G34" s="833"/>
      <c r="H34" s="829"/>
      <c r="I34" s="829"/>
      <c r="J34" s="829"/>
      <c r="K34" s="829"/>
      <c r="L34" s="829"/>
      <c r="M34" s="829"/>
      <c r="N34" s="829"/>
      <c r="O34" s="829"/>
      <c r="P34" s="829"/>
      <c r="Q34" s="829"/>
      <c r="R34" s="829"/>
      <c r="S34" s="829"/>
      <c r="T34" s="829"/>
      <c r="U34" s="829"/>
      <c r="V34" s="829"/>
      <c r="W34" s="829"/>
      <c r="X34" s="829"/>
      <c r="Y34" s="829"/>
      <c r="Z34" s="829"/>
      <c r="AA34" s="829"/>
    </row>
    <row r="35" spans="1:27" s="56" customFormat="1" x14ac:dyDescent="0.2">
      <c r="A35" s="59" t="s">
        <v>71</v>
      </c>
      <c r="B35" s="266"/>
      <c r="C35" s="267"/>
      <c r="D35" s="833"/>
      <c r="E35" s="833"/>
      <c r="F35" s="833"/>
      <c r="G35" s="833"/>
      <c r="H35" s="829"/>
      <c r="I35" s="829"/>
      <c r="J35" s="829"/>
      <c r="K35" s="829"/>
      <c r="L35" s="829"/>
      <c r="M35" s="829"/>
      <c r="N35" s="829"/>
      <c r="O35" s="829"/>
      <c r="P35" s="829"/>
      <c r="Q35" s="829"/>
      <c r="R35" s="829"/>
      <c r="S35" s="829"/>
      <c r="T35" s="829"/>
      <c r="U35" s="829"/>
      <c r="V35" s="829"/>
      <c r="W35" s="829"/>
      <c r="X35" s="829"/>
      <c r="Y35" s="829"/>
      <c r="Z35" s="829"/>
      <c r="AA35" s="829"/>
    </row>
    <row r="36" spans="1:27" s="56" customFormat="1" x14ac:dyDescent="0.2">
      <c r="A36" s="59" t="s">
        <v>73</v>
      </c>
      <c r="B36" s="266"/>
      <c r="C36" s="267"/>
      <c r="D36" s="833"/>
      <c r="E36" s="833"/>
      <c r="F36" s="833"/>
      <c r="G36" s="833"/>
      <c r="H36" s="829"/>
      <c r="I36" s="829"/>
      <c r="J36" s="829"/>
      <c r="K36" s="829"/>
      <c r="L36" s="829"/>
      <c r="M36" s="829"/>
      <c r="N36" s="829"/>
      <c r="O36" s="829"/>
      <c r="P36" s="829"/>
      <c r="Q36" s="829"/>
      <c r="R36" s="829"/>
      <c r="S36" s="829"/>
      <c r="T36" s="829"/>
      <c r="U36" s="829"/>
      <c r="V36" s="829"/>
      <c r="W36" s="829"/>
      <c r="X36" s="829"/>
      <c r="Y36" s="829"/>
      <c r="Z36" s="829"/>
      <c r="AA36" s="829"/>
    </row>
    <row r="37" spans="1:27" s="56" customFormat="1" x14ac:dyDescent="0.2">
      <c r="A37" s="59" t="s">
        <v>74</v>
      </c>
      <c r="B37" s="264">
        <v>8541.0300000000007</v>
      </c>
      <c r="C37" s="267"/>
      <c r="D37" s="833"/>
      <c r="E37" s="915"/>
      <c r="F37" s="834"/>
      <c r="G37" s="834"/>
      <c r="H37" s="829"/>
      <c r="I37" s="829"/>
      <c r="J37" s="829"/>
      <c r="K37" s="829"/>
      <c r="L37" s="829"/>
      <c r="M37" s="829"/>
      <c r="N37" s="829"/>
      <c r="O37" s="829"/>
      <c r="P37" s="829"/>
      <c r="Q37" s="829"/>
      <c r="R37" s="829"/>
      <c r="S37" s="829"/>
      <c r="T37" s="829"/>
      <c r="U37" s="829"/>
      <c r="V37" s="829"/>
      <c r="W37" s="829"/>
      <c r="X37" s="829"/>
      <c r="Y37" s="829"/>
      <c r="Z37" s="829"/>
      <c r="AA37" s="829"/>
    </row>
    <row r="38" spans="1:27" s="56" customFormat="1" ht="6" customHeight="1" x14ac:dyDescent="0.2">
      <c r="A38" s="57"/>
      <c r="B38" s="266"/>
      <c r="C38" s="267"/>
      <c r="D38" s="833"/>
      <c r="E38" s="833"/>
      <c r="F38" s="833"/>
      <c r="G38" s="833"/>
      <c r="H38" s="829"/>
      <c r="I38" s="829"/>
      <c r="J38" s="829"/>
      <c r="K38" s="829"/>
      <c r="L38" s="829"/>
      <c r="M38" s="829"/>
      <c r="N38" s="829"/>
      <c r="O38" s="829"/>
      <c r="P38" s="829"/>
      <c r="Q38" s="829"/>
      <c r="R38" s="829"/>
      <c r="S38" s="829"/>
      <c r="T38" s="829"/>
      <c r="U38" s="829"/>
      <c r="V38" s="829"/>
      <c r="W38" s="829"/>
      <c r="X38" s="829"/>
      <c r="Y38" s="829"/>
      <c r="Z38" s="829"/>
      <c r="AA38" s="829"/>
    </row>
    <row r="39" spans="1:27" s="56" customFormat="1" ht="14.25" x14ac:dyDescent="0.2">
      <c r="A39" s="58" t="s">
        <v>76</v>
      </c>
      <c r="B39" s="268"/>
      <c r="C39" s="269"/>
      <c r="D39" s="833"/>
      <c r="E39" s="833"/>
      <c r="F39" s="833"/>
      <c r="G39" s="833"/>
      <c r="H39" s="829"/>
      <c r="I39" s="829"/>
      <c r="J39" s="829"/>
      <c r="K39" s="829"/>
      <c r="L39" s="829"/>
      <c r="M39" s="829"/>
      <c r="N39" s="829"/>
      <c r="O39" s="829"/>
      <c r="P39" s="829"/>
      <c r="Q39" s="829"/>
      <c r="R39" s="829"/>
      <c r="S39" s="829"/>
      <c r="T39" s="829"/>
      <c r="U39" s="829"/>
      <c r="V39" s="829"/>
      <c r="W39" s="829"/>
      <c r="X39" s="829"/>
      <c r="Y39" s="829"/>
      <c r="Z39" s="829"/>
      <c r="AA39" s="829"/>
    </row>
    <row r="40" spans="1:27" s="56" customFormat="1" x14ac:dyDescent="0.2">
      <c r="A40" s="59" t="s">
        <v>78</v>
      </c>
      <c r="B40" s="266"/>
      <c r="C40" s="267"/>
      <c r="D40" s="833"/>
      <c r="E40" s="833"/>
      <c r="F40" s="833"/>
      <c r="G40" s="833"/>
      <c r="H40" s="829"/>
      <c r="I40" s="829"/>
      <c r="J40" s="829"/>
      <c r="K40" s="829"/>
      <c r="L40" s="829"/>
      <c r="M40" s="829"/>
      <c r="N40" s="829"/>
      <c r="O40" s="829"/>
      <c r="P40" s="829"/>
      <c r="Q40" s="829"/>
      <c r="R40" s="829"/>
      <c r="S40" s="829"/>
      <c r="T40" s="829"/>
      <c r="U40" s="829"/>
      <c r="V40" s="829"/>
      <c r="W40" s="829"/>
      <c r="X40" s="829"/>
      <c r="Y40" s="829"/>
      <c r="Z40" s="829"/>
      <c r="AA40" s="829"/>
    </row>
    <row r="41" spans="1:27" s="56" customFormat="1" x14ac:dyDescent="0.2">
      <c r="A41" s="59" t="s">
        <v>80</v>
      </c>
      <c r="B41" s="266"/>
      <c r="C41" s="267"/>
      <c r="D41" s="833"/>
      <c r="E41" s="833"/>
      <c r="F41" s="833"/>
      <c r="G41" s="833"/>
      <c r="H41" s="829"/>
      <c r="I41" s="829"/>
      <c r="J41" s="829"/>
      <c r="K41" s="829"/>
      <c r="L41" s="829"/>
      <c r="M41" s="829"/>
      <c r="N41" s="829"/>
      <c r="O41" s="829"/>
      <c r="P41" s="829"/>
      <c r="Q41" s="829"/>
      <c r="R41" s="829"/>
      <c r="S41" s="829"/>
      <c r="T41" s="829"/>
      <c r="U41" s="829"/>
      <c r="V41" s="829"/>
      <c r="W41" s="829"/>
      <c r="X41" s="829"/>
      <c r="Y41" s="829"/>
      <c r="Z41" s="829"/>
      <c r="AA41" s="829"/>
    </row>
    <row r="42" spans="1:27" s="56" customFormat="1" x14ac:dyDescent="0.2">
      <c r="A42" s="59" t="s">
        <v>81</v>
      </c>
      <c r="B42" s="266"/>
      <c r="C42" s="267"/>
      <c r="D42" s="833"/>
      <c r="E42" s="833"/>
      <c r="F42" s="833"/>
      <c r="G42" s="833"/>
      <c r="H42" s="829"/>
      <c r="I42" s="829"/>
      <c r="J42" s="829"/>
      <c r="K42" s="829"/>
      <c r="L42" s="829"/>
      <c r="M42" s="829"/>
      <c r="N42" s="829"/>
      <c r="O42" s="829"/>
      <c r="P42" s="829"/>
      <c r="Q42" s="829"/>
      <c r="R42" s="829"/>
      <c r="S42" s="829"/>
      <c r="T42" s="829"/>
      <c r="U42" s="829"/>
      <c r="V42" s="829"/>
      <c r="W42" s="829"/>
      <c r="X42" s="829"/>
      <c r="Y42" s="829"/>
      <c r="Z42" s="829"/>
      <c r="AA42" s="829"/>
    </row>
    <row r="43" spans="1:27" s="56" customFormat="1" x14ac:dyDescent="0.2">
      <c r="A43" s="59" t="s">
        <v>83</v>
      </c>
      <c r="B43" s="266"/>
      <c r="C43" s="267"/>
      <c r="D43" s="833"/>
      <c r="E43" s="833"/>
      <c r="F43" s="833"/>
      <c r="G43" s="833"/>
      <c r="H43" s="829"/>
      <c r="I43" s="829"/>
      <c r="J43" s="829"/>
      <c r="K43" s="829"/>
      <c r="L43" s="829"/>
      <c r="M43" s="829"/>
      <c r="N43" s="829"/>
      <c r="O43" s="829"/>
      <c r="P43" s="829"/>
      <c r="Q43" s="829"/>
      <c r="R43" s="829"/>
      <c r="S43" s="829"/>
      <c r="T43" s="829"/>
      <c r="U43" s="829"/>
      <c r="V43" s="829"/>
      <c r="W43" s="829"/>
      <c r="X43" s="829"/>
      <c r="Y43" s="829"/>
      <c r="Z43" s="829"/>
      <c r="AA43" s="829"/>
    </row>
    <row r="44" spans="1:27" s="56" customFormat="1" x14ac:dyDescent="0.2">
      <c r="A44" s="59" t="s">
        <v>84</v>
      </c>
      <c r="B44" s="266"/>
      <c r="C44" s="267"/>
      <c r="D44" s="833"/>
      <c r="E44" s="833"/>
      <c r="F44" s="833"/>
      <c r="G44" s="833"/>
      <c r="H44" s="829"/>
      <c r="I44" s="829"/>
      <c r="J44" s="829"/>
      <c r="K44" s="829"/>
      <c r="L44" s="829"/>
      <c r="M44" s="829"/>
      <c r="N44" s="829"/>
      <c r="O44" s="829"/>
      <c r="P44" s="829"/>
      <c r="Q44" s="829"/>
      <c r="R44" s="829"/>
      <c r="S44" s="829"/>
      <c r="T44" s="829"/>
      <c r="U44" s="829"/>
      <c r="V44" s="829"/>
      <c r="W44" s="829"/>
      <c r="X44" s="829"/>
      <c r="Y44" s="829"/>
      <c r="Z44" s="829"/>
      <c r="AA44" s="829"/>
    </row>
    <row r="45" spans="1:27" s="56" customFormat="1" x14ac:dyDescent="0.2">
      <c r="A45" s="59" t="s">
        <v>87</v>
      </c>
      <c r="B45" s="266"/>
      <c r="C45" s="267"/>
      <c r="D45" s="833"/>
      <c r="E45" s="833"/>
      <c r="F45" s="833"/>
      <c r="G45" s="833"/>
      <c r="H45" s="829"/>
      <c r="I45" s="829"/>
      <c r="J45" s="829"/>
      <c r="K45" s="829"/>
      <c r="L45" s="829"/>
      <c r="M45" s="829"/>
      <c r="N45" s="829"/>
      <c r="O45" s="829"/>
      <c r="P45" s="829"/>
      <c r="Q45" s="829"/>
      <c r="R45" s="829"/>
      <c r="S45" s="829"/>
      <c r="T45" s="829"/>
      <c r="U45" s="829"/>
      <c r="V45" s="829"/>
      <c r="W45" s="829"/>
      <c r="X45" s="829"/>
      <c r="Y45" s="829"/>
      <c r="Z45" s="829"/>
      <c r="AA45" s="829"/>
    </row>
    <row r="46" spans="1:27" s="56" customFormat="1" x14ac:dyDescent="0.2">
      <c r="A46" s="59"/>
      <c r="B46" s="266"/>
      <c r="C46" s="267"/>
      <c r="D46" s="833"/>
      <c r="E46" s="833"/>
      <c r="F46" s="833"/>
      <c r="G46" s="833"/>
      <c r="H46" s="829"/>
      <c r="I46" s="829"/>
      <c r="J46" s="829"/>
      <c r="K46" s="829"/>
      <c r="L46" s="829"/>
      <c r="M46" s="829"/>
      <c r="N46" s="829"/>
      <c r="O46" s="829"/>
      <c r="P46" s="829"/>
      <c r="Q46" s="829"/>
      <c r="R46" s="829"/>
      <c r="S46" s="829"/>
      <c r="T46" s="829"/>
      <c r="U46" s="829"/>
      <c r="V46" s="829"/>
      <c r="W46" s="829"/>
      <c r="X46" s="829"/>
      <c r="Y46" s="829"/>
      <c r="Z46" s="829"/>
      <c r="AA46" s="829"/>
    </row>
    <row r="47" spans="1:27" s="56" customFormat="1" ht="16.5" x14ac:dyDescent="0.2">
      <c r="A47" s="57" t="s">
        <v>129</v>
      </c>
      <c r="B47" s="270"/>
      <c r="C47" s="267"/>
      <c r="D47" s="833"/>
      <c r="E47" s="833"/>
      <c r="F47" s="833"/>
      <c r="G47" s="833"/>
      <c r="H47" s="829"/>
      <c r="I47" s="829"/>
      <c r="J47" s="829"/>
      <c r="K47" s="829"/>
      <c r="L47" s="829"/>
      <c r="M47" s="829"/>
      <c r="N47" s="829"/>
      <c r="O47" s="829"/>
      <c r="P47" s="829"/>
      <c r="Q47" s="829"/>
      <c r="R47" s="829"/>
      <c r="S47" s="829"/>
      <c r="T47" s="829"/>
      <c r="U47" s="829"/>
      <c r="V47" s="829"/>
      <c r="W47" s="829"/>
      <c r="X47" s="829"/>
      <c r="Y47" s="829"/>
      <c r="Z47" s="829"/>
      <c r="AA47" s="829"/>
    </row>
    <row r="48" spans="1:27" s="56" customFormat="1" ht="14.25" x14ac:dyDescent="0.2">
      <c r="A48" s="58" t="s">
        <v>95</v>
      </c>
      <c r="B48" s="268"/>
      <c r="C48" s="269"/>
      <c r="D48" s="833"/>
      <c r="E48" s="833"/>
      <c r="F48" s="833"/>
      <c r="G48" s="833"/>
      <c r="H48" s="829"/>
      <c r="I48" s="829"/>
      <c r="J48" s="829"/>
      <c r="K48" s="829"/>
      <c r="L48" s="829"/>
      <c r="M48" s="829"/>
      <c r="N48" s="829"/>
      <c r="O48" s="829"/>
      <c r="P48" s="829"/>
      <c r="Q48" s="829"/>
      <c r="R48" s="829"/>
      <c r="S48" s="829"/>
      <c r="T48" s="829"/>
      <c r="U48" s="829"/>
      <c r="V48" s="829"/>
      <c r="W48" s="829"/>
      <c r="X48" s="829"/>
      <c r="Y48" s="829"/>
      <c r="Z48" s="829"/>
      <c r="AA48" s="829"/>
    </row>
    <row r="49" spans="1:27" s="56" customFormat="1" x14ac:dyDescent="0.2">
      <c r="A49" s="59" t="s">
        <v>36</v>
      </c>
      <c r="B49" s="271"/>
      <c r="C49" s="272"/>
      <c r="D49" s="833"/>
      <c r="E49" s="833"/>
      <c r="F49" s="833"/>
      <c r="G49" s="833"/>
      <c r="H49" s="829"/>
      <c r="I49" s="829"/>
      <c r="J49" s="829"/>
      <c r="K49" s="829"/>
      <c r="L49" s="829"/>
      <c r="M49" s="829"/>
      <c r="N49" s="829"/>
      <c r="O49" s="829"/>
      <c r="P49" s="829"/>
      <c r="Q49" s="829"/>
      <c r="R49" s="829"/>
      <c r="S49" s="829"/>
      <c r="T49" s="829"/>
      <c r="U49" s="829"/>
      <c r="V49" s="829"/>
      <c r="W49" s="829"/>
      <c r="X49" s="829"/>
      <c r="Y49" s="829"/>
      <c r="Z49" s="829"/>
      <c r="AA49" s="829"/>
    </row>
    <row r="50" spans="1:27" s="56" customFormat="1" ht="14.25" x14ac:dyDescent="0.2">
      <c r="A50" s="59" t="s">
        <v>97</v>
      </c>
      <c r="B50" s="273"/>
      <c r="C50" s="274"/>
      <c r="D50" s="833"/>
      <c r="E50" s="833"/>
      <c r="F50" s="833"/>
      <c r="G50" s="833"/>
      <c r="H50" s="829"/>
      <c r="I50" s="829"/>
      <c r="J50" s="829"/>
      <c r="K50" s="829"/>
      <c r="L50" s="829"/>
      <c r="M50" s="829"/>
      <c r="N50" s="829"/>
      <c r="O50" s="829"/>
      <c r="P50" s="829"/>
      <c r="Q50" s="829"/>
      <c r="R50" s="829"/>
      <c r="S50" s="829"/>
      <c r="T50" s="829"/>
      <c r="U50" s="829"/>
      <c r="V50" s="829"/>
      <c r="W50" s="829"/>
      <c r="X50" s="829"/>
      <c r="Y50" s="829"/>
      <c r="Z50" s="829"/>
      <c r="AA50" s="829"/>
    </row>
    <row r="51" spans="1:27" s="56" customFormat="1" x14ac:dyDescent="0.2">
      <c r="A51" s="59" t="s">
        <v>99</v>
      </c>
      <c r="B51" s="271"/>
      <c r="C51" s="272"/>
      <c r="D51" s="833"/>
      <c r="E51" s="833"/>
      <c r="F51" s="833"/>
      <c r="G51" s="833"/>
      <c r="H51" s="829"/>
      <c r="I51" s="829"/>
      <c r="J51" s="829"/>
      <c r="K51" s="829"/>
      <c r="L51" s="829"/>
      <c r="M51" s="829"/>
      <c r="N51" s="829"/>
      <c r="O51" s="829"/>
      <c r="P51" s="829"/>
      <c r="Q51" s="829"/>
      <c r="R51" s="829"/>
      <c r="S51" s="829"/>
      <c r="T51" s="829"/>
      <c r="U51" s="829"/>
      <c r="V51" s="829"/>
      <c r="W51" s="829"/>
      <c r="X51" s="829"/>
      <c r="Y51" s="829"/>
      <c r="Z51" s="829"/>
      <c r="AA51" s="829"/>
    </row>
    <row r="52" spans="1:27" s="56" customFormat="1" ht="6" customHeight="1" x14ac:dyDescent="0.2">
      <c r="A52" s="58"/>
      <c r="B52" s="268"/>
      <c r="C52" s="269"/>
      <c r="D52" s="833"/>
      <c r="E52" s="833"/>
      <c r="F52" s="833"/>
      <c r="G52" s="833"/>
      <c r="H52" s="829"/>
      <c r="I52" s="829"/>
      <c r="J52" s="829"/>
      <c r="K52" s="829"/>
      <c r="L52" s="829"/>
      <c r="M52" s="829"/>
      <c r="N52" s="829"/>
      <c r="O52" s="829"/>
      <c r="P52" s="829"/>
      <c r="Q52" s="829"/>
      <c r="R52" s="829"/>
      <c r="S52" s="829"/>
      <c r="T52" s="829"/>
      <c r="U52" s="829"/>
      <c r="V52" s="829"/>
      <c r="W52" s="829"/>
      <c r="X52" s="829"/>
      <c r="Y52" s="829"/>
      <c r="Z52" s="829"/>
      <c r="AA52" s="829"/>
    </row>
    <row r="53" spans="1:27" s="56" customFormat="1" ht="15.75" customHeight="1" thickBot="1" x14ac:dyDescent="0.25">
      <c r="A53" s="58" t="s">
        <v>100</v>
      </c>
      <c r="B53" s="281">
        <f>+B54+B55</f>
        <v>406033188.03999996</v>
      </c>
      <c r="C53" s="269"/>
      <c r="D53" s="833"/>
      <c r="E53" s="833"/>
      <c r="F53" s="833"/>
      <c r="G53" s="833"/>
      <c r="H53" s="829"/>
      <c r="I53" s="829"/>
      <c r="J53" s="829"/>
      <c r="K53" s="829"/>
      <c r="L53" s="829"/>
      <c r="M53" s="829"/>
      <c r="N53" s="829"/>
      <c r="O53" s="829"/>
      <c r="P53" s="829"/>
      <c r="Q53" s="829"/>
      <c r="R53" s="829"/>
      <c r="S53" s="829"/>
      <c r="T53" s="829"/>
      <c r="U53" s="829"/>
      <c r="V53" s="829"/>
      <c r="W53" s="829"/>
      <c r="X53" s="829"/>
      <c r="Y53" s="829"/>
      <c r="Z53" s="829"/>
      <c r="AA53" s="829"/>
    </row>
    <row r="54" spans="1:27" s="56" customFormat="1" thickTop="1" x14ac:dyDescent="0.2">
      <c r="A54" s="59" t="s">
        <v>101</v>
      </c>
      <c r="B54" s="273">
        <v>209518543.88999999</v>
      </c>
      <c r="C54" s="274"/>
      <c r="D54" s="833"/>
      <c r="E54" s="834"/>
      <c r="F54" s="834"/>
      <c r="G54" s="834"/>
      <c r="H54" s="829"/>
      <c r="I54" s="829"/>
      <c r="J54" s="829"/>
      <c r="K54" s="829"/>
      <c r="L54" s="829"/>
      <c r="M54" s="829"/>
      <c r="N54" s="829"/>
      <c r="O54" s="829"/>
      <c r="P54" s="829"/>
      <c r="Q54" s="829"/>
      <c r="R54" s="829"/>
      <c r="S54" s="829"/>
      <c r="T54" s="829"/>
      <c r="U54" s="829"/>
      <c r="V54" s="829"/>
      <c r="W54" s="829"/>
      <c r="X54" s="829"/>
      <c r="Y54" s="829"/>
      <c r="Z54" s="829"/>
      <c r="AA54" s="829"/>
    </row>
    <row r="55" spans="1:27" s="56" customFormat="1" ht="14.25" x14ac:dyDescent="0.2">
      <c r="A55" s="59" t="s">
        <v>102</v>
      </c>
      <c r="B55" s="273">
        <v>196514644.15000001</v>
      </c>
      <c r="C55" s="274"/>
      <c r="D55" s="833"/>
      <c r="E55" s="915"/>
      <c r="F55" s="834"/>
      <c r="G55" s="834"/>
      <c r="H55" s="829"/>
      <c r="I55" s="829"/>
      <c r="J55" s="829"/>
      <c r="K55" s="829"/>
      <c r="L55" s="829"/>
      <c r="M55" s="829"/>
      <c r="N55" s="829"/>
      <c r="O55" s="829"/>
      <c r="P55" s="829"/>
      <c r="Q55" s="829"/>
      <c r="R55" s="829"/>
      <c r="S55" s="829"/>
      <c r="T55" s="829"/>
      <c r="U55" s="829"/>
      <c r="V55" s="829"/>
      <c r="W55" s="829"/>
      <c r="X55" s="829"/>
      <c r="Y55" s="829"/>
      <c r="Z55" s="829"/>
      <c r="AA55" s="829"/>
    </row>
    <row r="56" spans="1:27" s="56" customFormat="1" ht="14.25" x14ac:dyDescent="0.2">
      <c r="A56" s="59" t="s">
        <v>103</v>
      </c>
      <c r="B56" s="273"/>
      <c r="C56" s="274"/>
      <c r="D56" s="833"/>
      <c r="E56" s="834"/>
      <c r="F56" s="833"/>
      <c r="G56" s="833"/>
      <c r="H56" s="829"/>
      <c r="I56" s="829"/>
      <c r="J56" s="829"/>
      <c r="K56" s="829"/>
      <c r="L56" s="829"/>
      <c r="M56" s="829"/>
      <c r="N56" s="829"/>
      <c r="O56" s="829"/>
      <c r="P56" s="829"/>
      <c r="Q56" s="829"/>
      <c r="R56" s="829"/>
      <c r="S56" s="829"/>
      <c r="T56" s="829"/>
      <c r="U56" s="829"/>
      <c r="V56" s="829"/>
      <c r="W56" s="829"/>
      <c r="X56" s="829"/>
      <c r="Y56" s="829"/>
      <c r="Z56" s="829"/>
      <c r="AA56" s="829"/>
    </row>
    <row r="57" spans="1:27" s="56" customFormat="1" x14ac:dyDescent="0.2">
      <c r="A57" s="59" t="s">
        <v>104</v>
      </c>
      <c r="B57" s="271"/>
      <c r="C57" s="272"/>
      <c r="D57" s="833"/>
      <c r="E57" s="833"/>
      <c r="F57" s="833"/>
      <c r="G57" s="833"/>
      <c r="H57" s="829"/>
      <c r="I57" s="829"/>
      <c r="J57" s="829"/>
      <c r="K57" s="829"/>
      <c r="L57" s="829"/>
      <c r="M57" s="829"/>
      <c r="N57" s="829"/>
      <c r="O57" s="829"/>
      <c r="P57" s="829"/>
      <c r="Q57" s="829"/>
      <c r="R57" s="829"/>
      <c r="S57" s="829"/>
      <c r="T57" s="829"/>
      <c r="U57" s="829"/>
      <c r="V57" s="829"/>
      <c r="W57" s="829"/>
      <c r="X57" s="829"/>
      <c r="Y57" s="829"/>
      <c r="Z57" s="829"/>
      <c r="AA57" s="829"/>
    </row>
    <row r="58" spans="1:27" s="56" customFormat="1" ht="14.25" x14ac:dyDescent="0.2">
      <c r="A58" s="59" t="s">
        <v>105</v>
      </c>
      <c r="B58" s="275"/>
      <c r="C58" s="276"/>
      <c r="D58" s="833"/>
      <c r="E58" s="834"/>
      <c r="F58" s="833"/>
      <c r="G58" s="833"/>
      <c r="H58" s="829"/>
      <c r="I58" s="829"/>
      <c r="J58" s="829"/>
      <c r="K58" s="829"/>
      <c r="L58" s="829"/>
      <c r="M58" s="829"/>
      <c r="N58" s="829"/>
      <c r="O58" s="829"/>
      <c r="P58" s="829"/>
      <c r="Q58" s="829"/>
      <c r="R58" s="829"/>
      <c r="S58" s="829"/>
      <c r="T58" s="829"/>
      <c r="U58" s="829"/>
      <c r="V58" s="829"/>
      <c r="W58" s="829"/>
      <c r="X58" s="829"/>
      <c r="Y58" s="829"/>
      <c r="Z58" s="829"/>
      <c r="AA58" s="829"/>
    </row>
    <row r="59" spans="1:27" s="56" customFormat="1" ht="7.5" customHeight="1" x14ac:dyDescent="0.2">
      <c r="A59" s="58"/>
      <c r="B59" s="277"/>
      <c r="C59" s="278"/>
      <c r="D59" s="833"/>
      <c r="E59" s="833"/>
      <c r="F59" s="833"/>
      <c r="G59" s="833"/>
      <c r="H59" s="829"/>
      <c r="I59" s="829"/>
      <c r="J59" s="829"/>
      <c r="K59" s="829"/>
      <c r="L59" s="829"/>
      <c r="M59" s="829"/>
      <c r="N59" s="829"/>
      <c r="O59" s="829"/>
      <c r="P59" s="829"/>
      <c r="Q59" s="829"/>
      <c r="R59" s="829"/>
      <c r="S59" s="829"/>
      <c r="T59" s="829"/>
      <c r="U59" s="829"/>
      <c r="V59" s="829"/>
      <c r="W59" s="829"/>
      <c r="X59" s="829"/>
      <c r="Y59" s="829"/>
      <c r="Z59" s="829"/>
      <c r="AA59" s="829"/>
    </row>
    <row r="60" spans="1:27" s="56" customFormat="1" ht="28.5" x14ac:dyDescent="0.2">
      <c r="A60" s="58" t="s">
        <v>130</v>
      </c>
      <c r="B60" s="277"/>
      <c r="C60" s="278"/>
      <c r="D60" s="833"/>
      <c r="E60" s="833"/>
      <c r="F60" s="833"/>
      <c r="G60" s="833"/>
      <c r="H60" s="829"/>
      <c r="I60" s="829"/>
      <c r="J60" s="829"/>
      <c r="K60" s="829"/>
      <c r="L60" s="829"/>
      <c r="M60" s="829"/>
      <c r="N60" s="829"/>
      <c r="O60" s="829"/>
      <c r="P60" s="829"/>
      <c r="Q60" s="829"/>
      <c r="R60" s="829"/>
      <c r="S60" s="829"/>
      <c r="T60" s="829"/>
      <c r="U60" s="829"/>
      <c r="V60" s="829"/>
      <c r="W60" s="829"/>
      <c r="X60" s="829"/>
      <c r="Y60" s="829"/>
      <c r="Z60" s="829"/>
      <c r="AA60" s="829"/>
    </row>
    <row r="61" spans="1:27" s="56" customFormat="1" ht="14.25" x14ac:dyDescent="0.2">
      <c r="A61" s="59" t="s">
        <v>107</v>
      </c>
      <c r="B61" s="65"/>
      <c r="C61" s="61"/>
      <c r="D61" s="833"/>
      <c r="E61" s="834"/>
      <c r="F61" s="833"/>
      <c r="G61" s="833"/>
      <c r="H61" s="829"/>
      <c r="I61" s="829"/>
      <c r="J61" s="829"/>
      <c r="K61" s="829"/>
      <c r="L61" s="829"/>
      <c r="M61" s="829"/>
      <c r="N61" s="829"/>
      <c r="O61" s="829"/>
      <c r="P61" s="829"/>
      <c r="Q61" s="829"/>
      <c r="R61" s="829"/>
      <c r="S61" s="829"/>
      <c r="T61" s="829"/>
      <c r="U61" s="829"/>
      <c r="V61" s="829"/>
      <c r="W61" s="829"/>
      <c r="X61" s="829"/>
      <c r="Y61" s="829"/>
      <c r="Z61" s="829"/>
      <c r="AA61" s="829"/>
    </row>
    <row r="62" spans="1:27" s="56" customFormat="1" thickBot="1" x14ac:dyDescent="0.25">
      <c r="A62" s="62" t="s">
        <v>108</v>
      </c>
      <c r="B62" s="63"/>
      <c r="C62" s="64"/>
      <c r="D62" s="833"/>
      <c r="E62" s="833"/>
      <c r="F62" s="833"/>
      <c r="G62" s="833"/>
      <c r="H62" s="829"/>
      <c r="I62" s="829"/>
      <c r="J62" s="829"/>
      <c r="K62" s="829"/>
      <c r="L62" s="829"/>
      <c r="M62" s="829"/>
      <c r="N62" s="829"/>
      <c r="O62" s="829"/>
      <c r="P62" s="829"/>
      <c r="Q62" s="829"/>
      <c r="R62" s="829"/>
      <c r="S62" s="829"/>
      <c r="T62" s="829"/>
      <c r="U62" s="829"/>
      <c r="V62" s="829"/>
      <c r="W62" s="829"/>
      <c r="X62" s="829"/>
      <c r="Y62" s="829"/>
      <c r="Z62" s="829"/>
      <c r="AA62" s="829"/>
    </row>
    <row r="69" spans="1:5" x14ac:dyDescent="0.25">
      <c r="A69" s="721" t="s">
        <v>1834</v>
      </c>
      <c r="B69" s="722" t="s">
        <v>1830</v>
      </c>
      <c r="C69" s="722"/>
      <c r="D69" s="836"/>
      <c r="E69" s="916"/>
    </row>
    <row r="70" spans="1:5" x14ac:dyDescent="0.25">
      <c r="A70" s="721" t="s">
        <v>1831</v>
      </c>
      <c r="B70" s="722" t="s">
        <v>1832</v>
      </c>
      <c r="C70" s="722"/>
      <c r="D70" s="837"/>
      <c r="E70" s="917"/>
    </row>
    <row r="71" spans="1:5" x14ac:dyDescent="0.25">
      <c r="A71" s="724"/>
      <c r="B71" s="723"/>
      <c r="C71" s="723"/>
      <c r="D71" s="836"/>
      <c r="E71" s="916"/>
    </row>
    <row r="72" spans="1:5" x14ac:dyDescent="0.25">
      <c r="A72" s="719" t="s">
        <v>1833</v>
      </c>
      <c r="B72" s="723"/>
      <c r="C72" s="723"/>
      <c r="D72" s="836"/>
      <c r="E72" s="916"/>
    </row>
    <row r="73" spans="1:5" x14ac:dyDescent="0.25">
      <c r="A73" s="720" t="s">
        <v>1835</v>
      </c>
      <c r="B73" s="723"/>
      <c r="C73" s="723"/>
      <c r="D73" s="836"/>
      <c r="E73" s="916"/>
    </row>
  </sheetData>
  <autoFilter ref="A1:C76"/>
  <mergeCells count="5">
    <mergeCell ref="A5:C5"/>
    <mergeCell ref="A1:C1"/>
    <mergeCell ref="A3:C3"/>
    <mergeCell ref="A2:C2"/>
    <mergeCell ref="A4:C4"/>
  </mergeCells>
  <printOptions horizontalCentered="1"/>
  <pageMargins left="0.15748031496062992" right="0.15748031496062992" top="0.47244094488188981" bottom="0.23622047244094491" header="0.31496062992125984" footer="0.19685039370078741"/>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50"/>
  <sheetViews>
    <sheetView workbookViewId="0">
      <selection activeCell="J16" sqref="J16:L23"/>
    </sheetView>
  </sheetViews>
  <sheetFormatPr baseColWidth="10" defaultRowHeight="15" x14ac:dyDescent="0.25"/>
  <cols>
    <col min="1" max="1" width="40.140625" customWidth="1"/>
    <col min="8" max="8" width="2.7109375" customWidth="1"/>
  </cols>
  <sheetData>
    <row r="1" spans="1:8" x14ac:dyDescent="0.25">
      <c r="A1" s="942" t="s">
        <v>167</v>
      </c>
      <c r="B1" s="942"/>
      <c r="C1" s="942"/>
      <c r="D1" s="942"/>
      <c r="E1" s="942"/>
      <c r="F1" s="942"/>
      <c r="G1" s="942"/>
      <c r="H1" s="942"/>
    </row>
    <row r="2" spans="1:8" x14ac:dyDescent="0.25">
      <c r="A2" s="936" t="s">
        <v>173</v>
      </c>
      <c r="B2" s="936"/>
      <c r="C2" s="936"/>
      <c r="D2" s="936"/>
      <c r="E2" s="936"/>
      <c r="F2" s="936"/>
      <c r="G2" s="936"/>
      <c r="H2" s="936"/>
    </row>
    <row r="3" spans="1:8" x14ac:dyDescent="0.25">
      <c r="A3" s="936" t="s">
        <v>599</v>
      </c>
      <c r="B3" s="936"/>
      <c r="C3" s="936"/>
      <c r="D3" s="936"/>
      <c r="E3" s="936"/>
      <c r="F3" s="936"/>
      <c r="G3" s="936"/>
      <c r="H3" s="936"/>
    </row>
    <row r="4" spans="1:8" x14ac:dyDescent="0.25">
      <c r="A4" s="936" t="s">
        <v>1841</v>
      </c>
      <c r="B4" s="936"/>
      <c r="C4" s="936"/>
      <c r="D4" s="936"/>
      <c r="E4" s="936"/>
      <c r="F4" s="936"/>
      <c r="G4" s="936"/>
      <c r="H4" s="936"/>
    </row>
    <row r="5" spans="1:8" ht="18" customHeight="1" thickBot="1" x14ac:dyDescent="0.3">
      <c r="A5" s="940" t="s">
        <v>122</v>
      </c>
      <c r="B5" s="940"/>
      <c r="C5" s="940"/>
      <c r="D5" s="940"/>
      <c r="E5" s="940"/>
      <c r="F5" s="940"/>
      <c r="G5" s="940"/>
      <c r="H5" s="940"/>
    </row>
    <row r="6" spans="1:8" x14ac:dyDescent="0.25">
      <c r="A6" s="190"/>
      <c r="B6" s="179"/>
      <c r="C6" s="179"/>
      <c r="D6" s="179"/>
      <c r="E6" s="179"/>
      <c r="F6" s="179"/>
      <c r="G6" s="179"/>
      <c r="H6" s="180"/>
    </row>
    <row r="7" spans="1:8" x14ac:dyDescent="0.25">
      <c r="A7" s="181"/>
      <c r="B7" s="182"/>
      <c r="C7" s="182"/>
      <c r="D7" s="182"/>
      <c r="E7" s="182"/>
      <c r="F7" s="182"/>
      <c r="G7" s="182"/>
      <c r="H7" s="183"/>
    </row>
    <row r="8" spans="1:8" x14ac:dyDescent="0.25">
      <c r="A8" s="184" t="s">
        <v>305</v>
      </c>
      <c r="B8" s="182"/>
      <c r="C8" s="182"/>
      <c r="D8" s="182"/>
      <c r="E8" s="182"/>
      <c r="F8" s="182"/>
      <c r="G8" s="182"/>
      <c r="H8" s="183"/>
    </row>
    <row r="9" spans="1:8" x14ac:dyDescent="0.25">
      <c r="A9" s="184"/>
      <c r="B9" s="182"/>
      <c r="C9" s="182"/>
      <c r="D9" s="182"/>
      <c r="E9" s="182"/>
      <c r="F9" s="182"/>
      <c r="G9" s="182"/>
      <c r="H9" s="183"/>
    </row>
    <row r="10" spans="1:8" x14ac:dyDescent="0.25">
      <c r="A10" s="184"/>
      <c r="B10" s="182"/>
      <c r="C10" s="182"/>
      <c r="D10" s="182"/>
      <c r="E10" s="182"/>
      <c r="F10" s="182"/>
      <c r="G10" s="182"/>
      <c r="H10" s="183"/>
    </row>
    <row r="11" spans="1:8" x14ac:dyDescent="0.25">
      <c r="A11" s="184"/>
      <c r="B11" s="182"/>
      <c r="C11" s="182"/>
      <c r="D11" s="182"/>
      <c r="E11" s="182"/>
      <c r="F11" s="182"/>
      <c r="G11" s="182"/>
      <c r="H11" s="183"/>
    </row>
    <row r="12" spans="1:8" x14ac:dyDescent="0.25">
      <c r="A12" s="184"/>
      <c r="B12" s="182"/>
      <c r="C12" s="182"/>
      <c r="D12" s="182"/>
      <c r="E12" s="182"/>
      <c r="F12" s="182"/>
      <c r="G12" s="182"/>
      <c r="H12" s="183"/>
    </row>
    <row r="13" spans="1:8" ht="15.75" customHeight="1" x14ac:dyDescent="0.25">
      <c r="A13" s="181"/>
      <c r="B13" s="188"/>
      <c r="C13" s="188"/>
      <c r="D13" s="188"/>
      <c r="E13" s="188"/>
      <c r="F13" s="188"/>
      <c r="G13" s="188"/>
      <c r="H13" s="183"/>
    </row>
    <row r="14" spans="1:8" ht="15" customHeight="1" thickBot="1" x14ac:dyDescent="0.3">
      <c r="A14" s="185"/>
      <c r="B14" s="189"/>
      <c r="C14" s="189"/>
      <c r="D14" s="189"/>
      <c r="E14" s="189"/>
      <c r="F14" s="189"/>
      <c r="G14" s="189"/>
      <c r="H14" s="187"/>
    </row>
    <row r="15" spans="1:8" ht="15" customHeight="1" thickBot="1" x14ac:dyDescent="0.3">
      <c r="A15" s="181"/>
      <c r="B15" s="188"/>
      <c r="C15" s="188"/>
      <c r="D15" s="188"/>
      <c r="E15" s="188"/>
      <c r="F15" s="188"/>
      <c r="G15" s="188"/>
      <c r="H15" s="183"/>
    </row>
    <row r="16" spans="1:8" ht="15" customHeight="1" x14ac:dyDescent="0.25">
      <c r="A16" s="181"/>
      <c r="B16" s="944" t="s">
        <v>1370</v>
      </c>
      <c r="C16" s="945"/>
      <c r="D16" s="945"/>
      <c r="E16" s="945"/>
      <c r="F16" s="945"/>
      <c r="G16" s="946"/>
      <c r="H16" s="183"/>
    </row>
    <row r="17" spans="1:8" ht="15" customHeight="1" x14ac:dyDescent="0.25">
      <c r="A17" s="181"/>
      <c r="B17" s="947"/>
      <c r="C17" s="948"/>
      <c r="D17" s="948"/>
      <c r="E17" s="948"/>
      <c r="F17" s="948"/>
      <c r="G17" s="949"/>
      <c r="H17" s="183"/>
    </row>
    <row r="18" spans="1:8" ht="15" customHeight="1" x14ac:dyDescent="0.25">
      <c r="A18" s="181"/>
      <c r="B18" s="947"/>
      <c r="C18" s="948"/>
      <c r="D18" s="948"/>
      <c r="E18" s="948"/>
      <c r="F18" s="948"/>
      <c r="G18" s="949"/>
      <c r="H18" s="183"/>
    </row>
    <row r="19" spans="1:8" ht="15" customHeight="1" x14ac:dyDescent="0.25">
      <c r="A19" s="184" t="s">
        <v>304</v>
      </c>
      <c r="B19" s="947"/>
      <c r="C19" s="948"/>
      <c r="D19" s="948"/>
      <c r="E19" s="948"/>
      <c r="F19" s="948"/>
      <c r="G19" s="949"/>
      <c r="H19" s="183"/>
    </row>
    <row r="20" spans="1:8" ht="15" customHeight="1" x14ac:dyDescent="0.25">
      <c r="A20" s="181"/>
      <c r="B20" s="947"/>
      <c r="C20" s="948"/>
      <c r="D20" s="948"/>
      <c r="E20" s="948"/>
      <c r="F20" s="948"/>
      <c r="G20" s="949"/>
      <c r="H20" s="183"/>
    </row>
    <row r="21" spans="1:8" ht="15" customHeight="1" x14ac:dyDescent="0.25">
      <c r="A21" s="181"/>
      <c r="B21" s="947"/>
      <c r="C21" s="948"/>
      <c r="D21" s="948"/>
      <c r="E21" s="948"/>
      <c r="F21" s="948"/>
      <c r="G21" s="949"/>
      <c r="H21" s="183"/>
    </row>
    <row r="22" spans="1:8" ht="15" customHeight="1" x14ac:dyDescent="0.25">
      <c r="A22" s="181"/>
      <c r="B22" s="947"/>
      <c r="C22" s="948"/>
      <c r="D22" s="948"/>
      <c r="E22" s="948"/>
      <c r="F22" s="948"/>
      <c r="G22" s="949"/>
      <c r="H22" s="183"/>
    </row>
    <row r="23" spans="1:8" ht="15" customHeight="1" x14ac:dyDescent="0.25">
      <c r="A23" s="181"/>
      <c r="B23" s="947"/>
      <c r="C23" s="948"/>
      <c r="D23" s="948"/>
      <c r="E23" s="948"/>
      <c r="F23" s="948"/>
      <c r="G23" s="949"/>
      <c r="H23" s="183"/>
    </row>
    <row r="24" spans="1:8" ht="15" customHeight="1" x14ac:dyDescent="0.25">
      <c r="A24" s="181"/>
      <c r="B24" s="947"/>
      <c r="C24" s="948"/>
      <c r="D24" s="948"/>
      <c r="E24" s="948"/>
      <c r="F24" s="948"/>
      <c r="G24" s="949"/>
      <c r="H24" s="183"/>
    </row>
    <row r="25" spans="1:8" ht="15" customHeight="1" x14ac:dyDescent="0.25">
      <c r="A25" s="181"/>
      <c r="B25" s="947"/>
      <c r="C25" s="948"/>
      <c r="D25" s="948"/>
      <c r="E25" s="948"/>
      <c r="F25" s="948"/>
      <c r="G25" s="949"/>
      <c r="H25" s="183"/>
    </row>
    <row r="26" spans="1:8" ht="15" customHeight="1" x14ac:dyDescent="0.25">
      <c r="A26" s="181"/>
      <c r="B26" s="947"/>
      <c r="C26" s="948"/>
      <c r="D26" s="948"/>
      <c r="E26" s="948"/>
      <c r="F26" s="948"/>
      <c r="G26" s="949"/>
      <c r="H26" s="183"/>
    </row>
    <row r="27" spans="1:8" ht="14.25" customHeight="1" x14ac:dyDescent="0.25">
      <c r="A27" s="181"/>
      <c r="B27" s="947"/>
      <c r="C27" s="948"/>
      <c r="D27" s="948"/>
      <c r="E27" s="948"/>
      <c r="F27" s="948"/>
      <c r="G27" s="949"/>
      <c r="H27" s="183"/>
    </row>
    <row r="28" spans="1:8" ht="15.75" customHeight="1" x14ac:dyDescent="0.25">
      <c r="A28" s="181"/>
      <c r="B28" s="947"/>
      <c r="C28" s="948"/>
      <c r="D28" s="948"/>
      <c r="E28" s="948"/>
      <c r="F28" s="948"/>
      <c r="G28" s="949"/>
      <c r="H28" s="183"/>
    </row>
    <row r="29" spans="1:8" x14ac:dyDescent="0.25">
      <c r="A29" s="181"/>
      <c r="B29" s="947"/>
      <c r="C29" s="948"/>
      <c r="D29" s="948"/>
      <c r="E29" s="948"/>
      <c r="F29" s="948"/>
      <c r="G29" s="949"/>
      <c r="H29" s="183"/>
    </row>
    <row r="30" spans="1:8" ht="15.75" thickBot="1" x14ac:dyDescent="0.3">
      <c r="A30" s="181"/>
      <c r="B30" s="950"/>
      <c r="C30" s="951"/>
      <c r="D30" s="951"/>
      <c r="E30" s="951"/>
      <c r="F30" s="951"/>
      <c r="G30" s="952"/>
      <c r="H30" s="183"/>
    </row>
    <row r="31" spans="1:8" ht="15.75" thickBot="1" x14ac:dyDescent="0.3">
      <c r="A31" s="185"/>
      <c r="B31" s="186"/>
      <c r="C31" s="186"/>
      <c r="D31" s="186"/>
      <c r="E31" s="186"/>
      <c r="F31" s="186"/>
      <c r="G31" s="186"/>
      <c r="H31" s="187"/>
    </row>
    <row r="32" spans="1:8" x14ac:dyDescent="0.25">
      <c r="A32" s="181"/>
      <c r="B32" s="182"/>
      <c r="C32" s="182"/>
      <c r="D32" s="182"/>
      <c r="E32" s="182"/>
      <c r="F32" s="182"/>
      <c r="G32" s="182"/>
      <c r="H32" s="183"/>
    </row>
    <row r="33" spans="1:8" x14ac:dyDescent="0.25">
      <c r="A33" s="184" t="s">
        <v>303</v>
      </c>
      <c r="B33" s="182"/>
      <c r="C33" s="182"/>
      <c r="D33" s="182"/>
      <c r="E33" s="182"/>
      <c r="F33" s="182"/>
      <c r="G33" s="182"/>
      <c r="H33" s="183"/>
    </row>
    <row r="34" spans="1:8" x14ac:dyDescent="0.25">
      <c r="A34" s="181"/>
      <c r="B34" s="182"/>
      <c r="C34" s="182"/>
      <c r="D34" s="182"/>
      <c r="E34" s="182"/>
      <c r="F34" s="182"/>
      <c r="G34" s="182"/>
      <c r="H34" s="183"/>
    </row>
    <row r="35" spans="1:8" x14ac:dyDescent="0.25">
      <c r="A35" s="181"/>
      <c r="B35" s="182"/>
      <c r="C35" s="182"/>
      <c r="D35" s="182"/>
      <c r="E35" s="182"/>
      <c r="F35" s="182"/>
      <c r="G35" s="182"/>
      <c r="H35" s="183"/>
    </row>
    <row r="36" spans="1:8" x14ac:dyDescent="0.25">
      <c r="A36" s="181"/>
      <c r="B36" s="182"/>
      <c r="C36" s="182"/>
      <c r="D36" s="182"/>
      <c r="E36" s="182"/>
      <c r="F36" s="182"/>
      <c r="G36" s="182"/>
      <c r="H36" s="183"/>
    </row>
    <row r="37" spans="1:8" x14ac:dyDescent="0.25">
      <c r="A37" s="181"/>
      <c r="B37" s="182"/>
      <c r="C37" s="182"/>
      <c r="D37" s="182"/>
      <c r="E37" s="182"/>
      <c r="F37" s="182"/>
      <c r="G37" s="182"/>
      <c r="H37" s="183"/>
    </row>
    <row r="38" spans="1:8" x14ac:dyDescent="0.25">
      <c r="A38" s="181"/>
      <c r="B38" s="182"/>
      <c r="C38" s="182"/>
      <c r="D38" s="182"/>
      <c r="E38" s="182"/>
      <c r="F38" s="182"/>
      <c r="G38" s="182"/>
      <c r="H38" s="183"/>
    </row>
    <row r="39" spans="1:8" x14ac:dyDescent="0.25">
      <c r="A39" s="181"/>
      <c r="B39" s="182"/>
      <c r="C39" s="182"/>
      <c r="D39" s="182"/>
      <c r="E39" s="182"/>
      <c r="F39" s="182"/>
      <c r="G39" s="182"/>
      <c r="H39" s="183"/>
    </row>
    <row r="40" spans="1:8" x14ac:dyDescent="0.25">
      <c r="A40" s="181"/>
      <c r="B40" s="182"/>
      <c r="C40" s="182"/>
      <c r="D40" s="182"/>
      <c r="E40" s="182"/>
      <c r="F40" s="182"/>
      <c r="G40" s="182"/>
      <c r="H40" s="183"/>
    </row>
    <row r="41" spans="1:8" ht="15.75" thickBot="1" x14ac:dyDescent="0.3">
      <c r="A41" s="185"/>
      <c r="B41" s="186"/>
      <c r="C41" s="186"/>
      <c r="D41" s="186"/>
      <c r="E41" s="186"/>
      <c r="F41" s="186"/>
      <c r="G41" s="186"/>
      <c r="H41" s="187"/>
    </row>
    <row r="46" spans="1:8" x14ac:dyDescent="0.25">
      <c r="A46" s="721" t="s">
        <v>1834</v>
      </c>
      <c r="B46" s="722" t="s">
        <v>1830</v>
      </c>
    </row>
    <row r="47" spans="1:8" x14ac:dyDescent="0.25">
      <c r="A47" s="721" t="s">
        <v>1831</v>
      </c>
      <c r="B47" s="722" t="s">
        <v>1832</v>
      </c>
    </row>
    <row r="48" spans="1:8" x14ac:dyDescent="0.25">
      <c r="A48" s="724"/>
    </row>
    <row r="49" spans="1:1" x14ac:dyDescent="0.25">
      <c r="A49" s="719" t="s">
        <v>1833</v>
      </c>
    </row>
    <row r="50" spans="1:1" x14ac:dyDescent="0.25">
      <c r="A50" s="720" t="s">
        <v>1835</v>
      </c>
    </row>
  </sheetData>
  <mergeCells count="6">
    <mergeCell ref="B16:G30"/>
    <mergeCell ref="A1:H1"/>
    <mergeCell ref="A3:H3"/>
    <mergeCell ref="A2:H2"/>
    <mergeCell ref="A4:H4"/>
    <mergeCell ref="A5:H5"/>
  </mergeCells>
  <pageMargins left="0.42" right="0.32" top="0.54" bottom="0.74803149606299213" header="0.31496062992125984" footer="0.31496062992125984"/>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339"/>
  <sheetViews>
    <sheetView workbookViewId="0">
      <selection activeCell="F10" sqref="F10"/>
    </sheetView>
  </sheetViews>
  <sheetFormatPr baseColWidth="10" defaultRowHeight="15" x14ac:dyDescent="0.25"/>
  <cols>
    <col min="1" max="1" width="41.5703125" customWidth="1"/>
    <col min="2" max="2" width="21" bestFit="1" customWidth="1"/>
    <col min="3" max="3" width="18" customWidth="1"/>
    <col min="4" max="4" width="18.28515625" customWidth="1"/>
    <col min="5" max="5" width="22.42578125" customWidth="1"/>
    <col min="8" max="8" width="2" customWidth="1"/>
  </cols>
  <sheetData>
    <row r="1" spans="1:10" x14ac:dyDescent="0.25">
      <c r="A1" s="725" t="s">
        <v>167</v>
      </c>
      <c r="B1" s="725"/>
      <c r="C1" s="725"/>
      <c r="D1" s="725"/>
      <c r="E1" s="725"/>
      <c r="F1" s="725"/>
      <c r="G1" s="725"/>
      <c r="H1" s="725"/>
      <c r="I1" s="725"/>
    </row>
    <row r="2" spans="1:10" x14ac:dyDescent="0.25">
      <c r="A2" s="505" t="s">
        <v>174</v>
      </c>
      <c r="B2" s="505"/>
      <c r="C2" s="505"/>
      <c r="D2" s="505"/>
      <c r="E2" s="505"/>
      <c r="F2" s="505"/>
      <c r="G2" s="505"/>
      <c r="H2" s="505"/>
      <c r="I2" s="505"/>
    </row>
    <row r="3" spans="1:10" x14ac:dyDescent="0.25">
      <c r="A3" s="505" t="s">
        <v>599</v>
      </c>
      <c r="B3" s="505"/>
      <c r="C3" s="505"/>
      <c r="D3" s="505"/>
      <c r="E3" s="505"/>
      <c r="F3" s="505"/>
      <c r="G3" s="505"/>
      <c r="H3" s="505"/>
      <c r="I3" s="505"/>
    </row>
    <row r="4" spans="1:10" x14ac:dyDescent="0.25">
      <c r="A4" s="505" t="s">
        <v>1840</v>
      </c>
      <c r="B4" s="505"/>
      <c r="C4" s="505"/>
      <c r="D4" s="505"/>
      <c r="E4" s="505"/>
      <c r="F4" s="505"/>
      <c r="G4" s="505"/>
      <c r="H4" s="505"/>
      <c r="I4" s="505"/>
    </row>
    <row r="5" spans="1:10" ht="18" customHeight="1" x14ac:dyDescent="0.25">
      <c r="A5" s="726" t="s">
        <v>122</v>
      </c>
      <c r="B5" s="726"/>
      <c r="C5" s="726"/>
      <c r="D5" s="726"/>
      <c r="E5" s="726"/>
      <c r="F5" s="726"/>
      <c r="G5" s="726"/>
      <c r="H5" s="726"/>
      <c r="I5" s="726"/>
    </row>
    <row r="6" spans="1:10" x14ac:dyDescent="0.25">
      <c r="A6" s="182"/>
      <c r="B6" s="182"/>
      <c r="C6" s="182"/>
      <c r="D6" s="182"/>
      <c r="E6" s="182"/>
      <c r="F6" s="182"/>
      <c r="G6" s="182"/>
      <c r="H6" s="182"/>
      <c r="I6" s="182"/>
      <c r="J6" s="182"/>
    </row>
    <row r="7" spans="1:10" x14ac:dyDescent="0.25">
      <c r="A7" s="964"/>
      <c r="B7" s="964"/>
      <c r="C7" s="964"/>
      <c r="D7" s="964"/>
      <c r="E7" s="964"/>
      <c r="F7" s="182"/>
      <c r="G7" s="182"/>
      <c r="H7" s="182"/>
      <c r="I7" s="182"/>
      <c r="J7" s="182"/>
    </row>
    <row r="8" spans="1:10" s="528" customFormat="1" ht="12.75" x14ac:dyDescent="0.2">
      <c r="A8" s="965"/>
      <c r="B8" s="965"/>
      <c r="C8" s="965"/>
      <c r="D8" s="965"/>
      <c r="E8" s="965"/>
      <c r="F8" s="527"/>
      <c r="G8" s="527"/>
      <c r="H8" s="527"/>
      <c r="I8" s="527"/>
      <c r="J8" s="527"/>
    </row>
    <row r="9" spans="1:10" s="528" customFormat="1" ht="12.75" x14ac:dyDescent="0.2">
      <c r="A9" s="529"/>
      <c r="B9" s="530"/>
      <c r="C9" s="530"/>
      <c r="D9" s="530"/>
      <c r="E9" s="530"/>
      <c r="F9" s="527"/>
      <c r="G9" s="527"/>
      <c r="H9" s="527"/>
      <c r="I9" s="527"/>
      <c r="J9" s="527"/>
    </row>
    <row r="10" spans="1:10" s="528" customFormat="1" ht="12.75" x14ac:dyDescent="0.2">
      <c r="A10" s="966" t="s">
        <v>2178</v>
      </c>
      <c r="B10" s="966"/>
      <c r="C10" s="966"/>
      <c r="D10" s="966"/>
      <c r="E10" s="966"/>
      <c r="F10" s="527"/>
      <c r="G10" s="527"/>
      <c r="H10" s="527"/>
      <c r="I10" s="527"/>
      <c r="J10" s="527"/>
    </row>
    <row r="11" spans="1:10" s="528" customFormat="1" ht="12.75" x14ac:dyDescent="0.2">
      <c r="A11" s="531"/>
      <c r="B11" s="527"/>
      <c r="C11" s="527"/>
      <c r="D11" s="527"/>
      <c r="E11" s="527"/>
      <c r="F11" s="527"/>
      <c r="G11" s="527"/>
      <c r="H11" s="527"/>
      <c r="I11" s="527"/>
      <c r="J11" s="527"/>
    </row>
    <row r="12" spans="1:10" s="528" customFormat="1" ht="12.75" x14ac:dyDescent="0.2">
      <c r="A12" s="965"/>
      <c r="B12" s="965"/>
      <c r="C12" s="965"/>
      <c r="D12" s="965"/>
      <c r="E12" s="965"/>
      <c r="F12" s="527"/>
      <c r="G12" s="527"/>
      <c r="H12" s="527"/>
      <c r="I12" s="527"/>
      <c r="J12" s="527"/>
    </row>
    <row r="13" spans="1:10" s="528" customFormat="1" ht="12.75" x14ac:dyDescent="0.2">
      <c r="A13" s="962"/>
      <c r="B13" s="962"/>
      <c r="C13" s="962"/>
      <c r="D13" s="962"/>
      <c r="E13" s="962"/>
      <c r="F13" s="527"/>
      <c r="G13" s="527"/>
      <c r="H13" s="527"/>
      <c r="I13" s="527"/>
      <c r="J13" s="527"/>
    </row>
    <row r="14" spans="1:10" s="528" customFormat="1" ht="12.75" x14ac:dyDescent="0.2">
      <c r="A14" s="532"/>
      <c r="B14" s="527"/>
      <c r="C14" s="527"/>
      <c r="D14" s="527"/>
      <c r="E14" s="527"/>
      <c r="F14" s="527"/>
      <c r="G14" s="527"/>
      <c r="H14" s="527"/>
      <c r="I14" s="527"/>
      <c r="J14" s="527"/>
    </row>
    <row r="15" spans="1:10" s="528" customFormat="1" ht="51.75" customHeight="1" x14ac:dyDescent="0.2">
      <c r="A15" s="956"/>
      <c r="B15" s="956"/>
      <c r="C15" s="956"/>
      <c r="D15" s="533"/>
      <c r="E15" s="533"/>
      <c r="F15" s="527"/>
      <c r="G15" s="527"/>
      <c r="H15" s="527"/>
      <c r="I15" s="527"/>
      <c r="J15" s="527"/>
    </row>
    <row r="16" spans="1:10" s="528" customFormat="1" ht="12.75" x14ac:dyDescent="0.2">
      <c r="A16" s="532"/>
      <c r="B16" s="527"/>
      <c r="C16" s="527"/>
      <c r="D16" s="527"/>
      <c r="E16" s="527"/>
      <c r="F16" s="527"/>
      <c r="G16" s="527"/>
      <c r="H16" s="527"/>
      <c r="I16" s="527"/>
      <c r="J16" s="527"/>
    </row>
    <row r="17" spans="1:10" s="528" customFormat="1" ht="12.75" x14ac:dyDescent="0.2">
      <c r="A17" s="962"/>
      <c r="B17" s="962"/>
      <c r="C17" s="962"/>
      <c r="D17" s="962"/>
      <c r="E17" s="962"/>
      <c r="F17" s="527"/>
      <c r="G17" s="527"/>
      <c r="H17" s="527"/>
      <c r="I17" s="527"/>
      <c r="J17" s="527"/>
    </row>
    <row r="18" spans="1:10" s="528" customFormat="1" ht="12.75" x14ac:dyDescent="0.2">
      <c r="A18" s="532"/>
      <c r="B18" s="527"/>
      <c r="C18" s="527"/>
      <c r="D18" s="527"/>
      <c r="E18" s="527"/>
      <c r="F18" s="527"/>
      <c r="G18" s="527"/>
      <c r="H18" s="527"/>
      <c r="I18" s="527"/>
      <c r="J18" s="527"/>
    </row>
    <row r="19" spans="1:10" s="528" customFormat="1" ht="12.75" x14ac:dyDescent="0.2">
      <c r="A19" s="534"/>
      <c r="B19" s="534"/>
      <c r="C19" s="527"/>
      <c r="D19" s="527"/>
      <c r="E19" s="527"/>
      <c r="F19" s="527"/>
      <c r="G19" s="527"/>
      <c r="H19" s="527"/>
      <c r="I19" s="527"/>
      <c r="J19" s="527"/>
    </row>
    <row r="20" spans="1:10" s="528" customFormat="1" ht="12.75" x14ac:dyDescent="0.2">
      <c r="A20" s="857"/>
      <c r="B20" s="871"/>
      <c r="C20" s="534"/>
      <c r="D20" s="534"/>
      <c r="E20" s="534"/>
      <c r="F20" s="527"/>
      <c r="G20" s="527"/>
      <c r="H20" s="527"/>
      <c r="I20" s="527"/>
      <c r="J20" s="527"/>
    </row>
    <row r="21" spans="1:10" s="528" customFormat="1" ht="12.75" x14ac:dyDescent="0.2">
      <c r="A21" s="527"/>
      <c r="B21" s="527"/>
      <c r="C21" s="527"/>
      <c r="D21" s="527"/>
      <c r="E21" s="535"/>
      <c r="F21" s="527"/>
      <c r="G21" s="527"/>
      <c r="H21" s="527"/>
      <c r="I21" s="527"/>
      <c r="J21" s="527"/>
    </row>
    <row r="22" spans="1:10" s="528" customFormat="1" ht="12.75" x14ac:dyDescent="0.2">
      <c r="A22" s="527"/>
      <c r="B22" s="872"/>
      <c r="C22" s="536"/>
      <c r="D22" s="527"/>
      <c r="E22" s="527"/>
      <c r="F22" s="527"/>
      <c r="G22" s="527"/>
      <c r="H22" s="527"/>
      <c r="I22" s="527"/>
      <c r="J22" s="527"/>
    </row>
    <row r="23" spans="1:10" s="528" customFormat="1" ht="12.75" x14ac:dyDescent="0.2">
      <c r="A23" s="532"/>
      <c r="B23" s="872"/>
      <c r="C23" s="527"/>
      <c r="D23" s="527"/>
      <c r="E23" s="527"/>
      <c r="F23" s="527"/>
      <c r="G23" s="527"/>
      <c r="H23" s="527"/>
      <c r="I23" s="527"/>
      <c r="J23" s="527"/>
    </row>
    <row r="24" spans="1:10" s="528" customFormat="1" ht="12.75" x14ac:dyDescent="0.2">
      <c r="A24" s="527"/>
      <c r="B24" s="539"/>
      <c r="C24" s="527"/>
      <c r="D24" s="527"/>
      <c r="E24" s="532"/>
      <c r="F24" s="527"/>
      <c r="G24" s="527"/>
      <c r="H24" s="527"/>
      <c r="I24" s="527"/>
      <c r="J24" s="527"/>
    </row>
    <row r="25" spans="1:10" s="528" customFormat="1" ht="12.75" x14ac:dyDescent="0.2">
      <c r="A25" s="856"/>
      <c r="B25" s="872"/>
      <c r="C25" s="538"/>
      <c r="D25" s="537"/>
      <c r="E25" s="527"/>
      <c r="F25" s="527"/>
      <c r="G25" s="527"/>
      <c r="H25" s="527"/>
      <c r="I25" s="527"/>
      <c r="J25" s="527"/>
    </row>
    <row r="26" spans="1:10" s="528" customFormat="1" ht="12.75" x14ac:dyDescent="0.2">
      <c r="A26" s="535"/>
      <c r="B26" s="873"/>
      <c r="C26" s="527"/>
      <c r="D26" s="527"/>
      <c r="E26" s="535"/>
      <c r="F26" s="527"/>
      <c r="G26" s="527"/>
      <c r="H26" s="527"/>
      <c r="I26" s="527"/>
      <c r="J26" s="527"/>
    </row>
    <row r="27" spans="1:10" s="528" customFormat="1" ht="12.75" x14ac:dyDescent="0.2">
      <c r="A27" s="527"/>
      <c r="B27" s="527"/>
      <c r="C27" s="527"/>
      <c r="D27" s="527"/>
      <c r="E27" s="527"/>
      <c r="F27" s="527"/>
      <c r="G27" s="527"/>
      <c r="H27" s="527"/>
      <c r="I27" s="527"/>
      <c r="J27" s="527"/>
    </row>
    <row r="28" spans="1:10" s="528" customFormat="1" ht="12.75" x14ac:dyDescent="0.2">
      <c r="A28" s="532"/>
      <c r="B28" s="527"/>
      <c r="C28" s="527"/>
      <c r="D28" s="527"/>
      <c r="E28" s="527"/>
      <c r="F28" s="527"/>
      <c r="G28" s="527"/>
      <c r="H28" s="527"/>
      <c r="I28" s="527"/>
      <c r="J28" s="527"/>
    </row>
    <row r="29" spans="1:10" s="528" customFormat="1" ht="12.75" x14ac:dyDescent="0.2">
      <c r="A29" s="962"/>
      <c r="B29" s="962"/>
      <c r="C29" s="962"/>
      <c r="D29" s="962"/>
      <c r="E29" s="962"/>
      <c r="F29" s="527"/>
      <c r="G29" s="527"/>
      <c r="H29" s="527"/>
      <c r="I29" s="527"/>
      <c r="J29" s="527"/>
    </row>
    <row r="30" spans="1:10" s="528" customFormat="1" ht="12.75" x14ac:dyDescent="0.2">
      <c r="A30" s="532"/>
      <c r="B30" s="527"/>
      <c r="C30" s="527"/>
      <c r="D30" s="527"/>
      <c r="E30" s="527"/>
      <c r="F30" s="527"/>
      <c r="G30" s="527"/>
      <c r="H30" s="527"/>
      <c r="I30" s="527"/>
      <c r="J30" s="527"/>
    </row>
    <row r="31" spans="1:10" s="528" customFormat="1" ht="12.75" x14ac:dyDescent="0.2">
      <c r="A31" s="531"/>
      <c r="B31" s="527"/>
      <c r="C31" s="527"/>
      <c r="D31" s="527"/>
      <c r="E31" s="527"/>
      <c r="F31" s="527"/>
      <c r="G31" s="527"/>
      <c r="H31" s="527"/>
      <c r="I31" s="527"/>
      <c r="J31" s="527"/>
    </row>
    <row r="32" spans="1:10" s="528" customFormat="1" ht="14.25" customHeight="1" x14ac:dyDescent="0.2">
      <c r="A32" s="962"/>
      <c r="B32" s="962"/>
      <c r="C32" s="962"/>
      <c r="D32" s="962"/>
      <c r="E32" s="962"/>
      <c r="F32" s="527"/>
      <c r="G32" s="527"/>
      <c r="H32" s="527"/>
      <c r="I32" s="527"/>
      <c r="J32" s="527"/>
    </row>
    <row r="33" spans="1:10" s="528" customFormat="1" ht="12.75" x14ac:dyDescent="0.2">
      <c r="A33" s="531"/>
      <c r="B33" s="527"/>
      <c r="C33" s="527"/>
      <c r="D33" s="527"/>
      <c r="E33" s="527"/>
      <c r="F33" s="527"/>
      <c r="G33" s="527"/>
      <c r="H33" s="527"/>
      <c r="I33" s="527"/>
      <c r="J33" s="527"/>
    </row>
    <row r="34" spans="1:10" s="528" customFormat="1" ht="12.75" x14ac:dyDescent="0.2">
      <c r="A34" s="962"/>
      <c r="B34" s="962"/>
      <c r="C34" s="962"/>
      <c r="D34" s="962"/>
      <c r="E34" s="962"/>
      <c r="F34" s="527"/>
      <c r="G34" s="527"/>
      <c r="H34" s="527"/>
      <c r="I34" s="527"/>
      <c r="J34" s="527"/>
    </row>
    <row r="35" spans="1:10" s="528" customFormat="1" ht="12.75" x14ac:dyDescent="0.2">
      <c r="A35" s="531"/>
      <c r="B35" s="527"/>
      <c r="C35" s="527"/>
      <c r="D35" s="527"/>
      <c r="E35" s="527"/>
      <c r="F35" s="527"/>
      <c r="G35" s="527"/>
      <c r="H35" s="527"/>
      <c r="I35" s="527"/>
      <c r="J35" s="527"/>
    </row>
    <row r="36" spans="1:10" s="528" customFormat="1" ht="12.75" x14ac:dyDescent="0.2">
      <c r="A36" s="531"/>
      <c r="B36" s="527"/>
      <c r="C36" s="527"/>
      <c r="D36" s="527"/>
      <c r="E36" s="527"/>
      <c r="F36" s="527"/>
      <c r="G36" s="527"/>
      <c r="H36" s="527"/>
      <c r="I36" s="527"/>
      <c r="J36" s="527"/>
    </row>
    <row r="37" spans="1:10" s="528" customFormat="1" ht="12.75" x14ac:dyDescent="0.2">
      <c r="A37" s="527"/>
      <c r="B37" s="874"/>
      <c r="C37" s="537"/>
      <c r="D37" s="537"/>
      <c r="E37" s="527"/>
      <c r="F37" s="527"/>
      <c r="G37" s="527"/>
      <c r="H37" s="527"/>
      <c r="I37" s="527"/>
      <c r="J37" s="527"/>
    </row>
    <row r="38" spans="1:10" s="528" customFormat="1" ht="12.75" x14ac:dyDescent="0.2">
      <c r="A38" s="535"/>
      <c r="B38" s="871"/>
      <c r="C38" s="535"/>
      <c r="D38" s="535"/>
      <c r="E38" s="527"/>
      <c r="F38" s="527"/>
      <c r="G38" s="527"/>
      <c r="H38" s="527"/>
      <c r="I38" s="527"/>
      <c r="J38" s="527"/>
    </row>
    <row r="39" spans="1:10" s="528" customFormat="1" ht="12.75" x14ac:dyDescent="0.2">
      <c r="A39" s="527"/>
      <c r="B39" s="527"/>
      <c r="C39" s="527"/>
      <c r="D39" s="527"/>
      <c r="E39" s="527"/>
      <c r="F39" s="527"/>
      <c r="G39" s="527"/>
      <c r="H39" s="527"/>
      <c r="I39" s="527"/>
      <c r="J39" s="527"/>
    </row>
    <row r="40" spans="1:10" s="528" customFormat="1" ht="12.75" x14ac:dyDescent="0.2">
      <c r="A40" s="856"/>
      <c r="B40" s="872"/>
      <c r="C40" s="858"/>
      <c r="D40" s="858"/>
      <c r="E40" s="527"/>
      <c r="F40" s="527"/>
      <c r="G40" s="527"/>
      <c r="H40" s="527"/>
      <c r="I40" s="527"/>
      <c r="J40" s="527"/>
    </row>
    <row r="41" spans="1:10" s="528" customFormat="1" ht="12.75" x14ac:dyDescent="0.2">
      <c r="A41" s="856"/>
      <c r="B41" s="872"/>
      <c r="C41" s="858"/>
      <c r="D41" s="858"/>
      <c r="E41" s="527"/>
      <c r="F41" s="527"/>
      <c r="G41" s="527"/>
      <c r="H41" s="527"/>
      <c r="I41" s="527"/>
      <c r="J41" s="527"/>
    </row>
    <row r="42" spans="1:10" s="528" customFormat="1" ht="12.75" x14ac:dyDescent="0.2">
      <c r="A42" s="856"/>
      <c r="B42" s="872"/>
      <c r="C42" s="858"/>
      <c r="D42" s="858"/>
      <c r="E42" s="527"/>
      <c r="F42" s="527"/>
      <c r="G42" s="527"/>
      <c r="H42" s="527"/>
      <c r="I42" s="527"/>
      <c r="J42" s="527"/>
    </row>
    <row r="43" spans="1:10" s="528" customFormat="1" ht="12.75" x14ac:dyDescent="0.2">
      <c r="A43" s="527"/>
      <c r="B43" s="539"/>
      <c r="C43" s="527"/>
      <c r="D43" s="527"/>
      <c r="E43" s="527"/>
      <c r="F43" s="527"/>
      <c r="G43" s="527"/>
      <c r="H43" s="527"/>
      <c r="I43" s="527"/>
      <c r="J43" s="527"/>
    </row>
    <row r="44" spans="1:10" s="528" customFormat="1" ht="12.75" x14ac:dyDescent="0.2">
      <c r="A44" s="535"/>
      <c r="B44" s="875"/>
      <c r="C44" s="527"/>
      <c r="D44" s="527"/>
      <c r="E44" s="527"/>
      <c r="F44" s="527"/>
      <c r="G44" s="527"/>
      <c r="H44" s="527"/>
      <c r="I44" s="527"/>
      <c r="J44" s="527"/>
    </row>
    <row r="45" spans="1:10" s="528" customFormat="1" ht="12.75" x14ac:dyDescent="0.2">
      <c r="A45" s="531"/>
      <c r="B45" s="539"/>
      <c r="C45" s="527"/>
      <c r="D45" s="527"/>
      <c r="E45" s="527"/>
      <c r="F45" s="527"/>
      <c r="G45" s="527"/>
      <c r="H45" s="527"/>
      <c r="I45" s="527"/>
      <c r="J45" s="527"/>
    </row>
    <row r="46" spans="1:10" s="528" customFormat="1" ht="12.75" x14ac:dyDescent="0.2">
      <c r="A46" s="532"/>
      <c r="B46" s="527"/>
      <c r="C46" s="527"/>
      <c r="D46" s="527"/>
      <c r="E46" s="527"/>
      <c r="F46" s="527"/>
      <c r="G46" s="527"/>
      <c r="H46" s="527"/>
      <c r="I46" s="527"/>
      <c r="J46" s="527"/>
    </row>
    <row r="47" spans="1:10" s="528" customFormat="1" ht="36" customHeight="1" x14ac:dyDescent="0.2">
      <c r="A47" s="953"/>
      <c r="B47" s="953"/>
      <c r="C47" s="533"/>
      <c r="D47" s="533"/>
      <c r="E47" s="533"/>
      <c r="F47" s="527"/>
      <c r="G47" s="527"/>
      <c r="H47" s="527"/>
      <c r="I47" s="527"/>
      <c r="J47" s="527"/>
    </row>
    <row r="48" spans="1:10" s="528" customFormat="1" ht="12.75" x14ac:dyDescent="0.2">
      <c r="A48" s="856"/>
      <c r="B48" s="533"/>
      <c r="C48" s="533"/>
      <c r="D48" s="533"/>
      <c r="E48" s="533"/>
      <c r="F48" s="527"/>
      <c r="G48" s="527"/>
      <c r="H48" s="527"/>
      <c r="I48" s="527"/>
      <c r="J48" s="527"/>
    </row>
    <row r="49" spans="1:10" s="528" customFormat="1" ht="41.25" customHeight="1" x14ac:dyDescent="0.2">
      <c r="A49" s="963"/>
      <c r="B49" s="963"/>
      <c r="C49" s="963"/>
      <c r="D49" s="963"/>
      <c r="E49" s="963"/>
      <c r="F49" s="527"/>
      <c r="G49" s="527"/>
      <c r="H49" s="527"/>
      <c r="I49" s="527"/>
      <c r="J49" s="527"/>
    </row>
    <row r="50" spans="1:10" s="528" customFormat="1" ht="12.75" x14ac:dyDescent="0.2">
      <c r="A50" s="962"/>
      <c r="B50" s="962"/>
      <c r="C50" s="962"/>
      <c r="D50" s="962"/>
      <c r="E50" s="962"/>
      <c r="F50" s="527"/>
      <c r="G50" s="527"/>
      <c r="H50" s="527"/>
      <c r="I50" s="527"/>
      <c r="J50" s="527"/>
    </row>
    <row r="51" spans="1:10" s="528" customFormat="1" ht="12.75" x14ac:dyDescent="0.2">
      <c r="A51" s="962"/>
      <c r="B51" s="962"/>
      <c r="C51" s="962"/>
      <c r="D51" s="962"/>
      <c r="E51" s="962"/>
      <c r="F51" s="527"/>
      <c r="G51" s="527"/>
      <c r="H51" s="527"/>
      <c r="I51" s="527"/>
      <c r="J51" s="527"/>
    </row>
    <row r="52" spans="1:10" s="528" customFormat="1" ht="12.75" x14ac:dyDescent="0.2">
      <c r="A52" s="962"/>
      <c r="B52" s="962"/>
      <c r="C52" s="962"/>
      <c r="D52" s="962"/>
      <c r="E52" s="962"/>
      <c r="F52" s="527"/>
      <c r="G52" s="527"/>
      <c r="H52" s="527"/>
      <c r="I52" s="527"/>
      <c r="J52" s="527"/>
    </row>
    <row r="53" spans="1:10" s="528" customFormat="1" ht="12.75" x14ac:dyDescent="0.2">
      <c r="A53" s="962"/>
      <c r="B53" s="962"/>
      <c r="C53" s="962"/>
      <c r="D53" s="962"/>
      <c r="E53" s="962"/>
      <c r="F53" s="527"/>
      <c r="G53" s="527"/>
      <c r="H53" s="527"/>
      <c r="I53" s="527"/>
      <c r="J53" s="527"/>
    </row>
    <row r="54" spans="1:10" s="528" customFormat="1" ht="12.75" x14ac:dyDescent="0.2">
      <c r="A54" s="540"/>
      <c r="B54" s="533"/>
      <c r="C54" s="533"/>
      <c r="D54" s="533"/>
      <c r="E54" s="533"/>
      <c r="F54" s="527"/>
      <c r="G54" s="527"/>
      <c r="H54" s="527"/>
      <c r="I54" s="527"/>
      <c r="J54" s="527"/>
    </row>
    <row r="55" spans="1:10" s="528" customFormat="1" ht="12.75" x14ac:dyDescent="0.2">
      <c r="A55" s="958"/>
      <c r="B55" s="958"/>
      <c r="C55" s="958"/>
      <c r="D55" s="958"/>
      <c r="E55" s="958"/>
      <c r="F55" s="527"/>
      <c r="G55" s="527"/>
      <c r="H55" s="527"/>
      <c r="I55" s="527"/>
      <c r="J55" s="527"/>
    </row>
    <row r="56" spans="1:10" s="528" customFormat="1" ht="12.75" x14ac:dyDescent="0.2">
      <c r="A56" s="541"/>
      <c r="B56" s="533"/>
      <c r="C56" s="533"/>
      <c r="D56" s="533"/>
      <c r="E56" s="533"/>
      <c r="F56" s="527"/>
      <c r="G56" s="527"/>
      <c r="H56" s="527"/>
      <c r="I56" s="527"/>
      <c r="J56" s="527"/>
    </row>
    <row r="57" spans="1:10" s="528" customFormat="1" ht="12.75" customHeight="1" x14ac:dyDescent="0.2">
      <c r="A57" s="956"/>
      <c r="B57" s="956"/>
      <c r="C57" s="956"/>
      <c r="D57" s="956"/>
      <c r="E57" s="956"/>
      <c r="F57" s="527"/>
      <c r="G57" s="527"/>
      <c r="H57" s="527"/>
      <c r="I57" s="527"/>
      <c r="J57" s="527"/>
    </row>
    <row r="58" spans="1:10" s="528" customFormat="1" ht="12.75" x14ac:dyDescent="0.2">
      <c r="A58" s="541"/>
      <c r="B58" s="533"/>
      <c r="C58" s="533"/>
      <c r="D58" s="533"/>
      <c r="E58" s="533"/>
      <c r="F58" s="527"/>
      <c r="G58" s="527"/>
      <c r="H58" s="527"/>
      <c r="I58" s="527"/>
      <c r="J58" s="527"/>
    </row>
    <row r="59" spans="1:10" s="528" customFormat="1" ht="12.75" x14ac:dyDescent="0.2">
      <c r="A59" s="876"/>
      <c r="B59" s="876"/>
      <c r="C59" s="876"/>
      <c r="D59" s="876"/>
      <c r="E59" s="527"/>
      <c r="F59" s="527"/>
      <c r="G59" s="527"/>
      <c r="H59" s="527"/>
      <c r="I59" s="527"/>
      <c r="J59" s="527"/>
    </row>
    <row r="60" spans="1:10" s="528" customFormat="1" ht="12.75" x14ac:dyDescent="0.2">
      <c r="A60" s="544"/>
      <c r="B60" s="544"/>
      <c r="C60" s="544"/>
      <c r="D60" s="871"/>
      <c r="E60" s="527"/>
      <c r="F60" s="527"/>
      <c r="G60" s="527"/>
      <c r="H60" s="527"/>
      <c r="I60" s="527"/>
      <c r="J60" s="527"/>
    </row>
    <row r="61" spans="1:10" s="528" customFormat="1" ht="12.75" x14ac:dyDescent="0.2">
      <c r="A61" s="533"/>
      <c r="B61" s="533"/>
      <c r="C61" s="533"/>
      <c r="D61" s="533"/>
      <c r="E61" s="527"/>
      <c r="F61" s="527"/>
      <c r="G61" s="527"/>
      <c r="H61" s="527"/>
      <c r="I61" s="527"/>
      <c r="J61" s="527"/>
    </row>
    <row r="62" spans="1:10" s="528" customFormat="1" ht="12.75" x14ac:dyDescent="0.2">
      <c r="A62" s="856"/>
      <c r="B62" s="542"/>
      <c r="C62" s="542"/>
      <c r="D62" s="543"/>
      <c r="E62" s="527"/>
      <c r="F62" s="527"/>
      <c r="G62" s="527"/>
      <c r="H62" s="527"/>
      <c r="I62" s="527"/>
      <c r="J62" s="527"/>
    </row>
    <row r="63" spans="1:10" s="528" customFormat="1" ht="12.75" x14ac:dyDescent="0.2">
      <c r="A63" s="856"/>
      <c r="B63" s="542"/>
      <c r="C63" s="542"/>
      <c r="D63" s="543"/>
      <c r="E63" s="527"/>
      <c r="F63" s="527"/>
      <c r="G63" s="527"/>
      <c r="H63" s="527"/>
      <c r="I63" s="527"/>
      <c r="J63" s="527"/>
    </row>
    <row r="64" spans="1:10" s="528" customFormat="1" ht="12.75" x14ac:dyDescent="0.2">
      <c r="A64" s="856"/>
      <c r="B64" s="856"/>
      <c r="C64" s="856"/>
      <c r="D64" s="543"/>
      <c r="E64" s="527"/>
      <c r="F64" s="527"/>
      <c r="G64" s="527"/>
      <c r="H64" s="527"/>
      <c r="I64" s="527"/>
      <c r="J64" s="527"/>
    </row>
    <row r="65" spans="1:10" s="528" customFormat="1" ht="12.75" x14ac:dyDescent="0.2">
      <c r="A65" s="533"/>
      <c r="B65" s="533"/>
      <c r="C65" s="544"/>
      <c r="D65" s="877"/>
      <c r="E65" s="527"/>
      <c r="F65" s="527"/>
      <c r="G65" s="527"/>
      <c r="H65" s="527"/>
      <c r="I65" s="527"/>
      <c r="J65" s="527"/>
    </row>
    <row r="66" spans="1:10" s="528" customFormat="1" ht="12.75" x14ac:dyDescent="0.2">
      <c r="A66" s="545"/>
      <c r="B66" s="545"/>
      <c r="C66" s="545"/>
      <c r="D66" s="546"/>
      <c r="E66" s="527"/>
      <c r="F66" s="527"/>
      <c r="G66" s="527"/>
      <c r="H66" s="527"/>
      <c r="I66" s="527"/>
      <c r="J66" s="527"/>
    </row>
    <row r="67" spans="1:10" s="528" customFormat="1" ht="12.75" x14ac:dyDescent="0.2">
      <c r="A67" s="541"/>
      <c r="B67" s="533"/>
      <c r="C67" s="533"/>
      <c r="D67" s="533"/>
      <c r="E67" s="533"/>
      <c r="F67" s="527"/>
      <c r="G67" s="527"/>
      <c r="H67" s="527"/>
      <c r="I67" s="527"/>
      <c r="J67" s="527"/>
    </row>
    <row r="68" spans="1:10" s="528" customFormat="1" ht="39.75" customHeight="1" x14ac:dyDescent="0.2">
      <c r="A68" s="956"/>
      <c r="B68" s="956"/>
      <c r="C68" s="956"/>
      <c r="D68" s="956"/>
      <c r="E68" s="856"/>
      <c r="F68" s="527"/>
      <c r="G68" s="527"/>
      <c r="H68" s="527"/>
      <c r="I68" s="527"/>
      <c r="J68" s="527"/>
    </row>
    <row r="69" spans="1:10" s="528" customFormat="1" ht="12.75" x14ac:dyDescent="0.2">
      <c r="A69" s="529"/>
      <c r="B69" s="530"/>
      <c r="C69" s="530"/>
      <c r="D69" s="530"/>
      <c r="E69" s="530"/>
      <c r="F69" s="527"/>
      <c r="G69" s="527"/>
      <c r="H69" s="527"/>
      <c r="I69" s="527"/>
      <c r="J69" s="527"/>
    </row>
    <row r="70" spans="1:10" s="528" customFormat="1" ht="12.75" x14ac:dyDescent="0.2">
      <c r="A70" s="961"/>
      <c r="B70" s="961"/>
      <c r="C70" s="961"/>
      <c r="D70" s="961"/>
      <c r="E70" s="961"/>
      <c r="F70" s="530"/>
      <c r="G70" s="530"/>
      <c r="H70" s="530"/>
      <c r="I70" s="530"/>
      <c r="J70" s="530"/>
    </row>
    <row r="71" spans="1:10" s="528" customFormat="1" ht="12.75" x14ac:dyDescent="0.2">
      <c r="A71" s="547"/>
      <c r="B71" s="547"/>
      <c r="C71" s="547"/>
      <c r="D71" s="547"/>
      <c r="E71" s="527"/>
      <c r="F71" s="547"/>
      <c r="G71" s="548"/>
      <c r="H71" s="548"/>
      <c r="I71" s="548"/>
      <c r="J71" s="548"/>
    </row>
    <row r="72" spans="1:10" s="528" customFormat="1" ht="12.75" x14ac:dyDescent="0.2">
      <c r="A72" s="878"/>
      <c r="B72" s="879"/>
      <c r="C72" s="880"/>
      <c r="D72" s="881"/>
      <c r="E72" s="527"/>
      <c r="F72" s="549"/>
      <c r="G72" s="548"/>
      <c r="H72" s="548"/>
      <c r="I72" s="548"/>
      <c r="J72" s="548"/>
    </row>
    <row r="73" spans="1:10" s="528" customFormat="1" ht="12.75" x14ac:dyDescent="0.2">
      <c r="A73" s="878"/>
      <c r="B73" s="880"/>
      <c r="C73" s="880"/>
      <c r="D73" s="881"/>
      <c r="E73" s="527"/>
      <c r="F73" s="549"/>
      <c r="G73" s="548"/>
      <c r="H73" s="548"/>
      <c r="I73" s="548"/>
      <c r="J73" s="548"/>
    </row>
    <row r="74" spans="1:10" s="528" customFormat="1" ht="12.75" x14ac:dyDescent="0.2">
      <c r="A74" s="878"/>
      <c r="B74" s="879"/>
      <c r="C74" s="880"/>
      <c r="D74" s="881"/>
      <c r="E74" s="527"/>
      <c r="F74" s="549"/>
      <c r="G74" s="548"/>
      <c r="H74" s="548"/>
      <c r="I74" s="548"/>
      <c r="J74" s="548"/>
    </row>
    <row r="75" spans="1:10" s="528" customFormat="1" ht="12.75" x14ac:dyDescent="0.2">
      <c r="A75" s="878"/>
      <c r="B75" s="880"/>
      <c r="C75" s="880"/>
      <c r="D75" s="881"/>
      <c r="E75" s="527"/>
      <c r="F75" s="549"/>
      <c r="G75" s="548"/>
      <c r="H75" s="548"/>
      <c r="I75" s="548"/>
      <c r="J75" s="548"/>
    </row>
    <row r="76" spans="1:10" s="528" customFormat="1" ht="12.75" x14ac:dyDescent="0.2">
      <c r="A76" s="878"/>
      <c r="B76" s="880"/>
      <c r="C76" s="880"/>
      <c r="D76" s="881"/>
      <c r="E76" s="527"/>
      <c r="F76" s="549"/>
      <c r="G76" s="548"/>
      <c r="H76" s="548"/>
      <c r="I76" s="548"/>
      <c r="J76" s="548"/>
    </row>
    <row r="77" spans="1:10" s="528" customFormat="1" ht="12.75" x14ac:dyDescent="0.2">
      <c r="A77" s="882"/>
      <c r="B77" s="550"/>
      <c r="C77" s="550"/>
      <c r="D77" s="550"/>
      <c r="E77" s="527"/>
      <c r="F77" s="550"/>
      <c r="G77" s="530"/>
      <c r="H77" s="530"/>
      <c r="I77" s="530"/>
      <c r="J77" s="530"/>
    </row>
    <row r="78" spans="1:10" s="528" customFormat="1" ht="12.75" x14ac:dyDescent="0.2">
      <c r="A78" s="861"/>
      <c r="B78" s="861"/>
      <c r="C78" s="861"/>
      <c r="D78" s="861"/>
      <c r="E78" s="861"/>
      <c r="F78" s="530"/>
      <c r="G78" s="530"/>
      <c r="H78" s="530"/>
      <c r="I78" s="530"/>
      <c r="J78" s="530"/>
    </row>
    <row r="79" spans="1:10" s="528" customFormat="1" ht="12.75" x14ac:dyDescent="0.2">
      <c r="A79" s="861"/>
      <c r="B79" s="861"/>
      <c r="C79" s="861"/>
      <c r="D79" s="861"/>
      <c r="E79" s="861"/>
      <c r="F79" s="530"/>
      <c r="G79" s="530"/>
      <c r="H79" s="530"/>
      <c r="I79" s="530"/>
      <c r="J79" s="530"/>
    </row>
    <row r="80" spans="1:10" s="528" customFormat="1" ht="12.75" x14ac:dyDescent="0.2">
      <c r="A80" s="861"/>
      <c r="B80" s="861"/>
      <c r="C80" s="861"/>
      <c r="D80" s="861"/>
      <c r="E80" s="861"/>
      <c r="F80" s="530"/>
      <c r="G80" s="530"/>
      <c r="H80" s="530"/>
      <c r="I80" s="530"/>
      <c r="J80" s="530"/>
    </row>
    <row r="81" spans="1:10" s="528" customFormat="1" ht="12.75" x14ac:dyDescent="0.2">
      <c r="A81" s="962"/>
      <c r="B81" s="962"/>
      <c r="C81" s="962"/>
      <c r="D81" s="962"/>
      <c r="E81" s="962"/>
      <c r="F81" s="527"/>
      <c r="G81" s="527"/>
      <c r="H81" s="527"/>
      <c r="I81" s="527"/>
      <c r="J81" s="527"/>
    </row>
    <row r="82" spans="1:10" s="528" customFormat="1" ht="12.75" x14ac:dyDescent="0.2">
      <c r="A82" s="858"/>
      <c r="B82" s="858"/>
      <c r="C82" s="858"/>
      <c r="D82" s="858"/>
      <c r="E82" s="858"/>
      <c r="F82" s="527"/>
      <c r="G82" s="527"/>
      <c r="H82" s="527"/>
      <c r="I82" s="527"/>
      <c r="J82" s="527"/>
    </row>
    <row r="83" spans="1:10" s="528" customFormat="1" ht="12.75" x14ac:dyDescent="0.2">
      <c r="A83" s="962"/>
      <c r="B83" s="962"/>
      <c r="C83" s="962"/>
      <c r="D83" s="962"/>
      <c r="E83" s="962"/>
      <c r="F83" s="527"/>
      <c r="G83" s="527"/>
      <c r="H83" s="527"/>
      <c r="I83" s="527"/>
      <c r="J83" s="527"/>
    </row>
    <row r="84" spans="1:10" s="528" customFormat="1" ht="12.75" x14ac:dyDescent="0.2">
      <c r="A84" s="857"/>
      <c r="B84" s="857"/>
      <c r="C84" s="857"/>
      <c r="D84" s="857"/>
      <c r="E84" s="857"/>
      <c r="F84" s="527"/>
      <c r="G84" s="527"/>
      <c r="H84" s="527"/>
      <c r="I84" s="527"/>
      <c r="J84" s="527"/>
    </row>
    <row r="85" spans="1:10" s="528" customFormat="1" ht="12.75" x14ac:dyDescent="0.2">
      <c r="A85" s="857"/>
      <c r="B85" s="857"/>
      <c r="C85" s="857"/>
      <c r="D85" s="857"/>
      <c r="E85" s="857"/>
      <c r="F85" s="527"/>
      <c r="G85" s="527"/>
      <c r="H85" s="527"/>
      <c r="I85" s="527"/>
      <c r="J85" s="527"/>
    </row>
    <row r="86" spans="1:10" s="528" customFormat="1" ht="12.75" x14ac:dyDescent="0.2">
      <c r="A86" s="960"/>
      <c r="B86" s="960"/>
      <c r="C86" s="960"/>
      <c r="D86" s="960"/>
      <c r="E86" s="960"/>
      <c r="F86" s="527"/>
      <c r="G86" s="527"/>
      <c r="H86" s="527"/>
      <c r="I86" s="527"/>
      <c r="J86" s="527"/>
    </row>
    <row r="87" spans="1:10" s="528" customFormat="1" ht="12.75" x14ac:dyDescent="0.2">
      <c r="A87" s="856"/>
      <c r="B87" s="856"/>
      <c r="C87" s="856"/>
      <c r="D87" s="856"/>
      <c r="E87" s="856"/>
      <c r="F87" s="527"/>
      <c r="G87" s="527"/>
      <c r="H87" s="527"/>
      <c r="I87" s="527"/>
      <c r="J87" s="527"/>
    </row>
    <row r="88" spans="1:10" s="528" customFormat="1" ht="12.75" customHeight="1" x14ac:dyDescent="0.2">
      <c r="A88" s="955"/>
      <c r="B88" s="955"/>
      <c r="C88" s="955"/>
      <c r="D88" s="955"/>
      <c r="E88" s="955"/>
      <c r="F88" s="527"/>
      <c r="G88" s="527"/>
      <c r="H88" s="527"/>
      <c r="I88" s="527"/>
      <c r="J88" s="527"/>
    </row>
    <row r="89" spans="1:10" s="528" customFormat="1" ht="12.75" x14ac:dyDescent="0.2">
      <c r="A89" s="551"/>
      <c r="B89" s="548"/>
      <c r="C89" s="548"/>
      <c r="D89" s="548"/>
      <c r="E89" s="548"/>
      <c r="F89" s="527"/>
      <c r="G89" s="527"/>
      <c r="H89" s="527"/>
      <c r="I89" s="527"/>
      <c r="J89" s="527"/>
    </row>
    <row r="90" spans="1:10" s="528" customFormat="1" ht="12.75" x14ac:dyDescent="0.2">
      <c r="A90" s="551"/>
      <c r="B90" s="548"/>
      <c r="C90" s="548"/>
      <c r="D90" s="548"/>
      <c r="E90" s="548"/>
      <c r="F90" s="527"/>
      <c r="G90" s="527"/>
      <c r="H90" s="527"/>
      <c r="I90" s="527"/>
      <c r="J90" s="527"/>
    </row>
    <row r="91" spans="1:10" s="528" customFormat="1" ht="12.75" x14ac:dyDescent="0.2">
      <c r="A91" s="548"/>
      <c r="B91" s="553"/>
      <c r="C91" s="553"/>
      <c r="D91" s="552"/>
      <c r="E91" s="530"/>
      <c r="F91" s="527"/>
      <c r="G91" s="527"/>
      <c r="H91" s="527"/>
      <c r="I91" s="527"/>
      <c r="J91" s="527"/>
    </row>
    <row r="92" spans="1:10" s="528" customFormat="1" ht="12.75" x14ac:dyDescent="0.2">
      <c r="A92" s="553"/>
      <c r="B92" s="871"/>
      <c r="C92" s="553"/>
      <c r="D92" s="553"/>
      <c r="E92" s="530"/>
      <c r="F92" s="527"/>
      <c r="G92" s="527"/>
      <c r="H92" s="527"/>
      <c r="I92" s="527"/>
      <c r="J92" s="527"/>
    </row>
    <row r="93" spans="1:10" s="528" customFormat="1" ht="12.75" x14ac:dyDescent="0.2">
      <c r="A93" s="548"/>
      <c r="B93" s="548"/>
      <c r="C93" s="548"/>
      <c r="D93" s="548"/>
      <c r="E93" s="530"/>
      <c r="F93" s="527"/>
      <c r="G93" s="527"/>
      <c r="H93" s="527"/>
      <c r="I93" s="527"/>
      <c r="J93" s="527"/>
    </row>
    <row r="94" spans="1:10" s="528" customFormat="1" ht="12.75" x14ac:dyDescent="0.2">
      <c r="A94" s="859"/>
      <c r="B94" s="548"/>
      <c r="C94" s="548"/>
      <c r="D94" s="548"/>
      <c r="E94" s="530"/>
      <c r="F94" s="527"/>
      <c r="G94" s="527"/>
      <c r="H94" s="527"/>
      <c r="I94" s="527"/>
      <c r="J94" s="527"/>
    </row>
    <row r="95" spans="1:10" s="528" customFormat="1" ht="12.75" x14ac:dyDescent="0.2">
      <c r="A95" s="859"/>
      <c r="B95" s="556"/>
      <c r="C95" s="859"/>
      <c r="D95" s="859"/>
      <c r="E95" s="530"/>
      <c r="F95" s="527"/>
      <c r="G95" s="527"/>
      <c r="H95" s="527"/>
      <c r="I95" s="527"/>
      <c r="J95" s="527"/>
    </row>
    <row r="96" spans="1:10" s="528" customFormat="1" ht="12.75" x14ac:dyDescent="0.2">
      <c r="A96" s="859"/>
      <c r="B96" s="556"/>
      <c r="C96" s="859"/>
      <c r="D96" s="859"/>
      <c r="E96" s="530"/>
      <c r="F96" s="527"/>
      <c r="G96" s="527"/>
      <c r="H96" s="527"/>
      <c r="I96" s="527"/>
      <c r="J96" s="527"/>
    </row>
    <row r="97" spans="1:10" s="528" customFormat="1" ht="12.75" x14ac:dyDescent="0.2">
      <c r="A97" s="859"/>
      <c r="B97" s="556"/>
      <c r="C97" s="859"/>
      <c r="D97" s="859"/>
      <c r="E97" s="530"/>
      <c r="F97" s="527"/>
      <c r="G97" s="527"/>
      <c r="H97" s="527"/>
      <c r="I97" s="527"/>
      <c r="J97" s="527"/>
    </row>
    <row r="98" spans="1:10" s="528" customFormat="1" ht="12.75" x14ac:dyDescent="0.2">
      <c r="A98" s="859"/>
      <c r="B98" s="556"/>
      <c r="C98" s="859"/>
      <c r="D98" s="859"/>
      <c r="E98" s="530"/>
      <c r="F98" s="527"/>
      <c r="G98" s="527"/>
      <c r="H98" s="527"/>
      <c r="I98" s="527"/>
      <c r="J98" s="527"/>
    </row>
    <row r="99" spans="1:10" s="528" customFormat="1" ht="12.75" x14ac:dyDescent="0.2">
      <c r="A99" s="553"/>
      <c r="B99" s="883"/>
      <c r="C99" s="548"/>
      <c r="D99" s="548"/>
      <c r="E99" s="530"/>
      <c r="F99" s="527"/>
      <c r="G99" s="527"/>
      <c r="H99" s="527"/>
      <c r="I99" s="527"/>
      <c r="J99" s="527"/>
    </row>
    <row r="100" spans="1:10" s="528" customFormat="1" ht="12.75" x14ac:dyDescent="0.2">
      <c r="A100" s="553"/>
      <c r="B100" s="883"/>
      <c r="C100" s="548"/>
      <c r="D100" s="530"/>
      <c r="E100" s="530"/>
      <c r="F100" s="527"/>
      <c r="G100" s="527"/>
      <c r="H100" s="527"/>
      <c r="I100" s="527"/>
      <c r="J100" s="527"/>
    </row>
    <row r="101" spans="1:10" s="528" customFormat="1" ht="12.75" x14ac:dyDescent="0.2">
      <c r="A101" s="856"/>
      <c r="B101" s="856"/>
      <c r="C101" s="856"/>
      <c r="D101" s="856"/>
      <c r="E101" s="856"/>
      <c r="F101" s="527"/>
      <c r="G101" s="527"/>
      <c r="H101" s="527"/>
      <c r="I101" s="527"/>
      <c r="J101" s="527"/>
    </row>
    <row r="102" spans="1:10" s="528" customFormat="1" ht="12.75" x14ac:dyDescent="0.2">
      <c r="A102" s="956"/>
      <c r="B102" s="956"/>
      <c r="C102" s="956"/>
      <c r="D102" s="956"/>
      <c r="E102" s="956"/>
      <c r="F102" s="527"/>
      <c r="G102" s="527"/>
      <c r="H102" s="527"/>
      <c r="I102" s="527"/>
      <c r="J102" s="527"/>
    </row>
    <row r="103" spans="1:10" s="528" customFormat="1" ht="12.75" x14ac:dyDescent="0.2">
      <c r="A103" s="540"/>
      <c r="B103" s="533"/>
      <c r="C103" s="533"/>
      <c r="D103" s="533"/>
      <c r="E103" s="533"/>
      <c r="F103" s="527"/>
      <c r="G103" s="527"/>
      <c r="H103" s="527"/>
      <c r="I103" s="527"/>
      <c r="J103" s="527"/>
    </row>
    <row r="104" spans="1:10" s="528" customFormat="1" ht="12.75" x14ac:dyDescent="0.2">
      <c r="A104" s="540"/>
      <c r="B104" s="533"/>
      <c r="C104" s="533"/>
      <c r="D104" s="533"/>
      <c r="E104" s="533"/>
      <c r="F104" s="527"/>
      <c r="G104" s="527"/>
      <c r="H104" s="527"/>
      <c r="I104" s="527"/>
      <c r="J104" s="527"/>
    </row>
    <row r="105" spans="1:10" s="528" customFormat="1" ht="39.75" customHeight="1" x14ac:dyDescent="0.2">
      <c r="A105" s="956"/>
      <c r="B105" s="956"/>
      <c r="C105" s="956"/>
      <c r="D105" s="856"/>
      <c r="E105" s="856"/>
      <c r="F105" s="527"/>
      <c r="G105" s="527"/>
      <c r="H105" s="527"/>
      <c r="I105" s="527"/>
      <c r="J105" s="527"/>
    </row>
    <row r="106" spans="1:10" s="528" customFormat="1" ht="30" customHeight="1" x14ac:dyDescent="0.2">
      <c r="A106" s="956"/>
      <c r="B106" s="956"/>
      <c r="C106" s="956"/>
      <c r="D106" s="533"/>
      <c r="E106" s="533"/>
      <c r="F106" s="527"/>
      <c r="G106" s="527"/>
      <c r="H106" s="527"/>
      <c r="I106" s="527"/>
      <c r="J106" s="527"/>
    </row>
    <row r="107" spans="1:10" s="528" customFormat="1" ht="44.25" customHeight="1" x14ac:dyDescent="0.2">
      <c r="A107" s="956"/>
      <c r="B107" s="956"/>
      <c r="C107" s="956"/>
      <c r="D107" s="856"/>
      <c r="E107" s="856"/>
      <c r="F107" s="527"/>
      <c r="G107" s="527"/>
      <c r="H107" s="527"/>
      <c r="I107" s="527"/>
      <c r="J107" s="527"/>
    </row>
    <row r="108" spans="1:10" s="528" customFormat="1" ht="29.25" customHeight="1" x14ac:dyDescent="0.2">
      <c r="A108" s="956"/>
      <c r="B108" s="956"/>
      <c r="C108" s="956"/>
      <c r="D108" s="527"/>
      <c r="E108" s="527"/>
      <c r="F108" s="527"/>
      <c r="G108" s="527"/>
      <c r="H108" s="527"/>
      <c r="I108" s="527"/>
      <c r="J108" s="527"/>
    </row>
    <row r="109" spans="1:10" s="528" customFormat="1" ht="12.75" x14ac:dyDescent="0.2">
      <c r="A109" s="956"/>
      <c r="B109" s="956"/>
      <c r="C109" s="956"/>
      <c r="D109" s="956"/>
      <c r="E109" s="956"/>
      <c r="F109" s="527"/>
      <c r="G109" s="527"/>
      <c r="H109" s="527"/>
      <c r="I109" s="527"/>
      <c r="J109" s="527"/>
    </row>
    <row r="110" spans="1:10" s="528" customFormat="1" ht="12.75" x14ac:dyDescent="0.2">
      <c r="A110" s="960"/>
      <c r="B110" s="960"/>
      <c r="C110" s="960"/>
      <c r="D110" s="960"/>
      <c r="E110" s="960"/>
      <c r="F110" s="527"/>
      <c r="G110" s="527"/>
      <c r="H110" s="527"/>
      <c r="I110" s="527"/>
      <c r="J110" s="527"/>
    </row>
    <row r="111" spans="1:10" s="528" customFormat="1" ht="12.75" x14ac:dyDescent="0.2">
      <c r="A111" s="958"/>
      <c r="B111" s="958"/>
      <c r="C111" s="958"/>
      <c r="D111" s="958"/>
      <c r="E111" s="958"/>
      <c r="F111" s="527"/>
      <c r="G111" s="527"/>
      <c r="H111" s="527"/>
      <c r="I111" s="527"/>
      <c r="J111" s="527"/>
    </row>
    <row r="112" spans="1:10" s="528" customFormat="1" ht="12.75" x14ac:dyDescent="0.2">
      <c r="A112" s="551"/>
      <c r="B112" s="548"/>
      <c r="C112" s="548"/>
      <c r="D112" s="548"/>
      <c r="E112" s="548"/>
      <c r="F112" s="527"/>
      <c r="G112" s="527"/>
      <c r="H112" s="527"/>
      <c r="I112" s="527"/>
      <c r="J112" s="527"/>
    </row>
    <row r="113" spans="1:10" s="528" customFormat="1" ht="12.75" customHeight="1" x14ac:dyDescent="0.2">
      <c r="A113" s="955"/>
      <c r="B113" s="955"/>
      <c r="C113" s="955"/>
      <c r="D113" s="955"/>
      <c r="E113" s="955"/>
      <c r="F113" s="527"/>
      <c r="G113" s="527"/>
      <c r="H113" s="527"/>
      <c r="I113" s="527"/>
      <c r="J113" s="527"/>
    </row>
    <row r="114" spans="1:10" s="528" customFormat="1" ht="12.75" x14ac:dyDescent="0.2">
      <c r="A114" s="554"/>
      <c r="B114" s="548"/>
      <c r="C114" s="548"/>
      <c r="D114" s="548"/>
      <c r="E114" s="548"/>
      <c r="F114" s="527"/>
      <c r="G114" s="527"/>
      <c r="H114" s="527"/>
      <c r="I114" s="527"/>
      <c r="J114" s="527"/>
    </row>
    <row r="115" spans="1:10" s="528" customFormat="1" ht="12.75" x14ac:dyDescent="0.2">
      <c r="A115" s="548"/>
      <c r="B115" s="557"/>
      <c r="C115" s="548"/>
      <c r="D115" s="552"/>
      <c r="E115" s="530"/>
      <c r="F115" s="527"/>
      <c r="G115" s="527"/>
      <c r="H115" s="527"/>
      <c r="I115" s="527"/>
      <c r="J115" s="527"/>
    </row>
    <row r="116" spans="1:10" s="528" customFormat="1" ht="12.75" x14ac:dyDescent="0.2">
      <c r="A116" s="553"/>
      <c r="B116" s="871"/>
      <c r="C116" s="553"/>
      <c r="D116" s="553"/>
      <c r="E116" s="530"/>
      <c r="F116" s="527"/>
      <c r="G116" s="527"/>
      <c r="H116" s="527"/>
      <c r="I116" s="527"/>
      <c r="J116" s="527"/>
    </row>
    <row r="117" spans="1:10" s="528" customFormat="1" ht="12.75" x14ac:dyDescent="0.2">
      <c r="A117" s="859"/>
      <c r="B117" s="555"/>
      <c r="C117" s="553"/>
      <c r="D117" s="553"/>
      <c r="E117" s="530"/>
      <c r="F117" s="527"/>
      <c r="G117" s="527"/>
      <c r="H117" s="527"/>
      <c r="I117" s="527"/>
      <c r="J117" s="527"/>
    </row>
    <row r="118" spans="1:10" s="528" customFormat="1" ht="12.75" x14ac:dyDescent="0.2">
      <c r="A118" s="859"/>
      <c r="B118" s="555"/>
      <c r="C118" s="548"/>
      <c r="D118" s="548"/>
      <c r="E118" s="530"/>
      <c r="F118" s="527"/>
      <c r="G118" s="527"/>
      <c r="H118" s="527"/>
      <c r="I118" s="527"/>
      <c r="J118" s="527"/>
    </row>
    <row r="119" spans="1:10" s="528" customFormat="1" ht="12.75" x14ac:dyDescent="0.2">
      <c r="A119" s="859"/>
      <c r="B119" s="556"/>
      <c r="C119" s="859"/>
      <c r="D119" s="859"/>
      <c r="E119" s="530"/>
      <c r="F119" s="527"/>
      <c r="G119" s="527"/>
      <c r="H119" s="527"/>
      <c r="I119" s="527"/>
      <c r="J119" s="527"/>
    </row>
    <row r="120" spans="1:10" s="528" customFormat="1" ht="12.75" x14ac:dyDescent="0.2">
      <c r="A120" s="557"/>
      <c r="B120" s="884"/>
      <c r="C120" s="557"/>
      <c r="D120" s="557"/>
      <c r="E120" s="530"/>
      <c r="F120" s="527"/>
      <c r="G120" s="527"/>
      <c r="H120" s="527"/>
      <c r="I120" s="527"/>
      <c r="J120" s="527"/>
    </row>
    <row r="121" spans="1:10" s="528" customFormat="1" ht="12.75" x14ac:dyDescent="0.2">
      <c r="A121" s="529"/>
      <c r="B121" s="530"/>
      <c r="C121" s="530"/>
      <c r="D121" s="530"/>
      <c r="E121" s="530"/>
      <c r="F121" s="527"/>
      <c r="G121" s="527"/>
      <c r="H121" s="527"/>
      <c r="I121" s="527"/>
      <c r="J121" s="527"/>
    </row>
    <row r="122" spans="1:10" s="528" customFormat="1" ht="44.25" customHeight="1" x14ac:dyDescent="0.2">
      <c r="A122" s="955"/>
      <c r="B122" s="955"/>
      <c r="C122" s="859"/>
      <c r="D122" s="859"/>
      <c r="E122" s="859"/>
      <c r="F122" s="527"/>
      <c r="G122" s="527"/>
      <c r="H122" s="527"/>
      <c r="I122" s="527"/>
      <c r="J122" s="527"/>
    </row>
    <row r="123" spans="1:10" s="528" customFormat="1" ht="12.75" x14ac:dyDescent="0.2">
      <c r="A123" s="859"/>
      <c r="B123" s="859"/>
      <c r="C123" s="859"/>
      <c r="D123" s="859"/>
      <c r="E123" s="859"/>
      <c r="F123" s="527"/>
      <c r="G123" s="527"/>
      <c r="H123" s="527"/>
      <c r="I123" s="527"/>
      <c r="J123" s="527"/>
    </row>
    <row r="124" spans="1:10" s="528" customFormat="1" ht="12.75" x14ac:dyDescent="0.2">
      <c r="A124" s="859"/>
      <c r="B124" s="859"/>
      <c r="C124" s="859"/>
      <c r="D124" s="859"/>
      <c r="E124" s="859"/>
      <c r="F124" s="527"/>
      <c r="G124" s="527"/>
      <c r="H124" s="527"/>
      <c r="I124" s="527"/>
      <c r="J124" s="527"/>
    </row>
    <row r="125" spans="1:10" s="528" customFormat="1" ht="12.75" x14ac:dyDescent="0.2">
      <c r="A125" s="859"/>
      <c r="B125" s="859"/>
      <c r="C125" s="859"/>
      <c r="D125" s="859"/>
      <c r="E125" s="859"/>
      <c r="F125" s="527"/>
      <c r="G125" s="527"/>
      <c r="H125" s="527"/>
      <c r="I125" s="527"/>
      <c r="J125" s="527"/>
    </row>
    <row r="126" spans="1:10" s="528" customFormat="1" ht="12.75" x14ac:dyDescent="0.2">
      <c r="A126" s="958"/>
      <c r="B126" s="958"/>
      <c r="C126" s="958"/>
      <c r="D126" s="958"/>
      <c r="E126" s="958"/>
      <c r="F126" s="527"/>
      <c r="G126" s="527"/>
      <c r="H126" s="527"/>
      <c r="I126" s="527"/>
      <c r="J126" s="527"/>
    </row>
    <row r="127" spans="1:10" s="528" customFormat="1" ht="37.5" customHeight="1" x14ac:dyDescent="0.2">
      <c r="A127" s="955"/>
      <c r="B127" s="955"/>
      <c r="C127" s="548"/>
      <c r="D127" s="548"/>
      <c r="E127" s="548"/>
      <c r="F127" s="527"/>
      <c r="G127" s="527"/>
      <c r="H127" s="527"/>
      <c r="I127" s="527"/>
      <c r="J127" s="527"/>
    </row>
    <row r="128" spans="1:10" s="528" customFormat="1" ht="12.75" x14ac:dyDescent="0.2">
      <c r="A128" s="859"/>
      <c r="B128" s="885"/>
      <c r="C128" s="558"/>
      <c r="D128" s="558"/>
      <c r="E128" s="548"/>
      <c r="F128" s="527"/>
      <c r="G128" s="527"/>
      <c r="H128" s="527"/>
      <c r="I128" s="527"/>
      <c r="J128" s="527"/>
    </row>
    <row r="129" spans="1:10" s="528" customFormat="1" ht="12.75" x14ac:dyDescent="0.2">
      <c r="A129" s="859"/>
      <c r="B129" s="859"/>
      <c r="C129" s="859"/>
      <c r="D129" s="859"/>
      <c r="E129" s="859"/>
      <c r="F129" s="527"/>
      <c r="G129" s="527"/>
      <c r="H129" s="527"/>
      <c r="I129" s="527"/>
      <c r="J129" s="527"/>
    </row>
    <row r="130" spans="1:10" s="528" customFormat="1" ht="12.75" x14ac:dyDescent="0.2">
      <c r="A130" s="859"/>
      <c r="B130" s="859"/>
      <c r="C130" s="859"/>
      <c r="D130" s="859"/>
      <c r="E130" s="859"/>
      <c r="F130" s="527"/>
      <c r="G130" s="527"/>
      <c r="H130" s="527"/>
      <c r="I130" s="527"/>
      <c r="J130" s="527"/>
    </row>
    <row r="131" spans="1:10" s="528" customFormat="1" ht="12.75" customHeight="1" x14ac:dyDescent="0.2">
      <c r="A131" s="958"/>
      <c r="B131" s="958"/>
      <c r="C131" s="958"/>
      <c r="D131" s="958"/>
      <c r="E131" s="958"/>
      <c r="F131" s="527"/>
      <c r="G131" s="527"/>
      <c r="H131" s="527"/>
      <c r="I131" s="527"/>
      <c r="J131" s="527"/>
    </row>
    <row r="132" spans="1:10" s="528" customFormat="1" ht="12.75" x14ac:dyDescent="0.2">
      <c r="A132" s="551"/>
      <c r="B132" s="548"/>
      <c r="C132" s="548"/>
      <c r="D132" s="548"/>
      <c r="E132" s="548"/>
      <c r="F132" s="527"/>
      <c r="G132" s="527"/>
      <c r="H132" s="527"/>
      <c r="I132" s="527"/>
      <c r="J132" s="527"/>
    </row>
    <row r="133" spans="1:10" s="528" customFormat="1" ht="12.75" customHeight="1" x14ac:dyDescent="0.2">
      <c r="A133" s="955"/>
      <c r="B133" s="955"/>
      <c r="C133" s="955"/>
      <c r="D133" s="955"/>
      <c r="E133" s="955"/>
      <c r="F133" s="527"/>
      <c r="G133" s="527"/>
      <c r="H133" s="527"/>
      <c r="I133" s="527"/>
      <c r="J133" s="527"/>
    </row>
    <row r="134" spans="1:10" s="528" customFormat="1" ht="12.75" x14ac:dyDescent="0.2">
      <c r="A134" s="551"/>
      <c r="B134" s="548"/>
      <c r="C134" s="548"/>
      <c r="D134" s="548"/>
      <c r="E134" s="548"/>
      <c r="F134" s="527"/>
      <c r="G134" s="527"/>
      <c r="H134" s="527"/>
      <c r="I134" s="527"/>
      <c r="J134" s="527"/>
    </row>
    <row r="135" spans="1:10" s="528" customFormat="1" ht="12.75" x14ac:dyDescent="0.2">
      <c r="A135" s="859"/>
      <c r="B135" s="859"/>
      <c r="C135" s="859"/>
      <c r="D135" s="859"/>
      <c r="E135" s="859"/>
      <c r="F135" s="527"/>
      <c r="G135" s="527"/>
      <c r="H135" s="527"/>
      <c r="I135" s="527"/>
      <c r="J135" s="527"/>
    </row>
    <row r="136" spans="1:10" s="528" customFormat="1" ht="12.75" customHeight="1" x14ac:dyDescent="0.2">
      <c r="A136" s="958"/>
      <c r="B136" s="958"/>
      <c r="C136" s="958"/>
      <c r="D136" s="958"/>
      <c r="E136" s="958"/>
      <c r="F136" s="527"/>
      <c r="G136" s="527"/>
      <c r="H136" s="527"/>
      <c r="I136" s="527"/>
      <c r="J136" s="527"/>
    </row>
    <row r="137" spans="1:10" s="528" customFormat="1" ht="12.75" x14ac:dyDescent="0.2">
      <c r="A137" s="551"/>
      <c r="B137" s="548"/>
      <c r="C137" s="548"/>
      <c r="D137" s="548"/>
      <c r="E137" s="548"/>
      <c r="F137" s="527"/>
      <c r="G137" s="527"/>
      <c r="H137" s="527"/>
      <c r="I137" s="527"/>
      <c r="J137" s="527"/>
    </row>
    <row r="138" spans="1:10" s="528" customFormat="1" ht="12.75" customHeight="1" x14ac:dyDescent="0.2">
      <c r="A138" s="955"/>
      <c r="B138" s="955"/>
      <c r="C138" s="955"/>
      <c r="D138" s="955"/>
      <c r="E138" s="955"/>
      <c r="F138" s="527"/>
      <c r="G138" s="527"/>
      <c r="H138" s="527"/>
      <c r="I138" s="527"/>
      <c r="J138" s="527"/>
    </row>
    <row r="139" spans="1:10" s="528" customFormat="1" ht="12.75" x14ac:dyDescent="0.2">
      <c r="A139" s="859"/>
      <c r="B139" s="859"/>
      <c r="C139" s="859"/>
      <c r="D139" s="859"/>
      <c r="E139" s="859"/>
      <c r="F139" s="527"/>
      <c r="G139" s="527"/>
      <c r="H139" s="527"/>
      <c r="I139" s="527"/>
      <c r="J139" s="527"/>
    </row>
    <row r="140" spans="1:10" s="528" customFormat="1" ht="12.75" x14ac:dyDescent="0.2">
      <c r="A140" s="859"/>
      <c r="B140" s="859"/>
      <c r="C140" s="859"/>
      <c r="D140" s="859"/>
      <c r="E140" s="859"/>
      <c r="F140" s="527"/>
      <c r="G140" s="527"/>
      <c r="H140" s="527"/>
      <c r="I140" s="527"/>
      <c r="J140" s="527"/>
    </row>
    <row r="141" spans="1:10" s="528" customFormat="1" ht="15" customHeight="1" x14ac:dyDescent="0.2">
      <c r="A141" s="530"/>
      <c r="B141" s="886"/>
      <c r="C141" s="886"/>
      <c r="D141" s="859"/>
      <c r="E141" s="859"/>
      <c r="F141" s="527"/>
      <c r="G141" s="527"/>
      <c r="H141" s="527"/>
      <c r="I141" s="527"/>
      <c r="J141" s="527"/>
    </row>
    <row r="142" spans="1:10" s="528" customFormat="1" ht="15" customHeight="1" x14ac:dyDescent="0.2">
      <c r="A142" s="859"/>
      <c r="B142" s="887"/>
      <c r="C142" s="887"/>
      <c r="D142" s="859"/>
      <c r="E142" s="859"/>
      <c r="F142" s="527"/>
      <c r="G142" s="527"/>
      <c r="H142" s="527"/>
      <c r="I142" s="527"/>
      <c r="J142" s="527"/>
    </row>
    <row r="143" spans="1:10" s="528" customFormat="1" ht="12.75" x14ac:dyDescent="0.2">
      <c r="A143" s="859"/>
      <c r="B143" s="859"/>
      <c r="C143" s="859"/>
      <c r="D143" s="859"/>
      <c r="E143" s="859"/>
      <c r="F143" s="527"/>
      <c r="G143" s="527"/>
      <c r="H143" s="527"/>
      <c r="I143" s="527"/>
      <c r="J143" s="527"/>
    </row>
    <row r="144" spans="1:10" s="528" customFormat="1" ht="12.75" x14ac:dyDescent="0.2">
      <c r="A144" s="860"/>
      <c r="B144" s="888"/>
      <c r="C144" s="888"/>
      <c r="D144" s="859"/>
      <c r="E144" s="859"/>
      <c r="F144" s="527"/>
      <c r="G144" s="527"/>
      <c r="H144" s="527"/>
      <c r="I144" s="527"/>
      <c r="J144" s="527"/>
    </row>
    <row r="145" spans="1:10" s="528" customFormat="1" ht="12.75" x14ac:dyDescent="0.2">
      <c r="A145" s="859"/>
      <c r="B145" s="859"/>
      <c r="C145" s="859"/>
      <c r="D145" s="859"/>
      <c r="E145" s="859"/>
      <c r="F145" s="527"/>
      <c r="G145" s="527"/>
      <c r="H145" s="527"/>
      <c r="I145" s="527"/>
      <c r="J145" s="527"/>
    </row>
    <row r="146" spans="1:10" s="528" customFormat="1" ht="12.75" x14ac:dyDescent="0.2">
      <c r="A146" s="859"/>
      <c r="B146" s="859"/>
      <c r="C146" s="859"/>
      <c r="D146" s="859"/>
      <c r="E146" s="859"/>
      <c r="F146" s="527"/>
      <c r="G146" s="527"/>
      <c r="H146" s="527"/>
      <c r="I146" s="527"/>
      <c r="J146" s="527"/>
    </row>
    <row r="147" spans="1:10" s="528" customFormat="1" ht="12.75" x14ac:dyDescent="0.2">
      <c r="A147" s="859"/>
      <c r="B147" s="859"/>
      <c r="C147" s="859"/>
      <c r="D147" s="859"/>
      <c r="E147" s="859"/>
      <c r="F147" s="527"/>
      <c r="G147" s="527"/>
      <c r="H147" s="527"/>
      <c r="I147" s="527"/>
      <c r="J147" s="527"/>
    </row>
    <row r="148" spans="1:10" s="528" customFormat="1" ht="12.75" x14ac:dyDescent="0.2">
      <c r="A148" s="859"/>
      <c r="B148" s="859"/>
      <c r="C148" s="859"/>
      <c r="D148" s="859"/>
      <c r="E148" s="859"/>
      <c r="F148" s="527"/>
      <c r="G148" s="527"/>
      <c r="H148" s="527"/>
      <c r="I148" s="527"/>
      <c r="J148" s="527"/>
    </row>
    <row r="149" spans="1:10" s="528" customFormat="1" ht="12.75" customHeight="1" x14ac:dyDescent="0.2">
      <c r="A149" s="955"/>
      <c r="B149" s="955"/>
      <c r="C149" s="955"/>
      <c r="D149" s="955"/>
      <c r="E149" s="859"/>
      <c r="F149" s="527"/>
      <c r="G149" s="527"/>
      <c r="H149" s="527"/>
      <c r="I149" s="527"/>
      <c r="J149" s="527"/>
    </row>
    <row r="150" spans="1:10" s="528" customFormat="1" ht="12.75" x14ac:dyDescent="0.2">
      <c r="A150" s="859"/>
      <c r="B150" s="859"/>
      <c r="C150" s="859"/>
      <c r="D150" s="859"/>
      <c r="E150" s="859"/>
      <c r="F150" s="527"/>
      <c r="G150" s="527"/>
      <c r="H150" s="527"/>
      <c r="I150" s="527"/>
      <c r="J150" s="527"/>
    </row>
    <row r="151" spans="1:10" s="528" customFormat="1" ht="12.75" x14ac:dyDescent="0.2">
      <c r="A151" s="859"/>
      <c r="B151" s="859"/>
      <c r="C151" s="859"/>
      <c r="D151" s="859"/>
      <c r="E151" s="859"/>
      <c r="F151" s="527"/>
      <c r="G151" s="527"/>
      <c r="H151" s="527"/>
      <c r="I151" s="527"/>
      <c r="J151" s="527"/>
    </row>
    <row r="152" spans="1:10" s="528" customFormat="1" ht="12.75" x14ac:dyDescent="0.2">
      <c r="A152" s="859"/>
      <c r="B152" s="859"/>
      <c r="C152" s="859"/>
      <c r="D152" s="859"/>
      <c r="E152" s="859"/>
      <c r="F152" s="527"/>
      <c r="G152" s="527"/>
      <c r="H152" s="527"/>
      <c r="I152" s="527"/>
      <c r="J152" s="527"/>
    </row>
    <row r="153" spans="1:10" s="528" customFormat="1" ht="12.75" x14ac:dyDescent="0.2">
      <c r="A153" s="859"/>
      <c r="B153" s="859"/>
      <c r="C153" s="859"/>
      <c r="D153" s="859"/>
      <c r="E153" s="859"/>
      <c r="F153" s="527"/>
      <c r="G153" s="527"/>
      <c r="H153" s="527"/>
      <c r="I153" s="527"/>
      <c r="J153" s="527"/>
    </row>
    <row r="154" spans="1:10" s="528" customFormat="1" ht="12.75" customHeight="1" x14ac:dyDescent="0.2">
      <c r="A154" s="958"/>
      <c r="B154" s="958"/>
      <c r="C154" s="958"/>
      <c r="D154" s="859"/>
      <c r="E154" s="859"/>
      <c r="F154" s="527"/>
      <c r="G154" s="527"/>
      <c r="H154" s="527"/>
      <c r="I154" s="527"/>
      <c r="J154" s="527"/>
    </row>
    <row r="155" spans="1:10" s="528" customFormat="1" ht="12.75" x14ac:dyDescent="0.2">
      <c r="A155" s="859"/>
      <c r="B155" s="859"/>
      <c r="C155" s="859"/>
      <c r="D155" s="859"/>
      <c r="E155" s="859"/>
      <c r="F155" s="527"/>
      <c r="G155" s="527"/>
      <c r="H155" s="527"/>
      <c r="I155" s="527"/>
      <c r="J155" s="527"/>
    </row>
    <row r="156" spans="1:10" s="528" customFormat="1" ht="12.75" x14ac:dyDescent="0.2">
      <c r="A156" s="859"/>
      <c r="B156" s="859"/>
      <c r="C156" s="859"/>
      <c r="D156" s="859"/>
      <c r="E156" s="859"/>
      <c r="F156" s="527"/>
      <c r="G156" s="527"/>
      <c r="H156" s="527"/>
      <c r="I156" s="527"/>
      <c r="J156" s="527"/>
    </row>
    <row r="157" spans="1:10" s="528" customFormat="1" ht="12.75" x14ac:dyDescent="0.2">
      <c r="A157" s="959"/>
      <c r="B157" s="959"/>
      <c r="C157" s="889"/>
      <c r="D157" s="890"/>
      <c r="E157" s="559"/>
      <c r="F157" s="559"/>
      <c r="G157" s="559"/>
      <c r="H157" s="559"/>
      <c r="I157" s="559"/>
      <c r="J157" s="559"/>
    </row>
    <row r="158" spans="1:10" s="528" customFormat="1" ht="12.75" x14ac:dyDescent="0.2">
      <c r="A158" s="891"/>
      <c r="B158" s="891"/>
      <c r="C158" s="892"/>
      <c r="D158" s="892"/>
      <c r="E158" s="560"/>
      <c r="F158" s="560"/>
      <c r="G158" s="560"/>
      <c r="H158" s="560"/>
      <c r="I158" s="560"/>
      <c r="J158" s="560"/>
    </row>
    <row r="159" spans="1:10" s="528" customFormat="1" ht="12.75" x14ac:dyDescent="0.2">
      <c r="A159" s="891"/>
      <c r="B159" s="891"/>
      <c r="C159" s="892"/>
      <c r="D159" s="892"/>
      <c r="E159" s="560"/>
      <c r="F159" s="560"/>
      <c r="G159" s="560"/>
      <c r="H159" s="560"/>
      <c r="I159" s="560"/>
      <c r="J159" s="560"/>
    </row>
    <row r="160" spans="1:10" s="528" customFormat="1" ht="12.75" x14ac:dyDescent="0.2">
      <c r="A160" s="564"/>
      <c r="B160" s="564"/>
      <c r="C160" s="562"/>
      <c r="D160" s="893"/>
      <c r="E160" s="561"/>
      <c r="F160" s="561"/>
      <c r="G160" s="561"/>
      <c r="H160" s="561"/>
      <c r="I160" s="561"/>
      <c r="J160" s="561"/>
    </row>
    <row r="161" spans="1:10" s="528" customFormat="1" ht="12.75" x14ac:dyDescent="0.2">
      <c r="A161" s="562"/>
      <c r="B161" s="527"/>
      <c r="C161" s="893"/>
      <c r="D161" s="562"/>
      <c r="E161" s="561"/>
      <c r="F161" s="561"/>
      <c r="G161" s="561"/>
      <c r="H161" s="561"/>
      <c r="I161" s="561"/>
      <c r="J161" s="561"/>
    </row>
    <row r="162" spans="1:10" s="528" customFormat="1" ht="12.75" x14ac:dyDescent="0.2">
      <c r="A162" s="562"/>
      <c r="B162" s="527"/>
      <c r="C162" s="893"/>
      <c r="D162" s="562"/>
      <c r="E162" s="561"/>
      <c r="F162" s="561"/>
      <c r="G162" s="561"/>
      <c r="H162" s="561"/>
      <c r="I162" s="561"/>
      <c r="J162" s="561"/>
    </row>
    <row r="163" spans="1:10" s="528" customFormat="1" ht="12.75" x14ac:dyDescent="0.2">
      <c r="A163" s="562"/>
      <c r="B163" s="527"/>
      <c r="C163" s="893"/>
      <c r="D163" s="562"/>
      <c r="E163" s="561"/>
      <c r="F163" s="561"/>
      <c r="G163" s="561"/>
      <c r="H163" s="561"/>
      <c r="I163" s="561"/>
      <c r="J163" s="561"/>
    </row>
    <row r="164" spans="1:10" s="528" customFormat="1" ht="12.75" x14ac:dyDescent="0.2">
      <c r="A164" s="562"/>
      <c r="B164" s="527"/>
      <c r="C164" s="893"/>
      <c r="D164" s="562"/>
      <c r="E164" s="561"/>
      <c r="F164" s="561"/>
      <c r="G164" s="561"/>
      <c r="H164" s="561"/>
      <c r="I164" s="561"/>
      <c r="J164" s="561"/>
    </row>
    <row r="165" spans="1:10" s="528" customFormat="1" ht="12.75" x14ac:dyDescent="0.2">
      <c r="A165" s="564"/>
      <c r="B165" s="562"/>
      <c r="C165" s="893"/>
      <c r="D165" s="562"/>
      <c r="E165" s="561"/>
      <c r="F165" s="561"/>
      <c r="G165" s="561"/>
      <c r="H165" s="561"/>
      <c r="I165" s="561"/>
      <c r="J165" s="561"/>
    </row>
    <row r="166" spans="1:10" s="528" customFormat="1" ht="12.75" x14ac:dyDescent="0.2">
      <c r="A166" s="562"/>
      <c r="B166" s="562"/>
      <c r="C166" s="894"/>
      <c r="D166" s="562"/>
      <c r="E166" s="561"/>
      <c r="F166" s="561"/>
      <c r="G166" s="561"/>
      <c r="H166" s="561"/>
      <c r="I166" s="561"/>
      <c r="J166" s="561"/>
    </row>
    <row r="167" spans="1:10" s="528" customFormat="1" ht="12.75" x14ac:dyDescent="0.2">
      <c r="A167" s="563"/>
      <c r="B167" s="895"/>
      <c r="C167" s="894"/>
      <c r="D167" s="562"/>
      <c r="E167" s="561"/>
      <c r="F167" s="561"/>
      <c r="G167" s="561"/>
      <c r="H167" s="561"/>
      <c r="I167" s="561"/>
      <c r="J167" s="561"/>
    </row>
    <row r="168" spans="1:10" s="528" customFormat="1" ht="12.75" x14ac:dyDescent="0.2">
      <c r="A168" s="564"/>
      <c r="B168" s="564"/>
      <c r="C168" s="562"/>
      <c r="D168" s="894"/>
      <c r="E168" s="561"/>
      <c r="F168" s="561"/>
      <c r="G168" s="561"/>
      <c r="H168" s="561"/>
      <c r="I168" s="561"/>
      <c r="J168" s="561"/>
    </row>
    <row r="169" spans="1:10" s="528" customFormat="1" ht="12.75" x14ac:dyDescent="0.2">
      <c r="A169" s="562"/>
      <c r="B169" s="527"/>
      <c r="C169" s="894"/>
      <c r="D169" s="562"/>
      <c r="E169" s="561"/>
      <c r="F169" s="561"/>
      <c r="G169" s="561"/>
      <c r="H169" s="561"/>
      <c r="I169" s="561"/>
      <c r="J169" s="561"/>
    </row>
    <row r="170" spans="1:10" s="528" customFormat="1" ht="12.75" x14ac:dyDescent="0.2">
      <c r="A170" s="562"/>
      <c r="B170" s="527"/>
      <c r="C170" s="894"/>
      <c r="D170" s="562"/>
      <c r="E170" s="561"/>
      <c r="F170" s="561"/>
      <c r="G170" s="561"/>
      <c r="H170" s="561"/>
      <c r="I170" s="561"/>
      <c r="J170" s="561"/>
    </row>
    <row r="171" spans="1:10" s="528" customFormat="1" ht="12.75" x14ac:dyDescent="0.2">
      <c r="A171" s="562"/>
      <c r="B171" s="527"/>
      <c r="C171" s="894"/>
      <c r="D171" s="562"/>
      <c r="E171" s="561"/>
      <c r="F171" s="561"/>
      <c r="G171" s="561"/>
      <c r="H171" s="561"/>
      <c r="I171" s="561"/>
      <c r="J171" s="561"/>
    </row>
    <row r="172" spans="1:10" s="528" customFormat="1" ht="12.75" x14ac:dyDescent="0.2">
      <c r="A172" s="564"/>
      <c r="B172" s="562"/>
      <c r="C172" s="894"/>
      <c r="D172" s="562"/>
      <c r="E172" s="561"/>
      <c r="F172" s="561"/>
      <c r="G172" s="561"/>
      <c r="H172" s="561"/>
      <c r="I172" s="561"/>
      <c r="J172" s="561"/>
    </row>
    <row r="173" spans="1:10" s="528" customFormat="1" ht="12.75" x14ac:dyDescent="0.2">
      <c r="A173" s="562"/>
      <c r="B173" s="562"/>
      <c r="C173" s="562"/>
      <c r="D173" s="562"/>
      <c r="E173" s="561"/>
      <c r="F173" s="561"/>
      <c r="G173" s="561"/>
      <c r="H173" s="561"/>
      <c r="I173" s="561"/>
      <c r="J173" s="561"/>
    </row>
    <row r="174" spans="1:10" s="528" customFormat="1" ht="12.75" x14ac:dyDescent="0.2">
      <c r="A174" s="896"/>
      <c r="B174" s="896"/>
      <c r="C174" s="897"/>
      <c r="D174" s="898"/>
      <c r="E174" s="561"/>
      <c r="F174" s="561"/>
      <c r="G174" s="561"/>
      <c r="H174" s="561"/>
      <c r="I174" s="561"/>
      <c r="J174" s="561"/>
    </row>
    <row r="175" spans="1:10" s="528" customFormat="1" ht="12.75" x14ac:dyDescent="0.2">
      <c r="A175" s="565"/>
      <c r="B175" s="565"/>
      <c r="C175" s="566"/>
      <c r="D175" s="567"/>
      <c r="E175" s="530"/>
      <c r="F175" s="530"/>
      <c r="G175" s="530"/>
      <c r="H175" s="530"/>
      <c r="I175" s="530"/>
      <c r="J175" s="530"/>
    </row>
    <row r="176" spans="1:10" s="528" customFormat="1" ht="12.75" x14ac:dyDescent="0.2">
      <c r="A176" s="565"/>
      <c r="B176" s="565"/>
      <c r="C176" s="566"/>
      <c r="D176" s="567"/>
      <c r="E176" s="530"/>
      <c r="F176" s="530"/>
      <c r="G176" s="530"/>
      <c r="H176" s="530"/>
      <c r="I176" s="530"/>
      <c r="J176" s="530"/>
    </row>
    <row r="177" spans="1:10" s="528" customFormat="1" ht="12.75" x14ac:dyDescent="0.2">
      <c r="A177" s="957"/>
      <c r="B177" s="957"/>
      <c r="C177" s="894"/>
      <c r="D177" s="899"/>
      <c r="E177" s="559"/>
      <c r="F177" s="559"/>
      <c r="G177" s="559"/>
      <c r="H177" s="559"/>
      <c r="I177" s="559"/>
      <c r="J177" s="559"/>
    </row>
    <row r="178" spans="1:10" s="528" customFormat="1" ht="12.75" x14ac:dyDescent="0.2">
      <c r="A178" s="900"/>
      <c r="B178" s="900"/>
      <c r="C178" s="894"/>
      <c r="D178" s="894"/>
      <c r="E178" s="560"/>
      <c r="F178" s="560"/>
      <c r="G178" s="560"/>
      <c r="H178" s="560"/>
      <c r="I178" s="560"/>
      <c r="J178" s="560"/>
    </row>
    <row r="179" spans="1:10" s="528" customFormat="1" ht="12.75" x14ac:dyDescent="0.2">
      <c r="A179" s="900"/>
      <c r="B179" s="900"/>
      <c r="C179" s="894"/>
      <c r="D179" s="894"/>
      <c r="E179" s="560"/>
      <c r="F179" s="560"/>
      <c r="G179" s="560"/>
      <c r="H179" s="560"/>
      <c r="I179" s="560"/>
      <c r="J179" s="560"/>
    </row>
    <row r="180" spans="1:10" s="528" customFormat="1" ht="12.75" x14ac:dyDescent="0.2">
      <c r="A180" s="565"/>
      <c r="B180" s="565"/>
      <c r="C180" s="566"/>
      <c r="D180" s="567"/>
      <c r="E180" s="561"/>
      <c r="F180" s="561"/>
      <c r="G180" s="561"/>
      <c r="H180" s="561"/>
      <c r="I180" s="561"/>
      <c r="J180" s="561"/>
    </row>
    <row r="181" spans="1:10" s="528" customFormat="1" ht="12.75" x14ac:dyDescent="0.2">
      <c r="A181" s="566"/>
      <c r="B181" s="568"/>
      <c r="C181" s="901"/>
      <c r="D181" s="566"/>
      <c r="E181" s="561"/>
      <c r="F181" s="561"/>
      <c r="G181" s="561"/>
      <c r="H181" s="561"/>
      <c r="I181" s="561"/>
      <c r="J181" s="561"/>
    </row>
    <row r="182" spans="1:10" s="528" customFormat="1" ht="12.75" x14ac:dyDescent="0.2">
      <c r="A182" s="566"/>
      <c r="B182" s="568"/>
      <c r="C182" s="894"/>
      <c r="D182" s="566"/>
      <c r="E182" s="561"/>
      <c r="F182" s="561"/>
      <c r="G182" s="561"/>
      <c r="H182" s="561"/>
      <c r="I182" s="561"/>
      <c r="J182" s="561"/>
    </row>
    <row r="183" spans="1:10" s="528" customFormat="1" ht="12.75" x14ac:dyDescent="0.2">
      <c r="A183" s="566"/>
      <c r="B183" s="568"/>
      <c r="C183" s="894"/>
      <c r="D183" s="566"/>
      <c r="E183" s="561"/>
      <c r="F183" s="561"/>
      <c r="G183" s="561"/>
      <c r="H183" s="561"/>
      <c r="I183" s="561"/>
      <c r="J183" s="561"/>
    </row>
    <row r="184" spans="1:10" s="528" customFormat="1" ht="12.75" x14ac:dyDescent="0.2">
      <c r="A184" s="566"/>
      <c r="B184" s="568"/>
      <c r="C184" s="894"/>
      <c r="D184" s="566"/>
      <c r="E184" s="561"/>
      <c r="F184" s="569"/>
      <c r="G184" s="561"/>
      <c r="H184" s="561"/>
      <c r="I184" s="561"/>
      <c r="J184" s="561"/>
    </row>
    <row r="185" spans="1:10" s="528" customFormat="1" ht="12.75" x14ac:dyDescent="0.2">
      <c r="A185" s="566"/>
      <c r="B185" s="568"/>
      <c r="C185" s="894"/>
      <c r="D185" s="566"/>
      <c r="E185" s="561"/>
      <c r="F185" s="561"/>
      <c r="G185" s="561"/>
      <c r="H185" s="561"/>
      <c r="I185" s="561"/>
      <c r="J185" s="561"/>
    </row>
    <row r="186" spans="1:10" s="528" customFormat="1" ht="12.75" x14ac:dyDescent="0.2">
      <c r="A186" s="566"/>
      <c r="B186" s="568"/>
      <c r="C186" s="894"/>
      <c r="D186" s="566"/>
      <c r="E186" s="561"/>
      <c r="F186" s="561"/>
      <c r="G186" s="561"/>
      <c r="H186" s="561"/>
      <c r="I186" s="561"/>
      <c r="J186" s="561"/>
    </row>
    <row r="187" spans="1:10" s="528" customFormat="1" ht="12.75" x14ac:dyDescent="0.2">
      <c r="A187" s="566"/>
      <c r="B187" s="568"/>
      <c r="C187" s="894"/>
      <c r="D187" s="566"/>
      <c r="E187" s="561"/>
      <c r="F187" s="561"/>
      <c r="G187" s="561"/>
      <c r="H187" s="561"/>
      <c r="I187" s="561"/>
      <c r="J187" s="561"/>
    </row>
    <row r="188" spans="1:10" s="528" customFormat="1" ht="12.75" x14ac:dyDescent="0.2">
      <c r="A188" s="566"/>
      <c r="B188" s="568"/>
      <c r="C188" s="901"/>
      <c r="D188" s="566"/>
      <c r="E188" s="561"/>
      <c r="F188" s="561"/>
      <c r="G188" s="561"/>
      <c r="H188" s="561"/>
      <c r="I188" s="561"/>
      <c r="J188" s="561"/>
    </row>
    <row r="189" spans="1:10" s="528" customFormat="1" ht="12.75" x14ac:dyDescent="0.2">
      <c r="A189" s="566"/>
      <c r="B189" s="568"/>
      <c r="C189" s="894"/>
      <c r="D189" s="566"/>
      <c r="E189" s="561"/>
      <c r="F189" s="561"/>
      <c r="G189" s="561"/>
      <c r="H189" s="561"/>
      <c r="I189" s="561"/>
      <c r="J189" s="561"/>
    </row>
    <row r="190" spans="1:10" s="528" customFormat="1" ht="12.75" x14ac:dyDescent="0.2">
      <c r="A190" s="566"/>
      <c r="B190" s="568"/>
      <c r="C190" s="894"/>
      <c r="D190" s="566"/>
      <c r="E190" s="561"/>
      <c r="F190" s="561"/>
      <c r="G190" s="561"/>
      <c r="H190" s="561"/>
      <c r="I190" s="561"/>
      <c r="J190" s="561"/>
    </row>
    <row r="191" spans="1:10" s="528" customFormat="1" ht="12.75" x14ac:dyDescent="0.2">
      <c r="A191" s="566"/>
      <c r="B191" s="568"/>
      <c r="C191" s="894"/>
      <c r="D191" s="566"/>
      <c r="E191" s="561"/>
      <c r="F191" s="561"/>
      <c r="G191" s="561"/>
      <c r="H191" s="561"/>
      <c r="I191" s="561"/>
      <c r="J191" s="561"/>
    </row>
    <row r="192" spans="1:10" s="528" customFormat="1" ht="12.75" x14ac:dyDescent="0.2">
      <c r="A192" s="566"/>
      <c r="B192" s="568"/>
      <c r="C192" s="894"/>
      <c r="D192" s="566"/>
      <c r="E192" s="561"/>
      <c r="F192" s="561"/>
      <c r="G192" s="561"/>
      <c r="H192" s="561"/>
      <c r="I192" s="561"/>
      <c r="J192" s="561"/>
    </row>
    <row r="193" spans="1:10" s="528" customFormat="1" ht="12.75" x14ac:dyDescent="0.2">
      <c r="A193" s="566"/>
      <c r="B193" s="568"/>
      <c r="C193" s="894"/>
      <c r="D193" s="566"/>
      <c r="E193" s="561"/>
      <c r="F193" s="561"/>
      <c r="G193" s="561"/>
      <c r="H193" s="561"/>
      <c r="I193" s="561"/>
      <c r="J193" s="561"/>
    </row>
    <row r="194" spans="1:10" s="528" customFormat="1" ht="12.75" x14ac:dyDescent="0.2">
      <c r="A194" s="566"/>
      <c r="B194" s="568"/>
      <c r="C194" s="894"/>
      <c r="D194" s="566"/>
      <c r="E194" s="561"/>
      <c r="F194" s="561"/>
      <c r="G194" s="561"/>
      <c r="H194" s="561"/>
      <c r="I194" s="561"/>
      <c r="J194" s="561"/>
    </row>
    <row r="195" spans="1:10" s="528" customFormat="1" ht="12.75" x14ac:dyDescent="0.2">
      <c r="A195" s="566"/>
      <c r="B195" s="568"/>
      <c r="C195" s="894"/>
      <c r="D195" s="566"/>
      <c r="E195" s="561"/>
      <c r="F195" s="561"/>
      <c r="G195" s="561"/>
      <c r="H195" s="561"/>
      <c r="I195" s="561"/>
      <c r="J195" s="561"/>
    </row>
    <row r="196" spans="1:10" s="528" customFormat="1" ht="12.75" x14ac:dyDescent="0.2">
      <c r="A196" s="566"/>
      <c r="B196" s="568"/>
      <c r="C196" s="894"/>
      <c r="D196" s="566"/>
      <c r="E196" s="561"/>
      <c r="F196" s="561"/>
      <c r="G196" s="561"/>
      <c r="H196" s="561"/>
      <c r="I196" s="561"/>
      <c r="J196" s="561"/>
    </row>
    <row r="197" spans="1:10" s="528" customFormat="1" ht="12.75" x14ac:dyDescent="0.2">
      <c r="A197" s="565"/>
      <c r="B197" s="566"/>
      <c r="C197" s="894"/>
      <c r="D197" s="566"/>
      <c r="E197" s="561"/>
      <c r="F197" s="561"/>
      <c r="G197" s="561"/>
      <c r="H197" s="561"/>
      <c r="I197" s="561"/>
      <c r="J197" s="561"/>
    </row>
    <row r="198" spans="1:10" s="528" customFormat="1" ht="12.75" x14ac:dyDescent="0.2">
      <c r="A198" s="566"/>
      <c r="B198" s="566"/>
      <c r="C198" s="894"/>
      <c r="D198" s="566"/>
      <c r="E198" s="561"/>
      <c r="F198" s="561"/>
      <c r="G198" s="561"/>
      <c r="H198" s="561"/>
      <c r="I198" s="561"/>
      <c r="J198" s="561"/>
    </row>
    <row r="199" spans="1:10" s="528" customFormat="1" ht="12.75" x14ac:dyDescent="0.2">
      <c r="A199" s="902"/>
      <c r="B199" s="903"/>
      <c r="C199" s="894"/>
      <c r="D199" s="566"/>
      <c r="E199" s="561"/>
      <c r="F199" s="561"/>
      <c r="G199" s="561"/>
      <c r="H199" s="561"/>
      <c r="I199" s="561"/>
      <c r="J199" s="561"/>
    </row>
    <row r="200" spans="1:10" s="528" customFormat="1" ht="12.75" x14ac:dyDescent="0.2">
      <c r="A200" s="565"/>
      <c r="B200" s="565"/>
      <c r="C200" s="566"/>
      <c r="D200" s="893"/>
      <c r="E200" s="561"/>
      <c r="F200" s="561"/>
      <c r="G200" s="561"/>
      <c r="H200" s="561"/>
      <c r="I200" s="561"/>
      <c r="J200" s="561"/>
    </row>
    <row r="201" spans="1:10" s="528" customFormat="1" ht="12.75" x14ac:dyDescent="0.2">
      <c r="A201" s="566"/>
      <c r="B201" s="568"/>
      <c r="C201" s="567"/>
      <c r="D201" s="566"/>
      <c r="E201" s="561"/>
      <c r="F201" s="561"/>
      <c r="G201" s="561"/>
      <c r="H201" s="561"/>
      <c r="I201" s="561"/>
      <c r="J201" s="561"/>
    </row>
    <row r="202" spans="1:10" s="528" customFormat="1" ht="12.75" x14ac:dyDescent="0.2">
      <c r="A202" s="566"/>
      <c r="B202" s="568"/>
      <c r="C202" s="567"/>
      <c r="D202" s="566"/>
      <c r="E202" s="561"/>
      <c r="F202" s="561"/>
      <c r="G202" s="561"/>
      <c r="H202" s="561"/>
      <c r="I202" s="561"/>
      <c r="J202" s="561"/>
    </row>
    <row r="203" spans="1:10" s="528" customFormat="1" ht="12.75" x14ac:dyDescent="0.2">
      <c r="A203" s="566"/>
      <c r="B203" s="568"/>
      <c r="C203" s="894"/>
      <c r="D203" s="566"/>
      <c r="E203" s="561"/>
      <c r="F203" s="561"/>
      <c r="G203" s="561"/>
      <c r="H203" s="561"/>
      <c r="I203" s="561"/>
      <c r="J203" s="561"/>
    </row>
    <row r="204" spans="1:10" s="528" customFormat="1" ht="12.75" x14ac:dyDescent="0.2">
      <c r="A204" s="566"/>
      <c r="B204" s="568"/>
      <c r="C204" s="894"/>
      <c r="D204" s="566"/>
      <c r="E204" s="561"/>
      <c r="F204" s="561"/>
      <c r="G204" s="561"/>
      <c r="H204" s="561"/>
      <c r="I204" s="561"/>
      <c r="J204" s="561"/>
    </row>
    <row r="205" spans="1:10" s="528" customFormat="1" ht="12.75" x14ac:dyDescent="0.2">
      <c r="A205" s="566"/>
      <c r="B205" s="568"/>
      <c r="C205" s="894"/>
      <c r="D205" s="566"/>
      <c r="E205" s="561"/>
      <c r="F205" s="561"/>
      <c r="G205" s="561"/>
      <c r="H205" s="561"/>
      <c r="I205" s="561"/>
      <c r="J205" s="561"/>
    </row>
    <row r="206" spans="1:10" s="528" customFormat="1" ht="12.75" x14ac:dyDescent="0.2">
      <c r="A206" s="566"/>
      <c r="B206" s="568"/>
      <c r="C206" s="567"/>
      <c r="D206" s="566"/>
      <c r="E206" s="561"/>
      <c r="F206" s="561"/>
      <c r="G206" s="561"/>
      <c r="H206" s="561"/>
      <c r="I206" s="561"/>
      <c r="J206" s="561"/>
    </row>
    <row r="207" spans="1:10" s="528" customFormat="1" ht="12.75" x14ac:dyDescent="0.2">
      <c r="A207" s="565"/>
      <c r="B207" s="566"/>
      <c r="C207" s="894"/>
      <c r="D207" s="566"/>
      <c r="E207" s="561"/>
      <c r="F207" s="561"/>
      <c r="G207" s="561"/>
      <c r="H207" s="561"/>
      <c r="I207" s="561"/>
      <c r="J207" s="561"/>
    </row>
    <row r="208" spans="1:10" s="528" customFormat="1" ht="12.75" x14ac:dyDescent="0.2">
      <c r="A208" s="566"/>
      <c r="B208" s="566"/>
      <c r="C208" s="566"/>
      <c r="D208" s="566"/>
      <c r="E208" s="561"/>
      <c r="F208" s="561"/>
      <c r="G208" s="561"/>
      <c r="H208" s="561"/>
      <c r="I208" s="561"/>
      <c r="J208" s="561"/>
    </row>
    <row r="209" spans="1:10" s="528" customFormat="1" ht="12.75" x14ac:dyDescent="0.2">
      <c r="A209" s="565"/>
      <c r="B209" s="565"/>
      <c r="C209" s="566"/>
      <c r="D209" s="893"/>
      <c r="E209" s="570"/>
      <c r="F209" s="561"/>
      <c r="G209" s="561"/>
      <c r="H209" s="561"/>
      <c r="I209" s="561"/>
      <c r="J209" s="561"/>
    </row>
    <row r="210" spans="1:10" s="528" customFormat="1" ht="12.75" x14ac:dyDescent="0.2">
      <c r="A210" s="571"/>
      <c r="B210" s="530"/>
      <c r="C210" s="530"/>
      <c r="D210" s="530"/>
      <c r="E210" s="530"/>
      <c r="F210" s="527"/>
      <c r="G210" s="527"/>
      <c r="H210" s="527"/>
      <c r="I210" s="527"/>
      <c r="J210" s="527"/>
    </row>
    <row r="211" spans="1:10" s="528" customFormat="1" ht="12.75" x14ac:dyDescent="0.2">
      <c r="A211" s="571"/>
      <c r="B211" s="530"/>
      <c r="C211" s="530"/>
      <c r="D211" s="530"/>
      <c r="E211" s="530"/>
      <c r="F211" s="527"/>
      <c r="G211" s="527"/>
      <c r="H211" s="527"/>
      <c r="I211" s="527"/>
      <c r="J211" s="527"/>
    </row>
    <row r="212" spans="1:10" s="528" customFormat="1" ht="12.75" x14ac:dyDescent="0.2">
      <c r="A212" s="571"/>
      <c r="B212" s="530"/>
      <c r="C212" s="530"/>
      <c r="D212" s="530"/>
      <c r="E212" s="530"/>
      <c r="F212" s="527"/>
      <c r="G212" s="527"/>
      <c r="H212" s="527"/>
      <c r="I212" s="527"/>
      <c r="J212" s="527"/>
    </row>
    <row r="213" spans="1:10" s="528" customFormat="1" ht="12.75" x14ac:dyDescent="0.2">
      <c r="A213" s="571"/>
      <c r="B213" s="530"/>
      <c r="C213" s="530"/>
      <c r="D213" s="530"/>
      <c r="E213" s="530"/>
      <c r="F213" s="527"/>
      <c r="G213" s="527"/>
      <c r="H213" s="527"/>
      <c r="I213" s="527"/>
      <c r="J213" s="527"/>
    </row>
    <row r="214" spans="1:10" s="528" customFormat="1" ht="12.75" x14ac:dyDescent="0.2">
      <c r="A214" s="529"/>
      <c r="B214" s="530"/>
      <c r="C214" s="530"/>
      <c r="D214" s="530"/>
      <c r="E214" s="530"/>
      <c r="F214" s="527"/>
      <c r="G214" s="527"/>
      <c r="H214" s="527"/>
      <c r="I214" s="527"/>
      <c r="J214" s="527"/>
    </row>
    <row r="215" spans="1:10" s="528" customFormat="1" ht="12.75" x14ac:dyDescent="0.2">
      <c r="A215" s="529"/>
      <c r="B215" s="530"/>
      <c r="C215" s="530"/>
      <c r="D215" s="530"/>
      <c r="E215" s="530"/>
      <c r="F215" s="527"/>
      <c r="G215" s="527"/>
      <c r="H215" s="527"/>
      <c r="I215" s="527"/>
      <c r="J215" s="527"/>
    </row>
    <row r="216" spans="1:10" s="528" customFormat="1" ht="12.75" x14ac:dyDescent="0.2">
      <c r="A216" s="571"/>
      <c r="B216" s="530"/>
      <c r="C216" s="530"/>
      <c r="D216" s="530"/>
      <c r="E216" s="530"/>
      <c r="F216" s="527"/>
      <c r="G216" s="527"/>
      <c r="H216" s="527"/>
      <c r="I216" s="527"/>
      <c r="J216" s="527"/>
    </row>
    <row r="217" spans="1:10" s="528" customFormat="1" ht="12.75" x14ac:dyDescent="0.2">
      <c r="A217" s="571"/>
      <c r="B217" s="842"/>
      <c r="C217" s="530"/>
      <c r="D217" s="530"/>
      <c r="E217" s="530"/>
      <c r="F217" s="527"/>
      <c r="G217" s="527"/>
      <c r="H217" s="527"/>
      <c r="I217" s="527"/>
      <c r="J217" s="527"/>
    </row>
    <row r="218" spans="1:10" s="528" customFormat="1" ht="12.75" x14ac:dyDescent="0.2">
      <c r="A218" s="571"/>
      <c r="B218" s="842"/>
      <c r="C218" s="530"/>
      <c r="D218" s="530"/>
      <c r="E218" s="530"/>
      <c r="F218" s="527"/>
      <c r="G218" s="527"/>
      <c r="H218" s="527"/>
      <c r="I218" s="527"/>
      <c r="J218" s="527"/>
    </row>
    <row r="219" spans="1:10" s="528" customFormat="1" ht="12.75" x14ac:dyDescent="0.2">
      <c r="A219" s="571"/>
      <c r="B219" s="530"/>
      <c r="C219" s="530"/>
      <c r="D219" s="530"/>
      <c r="E219" s="530"/>
      <c r="F219" s="527"/>
      <c r="G219" s="527"/>
      <c r="H219" s="527"/>
      <c r="I219" s="527"/>
      <c r="J219" s="527"/>
    </row>
    <row r="220" spans="1:10" s="528" customFormat="1" ht="12.75" x14ac:dyDescent="0.2">
      <c r="A220" s="571"/>
      <c r="B220" s="530"/>
      <c r="C220" s="530"/>
      <c r="D220" s="530"/>
      <c r="E220" s="530"/>
      <c r="F220" s="527"/>
      <c r="G220" s="527"/>
      <c r="H220" s="527"/>
      <c r="I220" s="527"/>
      <c r="J220" s="527"/>
    </row>
    <row r="221" spans="1:10" s="528" customFormat="1" ht="12.75" x14ac:dyDescent="0.2">
      <c r="A221" s="571"/>
      <c r="B221" s="530"/>
      <c r="C221" s="530"/>
      <c r="D221" s="530"/>
      <c r="E221" s="530"/>
      <c r="F221" s="527"/>
      <c r="G221" s="527"/>
      <c r="H221" s="527"/>
      <c r="I221" s="527"/>
      <c r="J221" s="527"/>
    </row>
    <row r="222" spans="1:10" s="528" customFormat="1" ht="12.75" x14ac:dyDescent="0.2">
      <c r="A222" s="572"/>
      <c r="B222" s="904"/>
      <c r="C222" s="905"/>
      <c r="D222" s="530"/>
      <c r="E222" s="530"/>
      <c r="F222" s="527"/>
      <c r="G222" s="527"/>
      <c r="H222" s="527"/>
      <c r="I222" s="527"/>
      <c r="J222" s="527"/>
    </row>
    <row r="223" spans="1:10" s="528" customFormat="1" ht="12.75" x14ac:dyDescent="0.2">
      <c r="A223" s="572"/>
      <c r="B223" s="904"/>
      <c r="C223" s="905"/>
      <c r="D223" s="530"/>
      <c r="E223" s="530"/>
      <c r="F223" s="527"/>
      <c r="G223" s="527"/>
      <c r="H223" s="527"/>
      <c r="I223" s="527"/>
      <c r="J223" s="527"/>
    </row>
    <row r="224" spans="1:10" s="528" customFormat="1" ht="12.75" x14ac:dyDescent="0.2">
      <c r="A224" s="572"/>
      <c r="B224" s="904"/>
      <c r="C224" s="905"/>
      <c r="D224" s="530"/>
      <c r="E224" s="530"/>
      <c r="F224" s="527"/>
      <c r="G224" s="527"/>
      <c r="H224" s="527"/>
      <c r="I224" s="527"/>
      <c r="J224" s="527"/>
    </row>
    <row r="225" spans="1:10" s="528" customFormat="1" ht="12.75" x14ac:dyDescent="0.2">
      <c r="A225" s="572"/>
      <c r="B225" s="904"/>
      <c r="C225" s="905"/>
      <c r="D225" s="530"/>
      <c r="E225" s="843"/>
      <c r="F225" s="527"/>
      <c r="G225" s="527"/>
      <c r="H225" s="527"/>
      <c r="I225" s="527"/>
      <c r="J225" s="527"/>
    </row>
    <row r="226" spans="1:10" s="528" customFormat="1" ht="12.75" x14ac:dyDescent="0.2">
      <c r="A226" s="572"/>
      <c r="B226" s="904"/>
      <c r="C226" s="905"/>
      <c r="D226" s="530"/>
      <c r="E226" s="530"/>
      <c r="F226" s="527"/>
      <c r="G226" s="527"/>
      <c r="H226" s="527"/>
      <c r="I226" s="527"/>
      <c r="J226" s="527"/>
    </row>
    <row r="227" spans="1:10" s="528" customFormat="1" ht="12.75" x14ac:dyDescent="0.2">
      <c r="A227" s="572"/>
      <c r="B227" s="904"/>
      <c r="C227" s="905"/>
      <c r="D227" s="530"/>
      <c r="E227" s="530"/>
      <c r="F227" s="527"/>
      <c r="G227" s="527"/>
      <c r="H227" s="527"/>
      <c r="I227" s="527"/>
      <c r="J227" s="527"/>
    </row>
    <row r="228" spans="1:10" s="528" customFormat="1" ht="12.75" x14ac:dyDescent="0.2">
      <c r="A228" s="571"/>
      <c r="B228" s="904"/>
      <c r="C228" s="905"/>
      <c r="D228" s="530"/>
      <c r="E228" s="530"/>
      <c r="F228" s="527"/>
      <c r="G228" s="527"/>
      <c r="H228" s="527"/>
      <c r="I228" s="527"/>
      <c r="J228" s="527"/>
    </row>
    <row r="229" spans="1:10" s="528" customFormat="1" ht="12.75" x14ac:dyDescent="0.2">
      <c r="A229" s="572"/>
      <c r="B229" s="905"/>
      <c r="C229" s="904"/>
      <c r="D229" s="530"/>
      <c r="E229" s="530"/>
      <c r="F229" s="527"/>
      <c r="G229" s="527"/>
      <c r="H229" s="527"/>
      <c r="I229" s="527"/>
      <c r="J229" s="527"/>
    </row>
    <row r="230" spans="1:10" s="528" customFormat="1" ht="12.75" x14ac:dyDescent="0.2">
      <c r="A230" s="572"/>
      <c r="B230" s="905"/>
      <c r="C230" s="904"/>
      <c r="D230" s="530"/>
      <c r="E230" s="530"/>
      <c r="F230" s="527"/>
      <c r="G230" s="527"/>
      <c r="H230" s="527"/>
      <c r="I230" s="527"/>
      <c r="J230" s="527"/>
    </row>
    <row r="231" spans="1:10" s="528" customFormat="1" ht="12.75" x14ac:dyDescent="0.2">
      <c r="A231" s="572"/>
      <c r="B231" s="905"/>
      <c r="C231" s="904"/>
      <c r="D231" s="530"/>
      <c r="E231" s="530"/>
      <c r="F231" s="527"/>
      <c r="G231" s="527"/>
      <c r="H231" s="527"/>
      <c r="I231" s="527"/>
      <c r="J231" s="527"/>
    </row>
    <row r="232" spans="1:10" s="528" customFormat="1" ht="12.75" x14ac:dyDescent="0.2">
      <c r="A232" s="572"/>
      <c r="B232" s="905"/>
      <c r="C232" s="904"/>
      <c r="D232" s="530"/>
      <c r="E232" s="530"/>
      <c r="F232" s="527"/>
      <c r="G232" s="527"/>
      <c r="H232" s="527"/>
      <c r="I232" s="527"/>
      <c r="J232" s="527"/>
    </row>
    <row r="233" spans="1:10" s="528" customFormat="1" ht="12.75" x14ac:dyDescent="0.2">
      <c r="A233" s="572"/>
      <c r="B233" s="905"/>
      <c r="C233" s="904"/>
      <c r="D233" s="530"/>
      <c r="E233" s="530"/>
      <c r="F233" s="527"/>
      <c r="G233" s="527"/>
      <c r="H233" s="527"/>
      <c r="I233" s="527"/>
      <c r="J233" s="527"/>
    </row>
    <row r="234" spans="1:10" s="528" customFormat="1" ht="12.75" x14ac:dyDescent="0.2">
      <c r="A234" s="572"/>
      <c r="B234" s="905"/>
      <c r="C234" s="904"/>
      <c r="D234" s="530"/>
      <c r="E234" s="530"/>
      <c r="F234" s="527"/>
      <c r="G234" s="527"/>
      <c r="H234" s="527"/>
      <c r="I234" s="527"/>
      <c r="J234" s="527"/>
    </row>
    <row r="235" spans="1:10" s="528" customFormat="1" ht="12.75" x14ac:dyDescent="0.2">
      <c r="A235" s="572"/>
      <c r="B235" s="905"/>
      <c r="C235" s="904"/>
      <c r="D235" s="530"/>
      <c r="E235" s="530"/>
      <c r="F235" s="527"/>
      <c r="G235" s="527"/>
      <c r="H235" s="527"/>
      <c r="I235" s="527"/>
      <c r="J235" s="527"/>
    </row>
    <row r="236" spans="1:10" s="528" customFormat="1" ht="12.75" x14ac:dyDescent="0.2">
      <c r="A236" s="571"/>
      <c r="B236" s="530"/>
      <c r="C236" s="530"/>
      <c r="D236" s="530"/>
      <c r="E236" s="530"/>
      <c r="F236" s="527"/>
      <c r="G236" s="527"/>
      <c r="H236" s="527"/>
      <c r="I236" s="527"/>
      <c r="J236" s="527"/>
    </row>
    <row r="237" spans="1:10" s="528" customFormat="1" ht="45.75" customHeight="1" x14ac:dyDescent="0.2">
      <c r="A237" s="953"/>
      <c r="B237" s="953"/>
      <c r="C237" s="953"/>
      <c r="D237" s="953"/>
      <c r="E237" s="530"/>
      <c r="F237" s="527"/>
      <c r="G237" s="527"/>
      <c r="H237" s="527"/>
      <c r="I237" s="527"/>
      <c r="J237" s="527"/>
    </row>
    <row r="238" spans="1:10" s="528" customFormat="1" ht="12.75" x14ac:dyDescent="0.2">
      <c r="A238" s="573"/>
      <c r="B238" s="530"/>
      <c r="C238" s="530"/>
      <c r="D238" s="530"/>
      <c r="E238" s="530"/>
      <c r="F238" s="527"/>
      <c r="G238" s="527"/>
      <c r="H238" s="527"/>
      <c r="I238" s="527"/>
      <c r="J238" s="527"/>
    </row>
    <row r="239" spans="1:10" s="528" customFormat="1" ht="12.75" x14ac:dyDescent="0.2">
      <c r="A239" s="571"/>
      <c r="B239" s="530"/>
      <c r="C239" s="530"/>
      <c r="D239" s="530"/>
      <c r="E239" s="530"/>
      <c r="F239" s="527"/>
      <c r="G239" s="527"/>
      <c r="H239" s="527"/>
      <c r="I239" s="527"/>
      <c r="J239" s="527"/>
    </row>
    <row r="240" spans="1:10" s="528" customFormat="1" ht="12.75" x14ac:dyDescent="0.2">
      <c r="A240" s="571"/>
      <c r="B240" s="530"/>
      <c r="C240" s="530"/>
      <c r="D240" s="530"/>
      <c r="E240" s="530"/>
      <c r="F240" s="527"/>
      <c r="G240" s="527"/>
      <c r="H240" s="527"/>
      <c r="I240" s="527"/>
      <c r="J240" s="527"/>
    </row>
    <row r="241" spans="1:10" s="528" customFormat="1" ht="12.75" x14ac:dyDescent="0.2">
      <c r="A241" s="571"/>
      <c r="B241" s="530"/>
      <c r="C241" s="530"/>
      <c r="D241" s="530"/>
      <c r="E241" s="530"/>
      <c r="F241" s="527"/>
      <c r="G241" s="527"/>
      <c r="H241" s="527"/>
      <c r="I241" s="527"/>
      <c r="J241" s="527"/>
    </row>
    <row r="242" spans="1:10" s="528" customFormat="1" ht="49.5" customHeight="1" x14ac:dyDescent="0.2">
      <c r="A242" s="956"/>
      <c r="B242" s="956"/>
      <c r="C242" s="956"/>
      <c r="D242" s="956"/>
      <c r="E242" s="530"/>
      <c r="F242" s="527"/>
      <c r="G242" s="527"/>
      <c r="H242" s="527"/>
      <c r="I242" s="527"/>
      <c r="J242" s="527"/>
    </row>
    <row r="243" spans="1:10" s="528" customFormat="1" ht="46.5" customHeight="1" x14ac:dyDescent="0.2">
      <c r="A243" s="956"/>
      <c r="B243" s="956"/>
      <c r="C243" s="956"/>
      <c r="D243" s="956"/>
      <c r="E243" s="530"/>
      <c r="F243" s="527"/>
      <c r="G243" s="527"/>
      <c r="H243" s="527"/>
      <c r="I243" s="527"/>
      <c r="J243" s="527"/>
    </row>
    <row r="244" spans="1:10" s="528" customFormat="1" ht="38.25" customHeight="1" x14ac:dyDescent="0.2">
      <c r="A244" s="956"/>
      <c r="B244" s="956"/>
      <c r="C244" s="956"/>
      <c r="D244" s="956"/>
      <c r="E244" s="530"/>
      <c r="F244" s="527"/>
      <c r="G244" s="527"/>
      <c r="H244" s="527"/>
      <c r="I244" s="527"/>
      <c r="J244" s="527"/>
    </row>
    <row r="245" spans="1:10" s="528" customFormat="1" ht="12.75" x14ac:dyDescent="0.2">
      <c r="A245" s="571"/>
      <c r="B245" s="530"/>
      <c r="C245" s="530"/>
      <c r="D245" s="530"/>
      <c r="E245" s="530"/>
      <c r="F245" s="527"/>
      <c r="G245" s="527"/>
      <c r="H245" s="527"/>
      <c r="I245" s="527"/>
      <c r="J245" s="527"/>
    </row>
    <row r="246" spans="1:10" s="528" customFormat="1" ht="12.75" x14ac:dyDescent="0.2">
      <c r="A246" s="571"/>
      <c r="B246" s="530"/>
      <c r="C246" s="530"/>
      <c r="D246" s="530"/>
      <c r="E246" s="530"/>
      <c r="F246" s="527"/>
      <c r="G246" s="527"/>
      <c r="H246" s="527"/>
      <c r="I246" s="527"/>
      <c r="J246" s="527"/>
    </row>
    <row r="247" spans="1:10" s="528" customFormat="1" ht="52.5" customHeight="1" x14ac:dyDescent="0.2">
      <c r="A247" s="953"/>
      <c r="B247" s="953"/>
      <c r="C247" s="953"/>
      <c r="D247" s="953"/>
      <c r="E247" s="530"/>
      <c r="F247" s="527"/>
      <c r="G247" s="527"/>
      <c r="H247" s="527"/>
      <c r="I247" s="527"/>
      <c r="J247" s="527"/>
    </row>
    <row r="248" spans="1:10" s="528" customFormat="1" ht="12.75" x14ac:dyDescent="0.2">
      <c r="A248" s="953"/>
      <c r="B248" s="953"/>
      <c r="C248" s="953"/>
      <c r="D248" s="953"/>
      <c r="E248" s="530"/>
      <c r="F248" s="527"/>
      <c r="G248" s="527"/>
      <c r="H248" s="527"/>
      <c r="I248" s="527"/>
      <c r="J248" s="527"/>
    </row>
    <row r="249" spans="1:10" s="528" customFormat="1" ht="12.75" x14ac:dyDescent="0.2">
      <c r="A249" s="953"/>
      <c r="B249" s="953"/>
      <c r="C249" s="953"/>
      <c r="D249" s="953"/>
      <c r="E249" s="530"/>
      <c r="F249" s="527"/>
      <c r="G249" s="527"/>
      <c r="H249" s="527"/>
      <c r="I249" s="527"/>
      <c r="J249" s="527"/>
    </row>
    <row r="250" spans="1:10" s="528" customFormat="1" ht="12.75" x14ac:dyDescent="0.2">
      <c r="A250" s="573"/>
      <c r="B250" s="548"/>
      <c r="C250" s="548"/>
      <c r="D250" s="548"/>
      <c r="E250" s="530"/>
      <c r="F250" s="527"/>
      <c r="G250" s="527"/>
      <c r="H250" s="527"/>
      <c r="I250" s="527"/>
      <c r="J250" s="527"/>
    </row>
    <row r="251" spans="1:10" s="528" customFormat="1" ht="12.75" x14ac:dyDescent="0.2">
      <c r="A251" s="573"/>
      <c r="B251" s="548"/>
      <c r="C251" s="548"/>
      <c r="D251" s="548"/>
      <c r="E251" s="530"/>
      <c r="F251" s="527"/>
      <c r="G251" s="527"/>
      <c r="H251" s="527"/>
      <c r="I251" s="527"/>
      <c r="J251" s="527"/>
    </row>
    <row r="252" spans="1:10" s="528" customFormat="1" ht="12.75" x14ac:dyDescent="0.2">
      <c r="A252" s="573"/>
      <c r="B252" s="548"/>
      <c r="C252" s="548"/>
      <c r="D252" s="548"/>
      <c r="E252" s="530"/>
      <c r="F252" s="527"/>
      <c r="G252" s="527"/>
      <c r="H252" s="527"/>
      <c r="I252" s="527"/>
      <c r="J252" s="527"/>
    </row>
    <row r="253" spans="1:10" s="528" customFormat="1" ht="93" customHeight="1" x14ac:dyDescent="0.2">
      <c r="A253" s="953"/>
      <c r="B253" s="953"/>
      <c r="C253" s="953"/>
      <c r="D253" s="953"/>
      <c r="E253" s="530"/>
      <c r="F253" s="527"/>
      <c r="G253" s="527"/>
      <c r="H253" s="527"/>
      <c r="I253" s="527"/>
      <c r="J253" s="527"/>
    </row>
    <row r="254" spans="1:10" s="528" customFormat="1" ht="12.75" x14ac:dyDescent="0.2">
      <c r="A254" s="573"/>
      <c r="B254" s="548"/>
      <c r="C254" s="548"/>
      <c r="D254" s="548"/>
      <c r="E254" s="530"/>
      <c r="F254" s="527"/>
      <c r="G254" s="527"/>
      <c r="H254" s="527"/>
      <c r="I254" s="527"/>
      <c r="J254" s="527"/>
    </row>
    <row r="255" spans="1:10" s="528" customFormat="1" ht="12.75" x14ac:dyDescent="0.2">
      <c r="A255" s="573"/>
      <c r="B255" s="548"/>
      <c r="C255" s="548"/>
      <c r="D255" s="548"/>
      <c r="E255" s="530"/>
      <c r="F255" s="527"/>
      <c r="G255" s="527"/>
      <c r="H255" s="527"/>
      <c r="I255" s="527"/>
      <c r="J255" s="527"/>
    </row>
    <row r="256" spans="1:10" s="528" customFormat="1" ht="39" customHeight="1" x14ac:dyDescent="0.2">
      <c r="A256" s="956"/>
      <c r="B256" s="956"/>
      <c r="C256" s="956"/>
      <c r="D256" s="956"/>
      <c r="E256" s="530"/>
      <c r="F256" s="527"/>
      <c r="G256" s="527"/>
      <c r="H256" s="527"/>
      <c r="I256" s="527"/>
      <c r="J256" s="527"/>
    </row>
    <row r="257" spans="1:10" s="528" customFormat="1" ht="60.75" customHeight="1" x14ac:dyDescent="0.2">
      <c r="A257" s="956"/>
      <c r="B257" s="956"/>
      <c r="C257" s="956"/>
      <c r="D257" s="956"/>
      <c r="E257" s="530"/>
      <c r="F257" s="527"/>
      <c r="G257" s="527"/>
      <c r="H257" s="527"/>
      <c r="I257" s="527"/>
      <c r="J257" s="527"/>
    </row>
    <row r="258" spans="1:10" s="528" customFormat="1" ht="12.75" customHeight="1" x14ac:dyDescent="0.2">
      <c r="A258" s="953"/>
      <c r="B258" s="953"/>
      <c r="C258" s="953"/>
      <c r="D258" s="953"/>
      <c r="E258" s="530"/>
      <c r="F258" s="527"/>
      <c r="G258" s="527"/>
      <c r="H258" s="527"/>
      <c r="I258" s="527"/>
      <c r="J258" s="527"/>
    </row>
    <row r="259" spans="1:10" s="528" customFormat="1" ht="12.75" x14ac:dyDescent="0.2">
      <c r="A259" s="551"/>
      <c r="B259" s="548"/>
      <c r="C259" s="548"/>
      <c r="D259" s="548"/>
      <c r="E259" s="548"/>
      <c r="F259" s="527"/>
      <c r="G259" s="527"/>
      <c r="H259" s="527"/>
      <c r="I259" s="527"/>
      <c r="J259" s="527"/>
    </row>
    <row r="260" spans="1:10" s="528" customFormat="1" ht="50.25" customHeight="1" x14ac:dyDescent="0.2">
      <c r="A260" s="954"/>
      <c r="B260" s="954"/>
      <c r="C260" s="954"/>
      <c r="D260" s="954"/>
      <c r="E260" s="574"/>
      <c r="F260" s="527"/>
      <c r="G260" s="527"/>
      <c r="H260" s="527"/>
      <c r="I260" s="527"/>
      <c r="J260" s="527"/>
    </row>
    <row r="261" spans="1:10" s="528" customFormat="1" ht="15" customHeight="1" x14ac:dyDescent="0.2">
      <c r="A261" s="575"/>
      <c r="B261" s="548"/>
      <c r="C261" s="548"/>
      <c r="D261" s="548"/>
      <c r="E261" s="548"/>
      <c r="F261" s="527"/>
      <c r="G261" s="527"/>
      <c r="H261" s="527"/>
      <c r="I261" s="527"/>
      <c r="J261" s="527"/>
    </row>
    <row r="262" spans="1:10" s="528" customFormat="1" ht="12.75" customHeight="1" x14ac:dyDescent="0.2">
      <c r="A262" s="954"/>
      <c r="B262" s="954"/>
      <c r="C262" s="954"/>
      <c r="D262" s="954"/>
      <c r="E262" s="574"/>
      <c r="F262" s="527"/>
      <c r="G262" s="527"/>
      <c r="H262" s="527"/>
      <c r="I262" s="527"/>
      <c r="J262" s="527"/>
    </row>
    <row r="263" spans="1:10" s="528" customFormat="1" ht="12.75" x14ac:dyDescent="0.2">
      <c r="A263" s="575"/>
      <c r="B263" s="548"/>
      <c r="C263" s="548"/>
      <c r="D263" s="548"/>
      <c r="E263" s="548"/>
      <c r="F263" s="527"/>
      <c r="G263" s="527"/>
      <c r="H263" s="527"/>
      <c r="I263" s="527"/>
      <c r="J263" s="527"/>
    </row>
    <row r="264" spans="1:10" s="528" customFormat="1" ht="60.75" customHeight="1" x14ac:dyDescent="0.2">
      <c r="A264" s="954"/>
      <c r="B264" s="954"/>
      <c r="C264" s="954"/>
      <c r="D264" s="954"/>
      <c r="E264" s="574"/>
      <c r="F264" s="527"/>
      <c r="G264" s="527"/>
      <c r="H264" s="527"/>
      <c r="I264" s="527"/>
      <c r="J264" s="527"/>
    </row>
    <row r="265" spans="1:10" s="528" customFormat="1" ht="15.75" customHeight="1" x14ac:dyDescent="0.2">
      <c r="A265" s="575"/>
      <c r="B265" s="548"/>
      <c r="C265" s="548"/>
      <c r="D265" s="548"/>
      <c r="E265" s="548"/>
      <c r="F265" s="527"/>
      <c r="G265" s="527"/>
      <c r="H265" s="527"/>
      <c r="I265" s="527"/>
      <c r="J265" s="527"/>
    </row>
    <row r="266" spans="1:10" s="528" customFormat="1" ht="60.75" customHeight="1" x14ac:dyDescent="0.2">
      <c r="A266" s="954"/>
      <c r="B266" s="954"/>
      <c r="C266" s="954"/>
      <c r="D266" s="954"/>
      <c r="E266" s="574"/>
      <c r="F266" s="527"/>
      <c r="G266" s="527"/>
      <c r="H266" s="527"/>
      <c r="I266" s="527"/>
      <c r="J266" s="527"/>
    </row>
    <row r="267" spans="1:10" s="528" customFormat="1" ht="16.5" customHeight="1" x14ac:dyDescent="0.2">
      <c r="A267" s="575"/>
      <c r="B267" s="548"/>
      <c r="C267" s="548"/>
      <c r="D267" s="548"/>
      <c r="E267" s="548"/>
      <c r="F267" s="527"/>
      <c r="G267" s="527"/>
      <c r="H267" s="527"/>
      <c r="I267" s="527"/>
      <c r="J267" s="527"/>
    </row>
    <row r="268" spans="1:10" s="528" customFormat="1" ht="12.75" x14ac:dyDescent="0.2">
      <c r="A268" s="574"/>
      <c r="B268" s="574"/>
      <c r="C268" s="574"/>
      <c r="D268" s="574"/>
      <c r="E268" s="574"/>
      <c r="F268" s="527"/>
      <c r="G268" s="527"/>
      <c r="H268" s="527"/>
      <c r="I268" s="527"/>
      <c r="J268" s="527"/>
    </row>
    <row r="269" spans="1:10" s="528" customFormat="1" ht="12.75" x14ac:dyDescent="0.2">
      <c r="A269" s="571"/>
      <c r="B269" s="530"/>
      <c r="C269" s="530"/>
      <c r="D269" s="530"/>
      <c r="E269" s="530"/>
      <c r="F269" s="527"/>
      <c r="G269" s="527"/>
      <c r="H269" s="527"/>
      <c r="I269" s="527"/>
      <c r="J269" s="527"/>
    </row>
    <row r="270" spans="1:10" s="528" customFormat="1" ht="31.5" customHeight="1" x14ac:dyDescent="0.2">
      <c r="A270" s="571"/>
      <c r="B270" s="530"/>
      <c r="C270" s="530"/>
      <c r="D270" s="530"/>
      <c r="E270" s="530"/>
      <c r="F270" s="527"/>
      <c r="G270" s="527"/>
      <c r="H270" s="527"/>
      <c r="I270" s="527"/>
      <c r="J270" s="527"/>
    </row>
    <row r="271" spans="1:10" s="528" customFormat="1" ht="12.75" x14ac:dyDescent="0.2">
      <c r="A271" s="571"/>
      <c r="B271" s="530"/>
      <c r="C271" s="530"/>
      <c r="D271" s="530"/>
      <c r="E271" s="530"/>
      <c r="F271" s="527"/>
      <c r="G271" s="527"/>
      <c r="H271" s="527"/>
      <c r="I271" s="527"/>
      <c r="J271" s="527"/>
    </row>
    <row r="272" spans="1:10" s="528" customFormat="1" ht="12.75" customHeight="1" x14ac:dyDescent="0.2">
      <c r="A272" s="955"/>
      <c r="B272" s="955"/>
      <c r="C272" s="955"/>
      <c r="D272" s="955"/>
      <c r="E272" s="548"/>
      <c r="F272" s="527"/>
      <c r="G272" s="527"/>
      <c r="H272" s="527"/>
      <c r="I272" s="527"/>
      <c r="J272" s="527"/>
    </row>
    <row r="273" spans="1:10" s="528" customFormat="1" ht="66.75" customHeight="1" x14ac:dyDescent="0.2">
      <c r="A273" s="955"/>
      <c r="B273" s="955"/>
      <c r="C273" s="955"/>
      <c r="D273" s="955"/>
      <c r="E273" s="548"/>
      <c r="F273" s="527"/>
      <c r="G273" s="527"/>
      <c r="H273" s="527"/>
      <c r="I273" s="527"/>
      <c r="J273" s="527"/>
    </row>
    <row r="274" spans="1:10" s="528" customFormat="1" ht="12.75" customHeight="1" x14ac:dyDescent="0.2">
      <c r="A274" s="955"/>
      <c r="B274" s="955"/>
      <c r="C274" s="955"/>
      <c r="D274" s="955"/>
      <c r="E274" s="548"/>
      <c r="F274" s="527"/>
      <c r="G274" s="527"/>
      <c r="H274" s="527"/>
      <c r="I274" s="527"/>
      <c r="J274" s="527"/>
    </row>
    <row r="275" spans="1:10" s="528" customFormat="1" ht="12.75" x14ac:dyDescent="0.2">
      <c r="A275" s="571"/>
      <c r="B275" s="530"/>
      <c r="C275" s="530"/>
      <c r="D275" s="530"/>
      <c r="E275" s="530"/>
      <c r="F275" s="527"/>
      <c r="G275" s="527"/>
      <c r="H275" s="527"/>
      <c r="I275" s="527"/>
      <c r="J275" s="527"/>
    </row>
    <row r="276" spans="1:10" s="528" customFormat="1" ht="12.75" x14ac:dyDescent="0.2">
      <c r="A276" s="571"/>
      <c r="B276" s="530"/>
      <c r="C276" s="530"/>
      <c r="D276" s="530"/>
      <c r="E276" s="530"/>
      <c r="F276" s="527"/>
      <c r="G276" s="527"/>
      <c r="H276" s="527"/>
      <c r="I276" s="527"/>
      <c r="J276" s="527"/>
    </row>
    <row r="277" spans="1:10" s="528" customFormat="1" ht="12.75" x14ac:dyDescent="0.2">
      <c r="A277" s="571"/>
      <c r="B277" s="530"/>
      <c r="C277" s="530"/>
      <c r="D277" s="530"/>
      <c r="E277" s="530"/>
      <c r="F277" s="527"/>
      <c r="G277" s="527"/>
      <c r="H277" s="527"/>
      <c r="I277" s="527"/>
      <c r="J277" s="527"/>
    </row>
    <row r="278" spans="1:10" s="528" customFormat="1" ht="12.75" x14ac:dyDescent="0.2">
      <c r="A278" s="571"/>
      <c r="B278" s="530"/>
      <c r="C278" s="530"/>
      <c r="D278" s="530"/>
      <c r="E278" s="530"/>
      <c r="F278" s="527"/>
      <c r="G278" s="527"/>
      <c r="H278" s="527"/>
      <c r="I278" s="527"/>
      <c r="J278" s="527"/>
    </row>
    <row r="279" spans="1:10" s="528" customFormat="1" ht="12.75" x14ac:dyDescent="0.2">
      <c r="A279" s="571"/>
      <c r="B279" s="530"/>
      <c r="C279" s="530"/>
      <c r="D279" s="530"/>
      <c r="E279" s="530"/>
      <c r="F279" s="527"/>
      <c r="G279" s="527"/>
      <c r="H279" s="527"/>
      <c r="I279" s="527"/>
      <c r="J279" s="527"/>
    </row>
    <row r="280" spans="1:10" s="528" customFormat="1" ht="12.75" x14ac:dyDescent="0.2">
      <c r="A280" s="571"/>
      <c r="B280" s="530"/>
      <c r="C280" s="530"/>
      <c r="D280" s="530"/>
      <c r="E280" s="530"/>
      <c r="F280" s="527"/>
      <c r="G280" s="527"/>
      <c r="H280" s="527"/>
      <c r="I280" s="527"/>
      <c r="J280" s="527"/>
    </row>
    <row r="281" spans="1:10" s="528" customFormat="1" ht="12.75" customHeight="1" x14ac:dyDescent="0.2">
      <c r="A281" s="953"/>
      <c r="B281" s="953"/>
      <c r="C281" s="953"/>
      <c r="D281" s="953"/>
      <c r="E281" s="530"/>
      <c r="F281" s="527"/>
      <c r="G281" s="527"/>
      <c r="H281" s="527"/>
      <c r="I281" s="527"/>
      <c r="J281" s="527"/>
    </row>
    <row r="282" spans="1:10" s="528" customFormat="1" ht="12.75" x14ac:dyDescent="0.2">
      <c r="A282" s="953"/>
      <c r="B282" s="953"/>
      <c r="C282" s="953"/>
      <c r="D282" s="953"/>
      <c r="E282" s="530"/>
      <c r="F282" s="527"/>
      <c r="G282" s="527"/>
      <c r="H282" s="527"/>
      <c r="I282" s="527"/>
      <c r="J282" s="527"/>
    </row>
    <row r="283" spans="1:10" s="528" customFormat="1" ht="12.75" x14ac:dyDescent="0.2">
      <c r="A283" s="855"/>
      <c r="B283" s="855"/>
      <c r="C283" s="855"/>
      <c r="D283" s="855"/>
      <c r="E283" s="530"/>
      <c r="F283" s="527"/>
      <c r="G283" s="527"/>
      <c r="H283" s="527"/>
      <c r="I283" s="527"/>
      <c r="J283" s="527"/>
    </row>
    <row r="284" spans="1:10" s="528" customFormat="1" ht="12.75" x14ac:dyDescent="0.2">
      <c r="A284" s="571"/>
      <c r="B284" s="530"/>
      <c r="C284" s="530"/>
      <c r="D284" s="530"/>
      <c r="E284" s="530"/>
      <c r="F284" s="527"/>
      <c r="G284" s="527"/>
      <c r="H284" s="527"/>
      <c r="I284" s="527"/>
      <c r="J284" s="527"/>
    </row>
    <row r="285" spans="1:10" s="528" customFormat="1" ht="12.75" x14ac:dyDescent="0.2">
      <c r="A285" s="571"/>
      <c r="B285" s="530"/>
      <c r="C285" s="530"/>
      <c r="D285" s="530"/>
      <c r="E285" s="530"/>
      <c r="F285" s="527"/>
      <c r="G285" s="527"/>
      <c r="H285" s="527"/>
      <c r="I285" s="527"/>
      <c r="J285" s="527"/>
    </row>
    <row r="286" spans="1:10" s="528" customFormat="1" ht="12.75" x14ac:dyDescent="0.2">
      <c r="A286" s="571"/>
      <c r="B286" s="530"/>
      <c r="C286" s="530"/>
      <c r="D286" s="530"/>
      <c r="E286" s="530"/>
      <c r="F286" s="527"/>
      <c r="G286" s="527"/>
      <c r="H286" s="527"/>
      <c r="I286" s="527"/>
      <c r="J286" s="527"/>
    </row>
    <row r="287" spans="1:10" s="528" customFormat="1" ht="12.75" x14ac:dyDescent="0.2">
      <c r="A287" s="571"/>
      <c r="B287" s="530"/>
      <c r="C287" s="530"/>
      <c r="D287" s="530"/>
      <c r="E287" s="530"/>
      <c r="F287" s="527"/>
      <c r="G287" s="527"/>
      <c r="H287" s="527"/>
      <c r="I287" s="527"/>
      <c r="J287" s="527"/>
    </row>
    <row r="288" spans="1:10" s="528" customFormat="1" ht="12.75" x14ac:dyDescent="0.2">
      <c r="A288" s="571"/>
      <c r="B288" s="530"/>
      <c r="C288" s="530"/>
      <c r="D288" s="530"/>
      <c r="E288" s="530"/>
      <c r="F288" s="527"/>
      <c r="G288" s="527"/>
      <c r="H288" s="527"/>
      <c r="I288" s="527"/>
      <c r="J288" s="527"/>
    </row>
    <row r="289" spans="1:10" s="528" customFormat="1" ht="12.75" x14ac:dyDescent="0.2">
      <c r="A289" s="571"/>
      <c r="B289" s="530"/>
      <c r="C289" s="530"/>
      <c r="D289" s="530"/>
      <c r="E289" s="530"/>
      <c r="F289" s="527"/>
      <c r="G289" s="527"/>
      <c r="H289" s="527"/>
      <c r="I289" s="527"/>
      <c r="J289" s="527"/>
    </row>
    <row r="290" spans="1:10" s="528" customFormat="1" ht="12.75" x14ac:dyDescent="0.2">
      <c r="A290" s="571"/>
      <c r="B290" s="842"/>
      <c r="C290" s="530"/>
      <c r="D290" s="530"/>
      <c r="E290" s="530"/>
      <c r="F290" s="527"/>
      <c r="G290" s="527"/>
      <c r="H290" s="527"/>
      <c r="I290" s="527"/>
      <c r="J290" s="527"/>
    </row>
    <row r="291" spans="1:10" s="528" customFormat="1" ht="12.75" x14ac:dyDescent="0.2">
      <c r="A291" s="571"/>
      <c r="B291" s="842"/>
      <c r="C291" s="530"/>
      <c r="D291" s="530"/>
      <c r="E291" s="530"/>
      <c r="F291" s="527"/>
      <c r="G291" s="527"/>
      <c r="H291" s="527"/>
      <c r="I291" s="527"/>
      <c r="J291" s="527"/>
    </row>
    <row r="292" spans="1:10" s="528" customFormat="1" ht="12.75" x14ac:dyDescent="0.2">
      <c r="A292" s="571"/>
      <c r="B292" s="530"/>
      <c r="C292" s="530"/>
      <c r="D292" s="530"/>
      <c r="E292" s="530"/>
      <c r="F292" s="527"/>
      <c r="G292" s="527"/>
      <c r="H292" s="527"/>
      <c r="I292" s="527"/>
      <c r="J292" s="527"/>
    </row>
    <row r="293" spans="1:10" s="528" customFormat="1" ht="12.75" x14ac:dyDescent="0.2">
      <c r="A293" s="571"/>
      <c r="B293" s="530"/>
      <c r="C293" s="530"/>
      <c r="D293" s="530"/>
      <c r="E293" s="530"/>
      <c r="F293" s="527"/>
      <c r="G293" s="527"/>
      <c r="H293" s="527"/>
      <c r="I293" s="527"/>
      <c r="J293" s="527"/>
    </row>
    <row r="294" spans="1:10" s="528" customFormat="1" ht="12.75" x14ac:dyDescent="0.2">
      <c r="A294" s="571"/>
      <c r="B294" s="530"/>
      <c r="C294" s="530"/>
      <c r="D294" s="530"/>
      <c r="E294" s="530"/>
      <c r="F294" s="527"/>
      <c r="G294" s="527"/>
      <c r="H294" s="527"/>
      <c r="I294" s="527"/>
      <c r="J294" s="527"/>
    </row>
    <row r="295" spans="1:10" s="528" customFormat="1" ht="12.75" customHeight="1" x14ac:dyDescent="0.2">
      <c r="A295" s="953"/>
      <c r="B295" s="953"/>
      <c r="C295" s="953"/>
      <c r="D295" s="953"/>
      <c r="E295" s="953"/>
      <c r="F295" s="527"/>
      <c r="G295" s="527"/>
      <c r="H295" s="527"/>
      <c r="I295" s="527"/>
      <c r="J295" s="527"/>
    </row>
    <row r="296" spans="1:10" s="528" customFormat="1" ht="12.75" x14ac:dyDescent="0.2">
      <c r="A296" s="571"/>
      <c r="B296" s="530"/>
      <c r="C296" s="530"/>
      <c r="D296" s="530"/>
      <c r="E296" s="530"/>
      <c r="F296" s="527"/>
      <c r="G296" s="527"/>
      <c r="H296" s="527"/>
      <c r="I296" s="527"/>
      <c r="J296" s="527"/>
    </row>
    <row r="297" spans="1:10" s="528" customFormat="1" ht="12.75" x14ac:dyDescent="0.2">
      <c r="A297" s="571"/>
      <c r="B297" s="530"/>
      <c r="C297" s="530"/>
      <c r="D297" s="530"/>
      <c r="E297" s="530"/>
      <c r="F297" s="527"/>
      <c r="G297" s="527"/>
      <c r="H297" s="527"/>
      <c r="I297" s="527"/>
      <c r="J297" s="527"/>
    </row>
    <row r="298" spans="1:10" s="528" customFormat="1" ht="12.75" x14ac:dyDescent="0.2">
      <c r="A298" s="571"/>
      <c r="B298" s="530"/>
      <c r="C298" s="530"/>
      <c r="D298" s="530"/>
      <c r="E298" s="530"/>
      <c r="F298" s="527"/>
      <c r="G298" s="527"/>
      <c r="H298" s="527"/>
      <c r="I298" s="527"/>
      <c r="J298" s="527"/>
    </row>
    <row r="299" spans="1:10" s="528" customFormat="1" ht="12.75" x14ac:dyDescent="0.2">
      <c r="A299" s="571"/>
      <c r="B299" s="530"/>
      <c r="C299" s="530"/>
      <c r="D299" s="530"/>
      <c r="E299" s="530"/>
      <c r="F299" s="527"/>
      <c r="G299" s="527"/>
      <c r="H299" s="527"/>
      <c r="I299" s="527"/>
      <c r="J299" s="527"/>
    </row>
    <row r="300" spans="1:10" s="528" customFormat="1" ht="12.75" x14ac:dyDescent="0.2">
      <c r="A300" s="571"/>
      <c r="B300" s="530"/>
      <c r="C300" s="530"/>
      <c r="D300" s="530"/>
      <c r="E300" s="530"/>
      <c r="F300" s="527"/>
      <c r="G300" s="527"/>
      <c r="H300" s="527"/>
      <c r="I300" s="527"/>
      <c r="J300" s="527"/>
    </row>
    <row r="301" spans="1:10" s="528" customFormat="1" ht="12.75" x14ac:dyDescent="0.2">
      <c r="A301" s="571"/>
      <c r="B301" s="530"/>
      <c r="C301" s="530"/>
      <c r="D301" s="530"/>
      <c r="E301" s="530"/>
      <c r="F301" s="527"/>
      <c r="G301" s="527"/>
      <c r="H301" s="527"/>
      <c r="I301" s="527"/>
      <c r="J301" s="527"/>
    </row>
    <row r="302" spans="1:10" s="528" customFormat="1" ht="12.75" x14ac:dyDescent="0.2">
      <c r="A302" s="571"/>
      <c r="B302" s="530"/>
      <c r="C302" s="530"/>
      <c r="D302" s="530"/>
      <c r="E302" s="530"/>
      <c r="F302" s="527"/>
      <c r="G302" s="527"/>
      <c r="H302" s="527"/>
      <c r="I302" s="527"/>
      <c r="J302" s="527"/>
    </row>
    <row r="303" spans="1:10" s="528" customFormat="1" ht="12.75" x14ac:dyDescent="0.2">
      <c r="A303" s="571"/>
      <c r="B303" s="530"/>
      <c r="C303" s="530"/>
      <c r="D303" s="530"/>
      <c r="E303" s="530"/>
      <c r="F303" s="527"/>
      <c r="G303" s="527"/>
      <c r="H303" s="527"/>
      <c r="I303" s="527"/>
      <c r="J303" s="527"/>
    </row>
    <row r="304" spans="1:10" s="528" customFormat="1" ht="12.75" x14ac:dyDescent="0.2">
      <c r="A304" s="571"/>
      <c r="B304" s="530"/>
      <c r="C304" s="530"/>
      <c r="D304" s="530"/>
      <c r="E304" s="530"/>
      <c r="F304" s="527"/>
      <c r="G304" s="527"/>
      <c r="H304" s="527"/>
      <c r="I304" s="527"/>
      <c r="J304" s="527"/>
    </row>
    <row r="305" spans="1:10" s="528" customFormat="1" ht="12.75" x14ac:dyDescent="0.2">
      <c r="A305" s="571"/>
      <c r="B305" s="530"/>
      <c r="C305" s="530"/>
      <c r="D305" s="530"/>
      <c r="E305" s="530"/>
      <c r="F305" s="527"/>
      <c r="G305" s="527"/>
      <c r="H305" s="527"/>
      <c r="I305" s="527"/>
      <c r="J305" s="527"/>
    </row>
    <row r="306" spans="1:10" s="528" customFormat="1" ht="12.75" x14ac:dyDescent="0.2">
      <c r="A306" s="571"/>
      <c r="B306" s="530"/>
      <c r="C306" s="530"/>
      <c r="D306" s="530"/>
      <c r="E306" s="530"/>
      <c r="F306" s="527"/>
      <c r="G306" s="527"/>
      <c r="H306" s="527"/>
      <c r="I306" s="527"/>
      <c r="J306" s="527"/>
    </row>
    <row r="307" spans="1:10" s="528" customFormat="1" ht="12.75" x14ac:dyDescent="0.2">
      <c r="A307" s="571"/>
      <c r="B307" s="530"/>
      <c r="C307" s="530"/>
      <c r="D307" s="530"/>
      <c r="E307" s="530"/>
      <c r="F307" s="527"/>
      <c r="G307" s="527"/>
      <c r="H307" s="527"/>
      <c r="I307" s="527"/>
      <c r="J307" s="527"/>
    </row>
    <row r="308" spans="1:10" s="528" customFormat="1" ht="12.75" x14ac:dyDescent="0.2">
      <c r="A308" s="571"/>
      <c r="B308" s="530"/>
      <c r="C308" s="530"/>
      <c r="D308" s="530"/>
      <c r="E308" s="530"/>
      <c r="F308" s="527"/>
      <c r="G308" s="527"/>
      <c r="H308" s="527"/>
      <c r="I308" s="527"/>
      <c r="J308" s="527"/>
    </row>
    <row r="309" spans="1:10" s="528" customFormat="1" ht="12.75" x14ac:dyDescent="0.2">
      <c r="A309" s="571"/>
      <c r="B309" s="530"/>
      <c r="C309" s="530"/>
      <c r="D309" s="530"/>
      <c r="E309" s="530"/>
      <c r="F309" s="527"/>
      <c r="G309" s="527"/>
      <c r="H309" s="527"/>
      <c r="I309" s="527"/>
      <c r="J309" s="527"/>
    </row>
    <row r="310" spans="1:10" s="528" customFormat="1" ht="12.75" x14ac:dyDescent="0.2">
      <c r="A310" s="571"/>
      <c r="B310" s="530"/>
      <c r="C310" s="530"/>
      <c r="D310" s="530"/>
      <c r="E310" s="530"/>
      <c r="F310" s="527"/>
      <c r="G310" s="527"/>
      <c r="H310" s="527"/>
      <c r="I310" s="527"/>
      <c r="J310" s="527"/>
    </row>
    <row r="311" spans="1:10" s="528" customFormat="1" ht="12.75" x14ac:dyDescent="0.2">
      <c r="A311" s="571"/>
      <c r="B311" s="530"/>
      <c r="C311" s="530"/>
      <c r="D311" s="530"/>
      <c r="E311" s="530"/>
      <c r="F311" s="527"/>
      <c r="G311" s="527"/>
      <c r="H311" s="527"/>
      <c r="I311" s="527"/>
      <c r="J311" s="527"/>
    </row>
    <row r="312" spans="1:10" s="528" customFormat="1" ht="12.75" x14ac:dyDescent="0.2">
      <c r="A312" s="571"/>
      <c r="B312" s="530"/>
      <c r="C312" s="530"/>
      <c r="D312" s="530"/>
      <c r="E312" s="530"/>
      <c r="F312" s="527"/>
      <c r="G312" s="527"/>
      <c r="H312" s="527"/>
      <c r="I312" s="527"/>
      <c r="J312" s="527"/>
    </row>
    <row r="313" spans="1:10" s="528" customFormat="1" ht="12.75" x14ac:dyDescent="0.2">
      <c r="A313" s="571"/>
      <c r="B313" s="530"/>
      <c r="C313" s="530"/>
      <c r="D313" s="530"/>
      <c r="E313" s="530"/>
      <c r="F313" s="527"/>
      <c r="G313" s="527"/>
      <c r="H313" s="527"/>
      <c r="I313" s="527"/>
      <c r="J313" s="527"/>
    </row>
    <row r="314" spans="1:10" s="528" customFormat="1" ht="12.75" x14ac:dyDescent="0.2">
      <c r="A314" s="571"/>
      <c r="B314" s="530"/>
      <c r="C314" s="530"/>
      <c r="D314" s="530"/>
      <c r="E314" s="530"/>
      <c r="F314" s="527"/>
      <c r="G314" s="527"/>
      <c r="H314" s="527"/>
      <c r="I314" s="527"/>
      <c r="J314" s="527"/>
    </row>
    <row r="315" spans="1:10" s="528" customFormat="1" ht="12.75" x14ac:dyDescent="0.2">
      <c r="A315" s="571"/>
      <c r="B315" s="530"/>
      <c r="C315" s="530"/>
      <c r="D315" s="530"/>
      <c r="E315" s="530"/>
      <c r="F315" s="527"/>
      <c r="G315" s="527"/>
      <c r="H315" s="527"/>
      <c r="I315" s="527"/>
      <c r="J315" s="527"/>
    </row>
    <row r="316" spans="1:10" s="528" customFormat="1" ht="12.75" x14ac:dyDescent="0.2">
      <c r="A316" s="571"/>
      <c r="B316" s="530"/>
      <c r="C316" s="530"/>
      <c r="D316" s="530"/>
      <c r="E316" s="530"/>
      <c r="F316" s="527"/>
      <c r="G316" s="527"/>
      <c r="H316" s="527"/>
      <c r="I316" s="527"/>
      <c r="J316" s="527"/>
    </row>
    <row r="317" spans="1:10" s="528" customFormat="1" ht="12.75" x14ac:dyDescent="0.2">
      <c r="A317" s="571"/>
      <c r="B317" s="530"/>
      <c r="C317" s="530"/>
      <c r="D317" s="530"/>
      <c r="E317" s="530"/>
      <c r="F317" s="527"/>
      <c r="G317" s="527"/>
      <c r="H317" s="527"/>
      <c r="I317" s="527"/>
      <c r="J317" s="527"/>
    </row>
    <row r="318" spans="1:10" s="528" customFormat="1" ht="12.75" x14ac:dyDescent="0.2">
      <c r="A318" s="571"/>
      <c r="B318" s="530"/>
      <c r="C318" s="530"/>
      <c r="D318" s="530"/>
      <c r="E318" s="530"/>
      <c r="F318" s="527"/>
      <c r="G318" s="527"/>
      <c r="H318" s="527"/>
      <c r="I318" s="527"/>
      <c r="J318" s="527"/>
    </row>
    <row r="319" spans="1:10" s="528" customFormat="1" ht="12.75" x14ac:dyDescent="0.2">
      <c r="A319" s="571"/>
      <c r="B319" s="530"/>
      <c r="C319" s="530"/>
      <c r="D319" s="530"/>
      <c r="E319" s="530"/>
      <c r="F319" s="527"/>
      <c r="G319" s="527"/>
      <c r="H319" s="527"/>
      <c r="I319" s="527"/>
      <c r="J319" s="527"/>
    </row>
    <row r="320" spans="1:10" s="528" customFormat="1" ht="12.75" x14ac:dyDescent="0.2">
      <c r="A320" s="571"/>
      <c r="B320" s="530"/>
      <c r="C320" s="530"/>
      <c r="D320" s="530"/>
      <c r="E320" s="530"/>
      <c r="F320" s="527"/>
      <c r="G320" s="527"/>
      <c r="H320" s="527"/>
      <c r="I320" s="527"/>
      <c r="J320" s="527"/>
    </row>
    <row r="321" spans="1:10" s="528" customFormat="1" ht="12.75" x14ac:dyDescent="0.2">
      <c r="A321" s="571"/>
      <c r="B321" s="530"/>
      <c r="C321" s="530"/>
      <c r="D321" s="530"/>
      <c r="E321" s="530"/>
      <c r="F321" s="527"/>
      <c r="G321" s="527"/>
      <c r="H321" s="527"/>
      <c r="I321" s="527"/>
      <c r="J321" s="527"/>
    </row>
    <row r="322" spans="1:10" s="528" customFormat="1" ht="12.75" x14ac:dyDescent="0.2">
      <c r="A322" s="571"/>
      <c r="B322" s="530"/>
      <c r="C322" s="530"/>
      <c r="D322" s="530"/>
      <c r="E322" s="530"/>
      <c r="F322" s="527"/>
      <c r="G322" s="527"/>
      <c r="H322" s="527"/>
      <c r="I322" s="527"/>
      <c r="J322" s="527"/>
    </row>
    <row r="323" spans="1:10" s="9" customFormat="1" ht="12" x14ac:dyDescent="0.2">
      <c r="A323" s="329"/>
      <c r="B323" s="329"/>
      <c r="C323" s="329"/>
      <c r="D323" s="329"/>
      <c r="E323" s="329"/>
      <c r="F323" s="329"/>
      <c r="G323" s="329"/>
      <c r="H323" s="329"/>
      <c r="I323" s="329"/>
      <c r="J323" s="329"/>
    </row>
    <row r="324" spans="1:10" s="9" customFormat="1" ht="12" x14ac:dyDescent="0.2">
      <c r="A324" s="329"/>
      <c r="B324" s="329"/>
      <c r="C324" s="329"/>
      <c r="D324" s="329"/>
      <c r="E324" s="329"/>
      <c r="F324" s="329"/>
      <c r="G324" s="329"/>
      <c r="H324" s="329"/>
      <c r="I324" s="329"/>
      <c r="J324" s="329"/>
    </row>
    <row r="325" spans="1:10" s="9" customFormat="1" ht="12" x14ac:dyDescent="0.2">
      <c r="A325" s="329"/>
      <c r="B325" s="329"/>
      <c r="C325" s="329"/>
      <c r="D325" s="329"/>
      <c r="E325" s="329"/>
      <c r="F325" s="329"/>
      <c r="G325" s="329"/>
      <c r="H325" s="329"/>
      <c r="I325" s="329"/>
      <c r="J325" s="329"/>
    </row>
    <row r="326" spans="1:10" s="9" customFormat="1" ht="12" x14ac:dyDescent="0.2">
      <c r="A326" s="329"/>
      <c r="B326" s="329"/>
      <c r="C326" s="329"/>
      <c r="D326" s="329"/>
      <c r="E326" s="329"/>
      <c r="F326" s="329"/>
      <c r="G326" s="329"/>
      <c r="H326" s="329"/>
      <c r="I326" s="329"/>
      <c r="J326" s="329"/>
    </row>
    <row r="327" spans="1:10" s="9" customFormat="1" ht="12" x14ac:dyDescent="0.2">
      <c r="A327" s="329"/>
      <c r="B327" s="329"/>
      <c r="C327" s="329"/>
      <c r="D327" s="329"/>
      <c r="E327" s="329"/>
      <c r="F327" s="329"/>
      <c r="G327" s="329"/>
      <c r="H327" s="329"/>
      <c r="I327" s="329"/>
      <c r="J327" s="329"/>
    </row>
    <row r="328" spans="1:10" s="9" customFormat="1" ht="12" x14ac:dyDescent="0.2">
      <c r="A328" s="906"/>
      <c r="B328" s="847"/>
      <c r="C328" s="329"/>
      <c r="D328" s="329"/>
      <c r="E328" s="329"/>
      <c r="F328" s="329"/>
      <c r="G328" s="329"/>
      <c r="H328" s="329"/>
      <c r="I328" s="329"/>
      <c r="J328" s="329"/>
    </row>
    <row r="329" spans="1:10" s="9" customFormat="1" ht="12" x14ac:dyDescent="0.2">
      <c r="A329" s="906"/>
      <c r="B329" s="847"/>
      <c r="C329" s="329"/>
      <c r="D329" s="329"/>
      <c r="E329" s="329"/>
      <c r="F329" s="329"/>
      <c r="G329" s="329"/>
      <c r="H329" s="329"/>
      <c r="I329" s="329"/>
      <c r="J329" s="329"/>
    </row>
    <row r="330" spans="1:10" s="9" customFormat="1" ht="12" x14ac:dyDescent="0.2">
      <c r="A330" s="907"/>
      <c r="B330" s="848"/>
      <c r="C330" s="329"/>
      <c r="D330" s="329"/>
      <c r="E330" s="329"/>
      <c r="F330" s="329"/>
      <c r="G330" s="329"/>
      <c r="H330" s="329"/>
      <c r="I330" s="329"/>
      <c r="J330" s="329"/>
    </row>
    <row r="331" spans="1:10" s="9" customFormat="1" ht="12" x14ac:dyDescent="0.2">
      <c r="A331" s="908"/>
      <c r="B331" s="848"/>
      <c r="C331" s="329"/>
      <c r="D331" s="329"/>
      <c r="E331" s="329"/>
      <c r="F331" s="329"/>
      <c r="G331" s="329"/>
      <c r="H331" s="329"/>
      <c r="I331" s="329"/>
      <c r="J331" s="329"/>
    </row>
    <row r="332" spans="1:10" s="9" customFormat="1" ht="12" x14ac:dyDescent="0.2">
      <c r="A332" s="909"/>
      <c r="B332" s="848"/>
      <c r="C332" s="329"/>
      <c r="D332" s="329"/>
      <c r="E332" s="329"/>
      <c r="F332" s="329"/>
      <c r="G332" s="329"/>
      <c r="H332" s="329"/>
      <c r="I332" s="329"/>
      <c r="J332" s="329"/>
    </row>
    <row r="333" spans="1:10" s="9" customFormat="1" ht="12" x14ac:dyDescent="0.2">
      <c r="A333" s="329"/>
      <c r="B333" s="329"/>
      <c r="C333" s="329"/>
      <c r="D333" s="329"/>
      <c r="E333" s="329"/>
      <c r="F333" s="329"/>
      <c r="G333" s="329"/>
      <c r="H333" s="329"/>
      <c r="I333" s="329"/>
      <c r="J333" s="329"/>
    </row>
    <row r="334" spans="1:10" s="9" customFormat="1" ht="12" x14ac:dyDescent="0.2">
      <c r="A334" s="329"/>
      <c r="B334" s="329"/>
      <c r="C334" s="329"/>
      <c r="D334" s="329"/>
      <c r="E334" s="329"/>
      <c r="F334" s="329"/>
    </row>
    <row r="335" spans="1:10" s="9" customFormat="1" ht="12" x14ac:dyDescent="0.2">
      <c r="A335" s="329"/>
      <c r="B335" s="329"/>
      <c r="C335" s="329"/>
      <c r="D335" s="329"/>
      <c r="E335" s="329"/>
      <c r="F335" s="329"/>
    </row>
    <row r="336" spans="1:10" s="9" customFormat="1" ht="12" x14ac:dyDescent="0.2">
      <c r="A336" s="329"/>
      <c r="B336" s="329"/>
      <c r="C336" s="329"/>
      <c r="D336" s="329"/>
      <c r="E336" s="329"/>
      <c r="F336" s="329"/>
    </row>
    <row r="337" spans="1:6" s="9" customFormat="1" ht="12" x14ac:dyDescent="0.2">
      <c r="A337" s="329"/>
      <c r="B337" s="329"/>
      <c r="C337" s="329"/>
      <c r="D337" s="329"/>
      <c r="E337" s="329"/>
      <c r="F337" s="329"/>
    </row>
    <row r="338" spans="1:6" s="9" customFormat="1" ht="12" x14ac:dyDescent="0.2">
      <c r="A338" s="329"/>
      <c r="B338" s="329"/>
      <c r="C338" s="329"/>
      <c r="D338" s="329"/>
      <c r="E338" s="329"/>
      <c r="F338" s="329"/>
    </row>
    <row r="339" spans="1:6" s="9" customFormat="1" ht="12" x14ac:dyDescent="0.2">
      <c r="A339" s="329"/>
      <c r="B339" s="329"/>
      <c r="C339" s="329"/>
      <c r="D339" s="329"/>
      <c r="E339" s="329"/>
      <c r="F339" s="329"/>
    </row>
  </sheetData>
  <mergeCells count="63">
    <mergeCell ref="A237:D237"/>
    <mergeCell ref="A15:C15"/>
    <mergeCell ref="A105:C105"/>
    <mergeCell ref="A107:C107"/>
    <mergeCell ref="A7:E7"/>
    <mergeCell ref="A12:E12"/>
    <mergeCell ref="A8:E8"/>
    <mergeCell ref="A10:E10"/>
    <mergeCell ref="A13:E13"/>
    <mergeCell ref="A17:E17"/>
    <mergeCell ref="A29:E29"/>
    <mergeCell ref="A32:E32"/>
    <mergeCell ref="A34:E34"/>
    <mergeCell ref="A47:B47"/>
    <mergeCell ref="A83:E83"/>
    <mergeCell ref="A86:E86"/>
    <mergeCell ref="A49:E49"/>
    <mergeCell ref="A50:E50"/>
    <mergeCell ref="A51:E51"/>
    <mergeCell ref="A52:E52"/>
    <mergeCell ref="A53:E53"/>
    <mergeCell ref="A88:E88"/>
    <mergeCell ref="A55:E55"/>
    <mergeCell ref="A57:E57"/>
    <mergeCell ref="A68:D68"/>
    <mergeCell ref="A70:E70"/>
    <mergeCell ref="A81:E81"/>
    <mergeCell ref="A109:E109"/>
    <mergeCell ref="A111:E111"/>
    <mergeCell ref="A108:C108"/>
    <mergeCell ref="A110:E110"/>
    <mergeCell ref="A113:E113"/>
    <mergeCell ref="A257:D257"/>
    <mergeCell ref="A256:D256"/>
    <mergeCell ref="A258:D258"/>
    <mergeCell ref="A260:D260"/>
    <mergeCell ref="A244:D244"/>
    <mergeCell ref="A253:D253"/>
    <mergeCell ref="A248:D248"/>
    <mergeCell ref="A249:D249"/>
    <mergeCell ref="A102:E102"/>
    <mergeCell ref="A106:C106"/>
    <mergeCell ref="A242:D242"/>
    <mergeCell ref="A243:D243"/>
    <mergeCell ref="A247:D247"/>
    <mergeCell ref="A177:B177"/>
    <mergeCell ref="A131:E131"/>
    <mergeCell ref="A126:E126"/>
    <mergeCell ref="A127:B127"/>
    <mergeCell ref="A133:E133"/>
    <mergeCell ref="A136:E136"/>
    <mergeCell ref="A138:E138"/>
    <mergeCell ref="A149:D149"/>
    <mergeCell ref="A154:C154"/>
    <mergeCell ref="A157:B157"/>
    <mergeCell ref="A122:B122"/>
    <mergeCell ref="A295:E295"/>
    <mergeCell ref="A262:D262"/>
    <mergeCell ref="A264:D264"/>
    <mergeCell ref="A266:D266"/>
    <mergeCell ref="A272:D273"/>
    <mergeCell ref="A274:D274"/>
    <mergeCell ref="A281:D282"/>
  </mergeCells>
  <pageMargins left="0.43307086614173229" right="0.99" top="0.47244094488188981" bottom="0.62992125984251968" header="0.31496062992125984" footer="0.31496062992125984"/>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39"/>
  <sheetViews>
    <sheetView workbookViewId="0">
      <selection activeCell="C8" sqref="C8:G26"/>
    </sheetView>
  </sheetViews>
  <sheetFormatPr baseColWidth="10" defaultRowHeight="14.25" x14ac:dyDescent="0.25"/>
  <cols>
    <col min="1" max="1" width="1.42578125" style="40" customWidth="1"/>
    <col min="2" max="2" width="44.28515625" style="40" bestFit="1" customWidth="1"/>
    <col min="3" max="3" width="17.7109375" style="40" bestFit="1" customWidth="1"/>
    <col min="4" max="5" width="19.42578125" style="40" bestFit="1" customWidth="1"/>
    <col min="6" max="6" width="17.7109375" style="40" bestFit="1" customWidth="1"/>
    <col min="7" max="7" width="18.140625" style="40" customWidth="1"/>
    <col min="8" max="8" width="16.85546875" style="581" bestFit="1" customWidth="1"/>
    <col min="9" max="9" width="18" style="40" bestFit="1" customWidth="1"/>
    <col min="10" max="16384" width="11.42578125" style="40"/>
  </cols>
  <sheetData>
    <row r="1" spans="1:9" s="71" customFormat="1" ht="15" x14ac:dyDescent="0.25">
      <c r="A1" s="968" t="s">
        <v>167</v>
      </c>
      <c r="B1" s="968"/>
      <c r="C1" s="968"/>
      <c r="D1" s="968"/>
      <c r="E1" s="968"/>
      <c r="F1" s="968"/>
      <c r="G1" s="968"/>
      <c r="H1" s="313"/>
    </row>
    <row r="2" spans="1:9" s="72" customFormat="1" ht="15.75" x14ac:dyDescent="0.25">
      <c r="A2" s="968" t="s">
        <v>131</v>
      </c>
      <c r="B2" s="968"/>
      <c r="C2" s="968"/>
      <c r="D2" s="968"/>
      <c r="E2" s="968"/>
      <c r="F2" s="968"/>
      <c r="G2" s="968"/>
      <c r="H2" s="578"/>
    </row>
    <row r="3" spans="1:9" s="72" customFormat="1" ht="15.75" x14ac:dyDescent="0.25">
      <c r="A3" s="968" t="s">
        <v>599</v>
      </c>
      <c r="B3" s="968"/>
      <c r="C3" s="968"/>
      <c r="D3" s="968"/>
      <c r="E3" s="968"/>
      <c r="F3" s="968"/>
      <c r="G3" s="968"/>
      <c r="H3" s="578"/>
    </row>
    <row r="4" spans="1:9" s="72" customFormat="1" ht="15.75" x14ac:dyDescent="0.25">
      <c r="A4" s="968" t="s">
        <v>2179</v>
      </c>
      <c r="B4" s="968"/>
      <c r="C4" s="968"/>
      <c r="D4" s="968"/>
      <c r="E4" s="968"/>
      <c r="F4" s="968"/>
      <c r="G4" s="968"/>
      <c r="H4" s="578"/>
    </row>
    <row r="5" spans="1:9" s="73" customFormat="1" ht="15.75" thickBot="1" x14ac:dyDescent="0.3">
      <c r="A5" s="969" t="s">
        <v>122</v>
      </c>
      <c r="B5" s="969"/>
      <c r="C5" s="969"/>
      <c r="D5" s="969"/>
      <c r="E5" s="969"/>
      <c r="F5" s="969"/>
      <c r="G5" s="969"/>
      <c r="H5" s="579"/>
    </row>
    <row r="6" spans="1:9" s="69" customFormat="1" ht="45.75" thickBot="1" x14ac:dyDescent="0.3">
      <c r="A6" s="967" t="s">
        <v>113</v>
      </c>
      <c r="B6" s="967"/>
      <c r="C6" s="70" t="s">
        <v>191</v>
      </c>
      <c r="D6" s="70" t="s">
        <v>188</v>
      </c>
      <c r="E6" s="70" t="s">
        <v>189</v>
      </c>
      <c r="F6" s="70" t="s">
        <v>192</v>
      </c>
      <c r="G6" s="70" t="s">
        <v>190</v>
      </c>
      <c r="H6" s="580"/>
    </row>
    <row r="7" spans="1:9" ht="20.100000000000001" customHeight="1" x14ac:dyDescent="0.25">
      <c r="A7" s="74"/>
      <c r="B7" s="75"/>
      <c r="C7" s="76"/>
      <c r="D7" s="76"/>
      <c r="E7" s="76"/>
      <c r="F7" s="76"/>
      <c r="G7" s="76"/>
    </row>
    <row r="8" spans="1:9" ht="20.100000000000001" customHeight="1" x14ac:dyDescent="0.25">
      <c r="A8" s="77" t="s">
        <v>56</v>
      </c>
      <c r="B8" s="78"/>
      <c r="C8" s="255">
        <v>559801353.13999987</v>
      </c>
      <c r="D8" s="255">
        <v>1031014226.79</v>
      </c>
      <c r="E8" s="255">
        <v>716645969.95000005</v>
      </c>
      <c r="F8" s="255">
        <v>874169609.97999978</v>
      </c>
      <c r="G8" s="255">
        <v>314368256.83999991</v>
      </c>
      <c r="I8" s="838"/>
    </row>
    <row r="9" spans="1:9" ht="20.100000000000001" customHeight="1" x14ac:dyDescent="0.25">
      <c r="A9" s="79"/>
      <c r="B9" s="80"/>
      <c r="C9" s="76"/>
      <c r="D9" s="76"/>
      <c r="E9" s="76"/>
      <c r="F9" s="76"/>
      <c r="G9" s="76"/>
    </row>
    <row r="10" spans="1:9" ht="20.100000000000001" customHeight="1" x14ac:dyDescent="0.25">
      <c r="A10" s="79"/>
      <c r="B10" s="80" t="s">
        <v>58</v>
      </c>
      <c r="C10" s="255">
        <v>111462583.44</v>
      </c>
      <c r="D10" s="255">
        <v>734400021.60000002</v>
      </c>
      <c r="E10" s="255">
        <v>613701726.96000004</v>
      </c>
      <c r="F10" s="255">
        <v>232160878.07999992</v>
      </c>
      <c r="G10" s="255">
        <v>120698294.63999993</v>
      </c>
    </row>
    <row r="11" spans="1:9" ht="20.100000000000001" customHeight="1" x14ac:dyDescent="0.25">
      <c r="A11" s="81"/>
      <c r="B11" s="82" t="s">
        <v>60</v>
      </c>
      <c r="C11" s="256">
        <v>74295738.049999997</v>
      </c>
      <c r="D11" s="256">
        <v>504437009.69</v>
      </c>
      <c r="E11" s="256">
        <v>356821921.59000003</v>
      </c>
      <c r="F11" s="259">
        <v>221910826.14999998</v>
      </c>
      <c r="G11" s="259">
        <v>147615088.09999996</v>
      </c>
      <c r="H11" s="581">
        <f>+F11-'ETCA-I-01'!B9</f>
        <v>0</v>
      </c>
    </row>
    <row r="12" spans="1:9" ht="20.100000000000001" customHeight="1" x14ac:dyDescent="0.25">
      <c r="A12" s="81"/>
      <c r="B12" s="82" t="s">
        <v>62</v>
      </c>
      <c r="C12" s="259">
        <v>159054.83000000002</v>
      </c>
      <c r="D12" s="259">
        <v>223834045.27000001</v>
      </c>
      <c r="E12" s="259">
        <v>223807718.40000001</v>
      </c>
      <c r="F12" s="259">
        <v>185381.70000001788</v>
      </c>
      <c r="G12" s="259">
        <v>26326.870000017865</v>
      </c>
    </row>
    <row r="13" spans="1:9" ht="20.100000000000001" customHeight="1" x14ac:dyDescent="0.25">
      <c r="A13" s="81"/>
      <c r="B13" s="82" t="s">
        <v>64</v>
      </c>
      <c r="C13" s="258">
        <v>37007790.560000002</v>
      </c>
      <c r="D13" s="258">
        <v>6128966.6399999997</v>
      </c>
      <c r="E13" s="258">
        <v>33072086.969999999</v>
      </c>
      <c r="F13" s="259">
        <v>10064670.230000004</v>
      </c>
      <c r="G13" s="259">
        <v>-26943120.329999998</v>
      </c>
    </row>
    <row r="14" spans="1:9" ht="20.100000000000001" customHeight="1" x14ac:dyDescent="0.25">
      <c r="A14" s="81"/>
      <c r="B14" s="82" t="s">
        <v>66</v>
      </c>
      <c r="C14" s="258"/>
      <c r="D14" s="258"/>
      <c r="E14" s="258"/>
      <c r="F14" s="259">
        <v>0</v>
      </c>
      <c r="G14" s="259">
        <v>0</v>
      </c>
    </row>
    <row r="15" spans="1:9" ht="20.100000000000001" customHeight="1" x14ac:dyDescent="0.25">
      <c r="A15" s="81"/>
      <c r="B15" s="82" t="s">
        <v>68</v>
      </c>
      <c r="C15" s="258"/>
      <c r="D15" s="260"/>
      <c r="E15" s="260"/>
      <c r="F15" s="259">
        <v>0</v>
      </c>
      <c r="G15" s="259">
        <v>0</v>
      </c>
    </row>
    <row r="16" spans="1:9" ht="20.100000000000001" customHeight="1" x14ac:dyDescent="0.25">
      <c r="A16" s="81"/>
      <c r="B16" s="82" t="s">
        <v>70</v>
      </c>
      <c r="C16" s="258"/>
      <c r="D16" s="258"/>
      <c r="E16" s="258"/>
      <c r="F16" s="259">
        <v>0</v>
      </c>
      <c r="G16" s="259">
        <v>0</v>
      </c>
    </row>
    <row r="17" spans="1:7" ht="20.100000000000001" customHeight="1" x14ac:dyDescent="0.25">
      <c r="A17" s="81"/>
      <c r="B17" s="82" t="s">
        <v>72</v>
      </c>
      <c r="C17" s="259"/>
      <c r="D17" s="259"/>
      <c r="E17" s="259"/>
      <c r="F17" s="259">
        <v>0</v>
      </c>
      <c r="G17" s="259">
        <v>0</v>
      </c>
    </row>
    <row r="18" spans="1:7" ht="20.100000000000001" customHeight="1" x14ac:dyDescent="0.25">
      <c r="A18" s="79"/>
      <c r="B18" s="80"/>
      <c r="C18" s="259"/>
      <c r="D18" s="259"/>
      <c r="E18" s="259"/>
      <c r="F18" s="259">
        <v>0</v>
      </c>
      <c r="G18" s="259">
        <v>0</v>
      </c>
    </row>
    <row r="19" spans="1:7" ht="20.100000000000001" customHeight="1" x14ac:dyDescent="0.25">
      <c r="A19" s="79"/>
      <c r="B19" s="80" t="s">
        <v>75</v>
      </c>
      <c r="C19" s="257">
        <v>448338769.69999993</v>
      </c>
      <c r="D19" s="257">
        <v>296614205.19</v>
      </c>
      <c r="E19" s="257">
        <v>102944242.98999999</v>
      </c>
      <c r="F19" s="257">
        <v>642008731.89999986</v>
      </c>
      <c r="G19" s="257">
        <v>193669962.19999993</v>
      </c>
    </row>
    <row r="20" spans="1:7" ht="20.100000000000001" customHeight="1" x14ac:dyDescent="0.25">
      <c r="A20" s="81"/>
      <c r="B20" s="82" t="s">
        <v>77</v>
      </c>
      <c r="C20" s="259"/>
      <c r="D20" s="259"/>
      <c r="E20" s="259"/>
      <c r="F20" s="259"/>
      <c r="G20" s="259"/>
    </row>
    <row r="21" spans="1:7" ht="20.100000000000001" customHeight="1" x14ac:dyDescent="0.25">
      <c r="A21" s="81"/>
      <c r="B21" s="82" t="s">
        <v>79</v>
      </c>
      <c r="C21" s="259"/>
      <c r="D21" s="259"/>
      <c r="E21" s="259"/>
      <c r="F21" s="259"/>
      <c r="G21" s="259"/>
    </row>
    <row r="22" spans="1:7" ht="20.100000000000001" customHeight="1" x14ac:dyDescent="0.25">
      <c r="A22" s="81"/>
      <c r="B22" s="82" t="s">
        <v>82</v>
      </c>
      <c r="C22" s="259">
        <v>447778198.76999998</v>
      </c>
      <c r="D22" s="259">
        <v>286081264.62</v>
      </c>
      <c r="E22" s="259">
        <v>92354373.379999995</v>
      </c>
      <c r="F22" s="259">
        <v>641505090.00999999</v>
      </c>
      <c r="G22" s="259">
        <v>193726891.24000001</v>
      </c>
    </row>
    <row r="23" spans="1:7" ht="20.100000000000001" customHeight="1" x14ac:dyDescent="0.25">
      <c r="A23" s="81"/>
      <c r="B23" s="82" t="s">
        <v>85</v>
      </c>
      <c r="C23" s="258">
        <v>5367699.03</v>
      </c>
      <c r="D23" s="261">
        <v>8774.32</v>
      </c>
      <c r="E23" s="261">
        <v>0</v>
      </c>
      <c r="F23" s="259">
        <v>5376473.3500000006</v>
      </c>
      <c r="G23" s="259">
        <v>8774.320000000298</v>
      </c>
    </row>
    <row r="24" spans="1:7" ht="20.100000000000001" customHeight="1" x14ac:dyDescent="0.25">
      <c r="A24" s="81"/>
      <c r="B24" s="82" t="s">
        <v>86</v>
      </c>
      <c r="C24" s="258"/>
      <c r="D24" s="258"/>
      <c r="E24" s="258"/>
      <c r="F24" s="259">
        <v>0</v>
      </c>
      <c r="G24" s="259">
        <v>0</v>
      </c>
    </row>
    <row r="25" spans="1:7" ht="20.100000000000001" customHeight="1" x14ac:dyDescent="0.25">
      <c r="A25" s="81"/>
      <c r="B25" s="82" t="s">
        <v>88</v>
      </c>
      <c r="C25" s="258">
        <v>-4807128.0999999996</v>
      </c>
      <c r="D25" s="261">
        <v>0</v>
      </c>
      <c r="E25" s="261">
        <v>65703.360000000001</v>
      </c>
      <c r="F25" s="259">
        <v>-4872831.46</v>
      </c>
      <c r="G25" s="259">
        <v>-65703.360000000335</v>
      </c>
    </row>
    <row r="26" spans="1:7" ht="20.100000000000001" customHeight="1" x14ac:dyDescent="0.25">
      <c r="A26" s="81"/>
      <c r="B26" s="82" t="s">
        <v>89</v>
      </c>
      <c r="C26" s="258">
        <v>0</v>
      </c>
      <c r="D26" s="258">
        <v>10524166.25</v>
      </c>
      <c r="E26" s="258">
        <v>10524166.25</v>
      </c>
      <c r="F26" s="259">
        <v>0</v>
      </c>
      <c r="G26" s="259">
        <v>0</v>
      </c>
    </row>
    <row r="27" spans="1:7" ht="20.100000000000001" customHeight="1" x14ac:dyDescent="0.25">
      <c r="A27" s="81"/>
      <c r="B27" s="82" t="s">
        <v>91</v>
      </c>
      <c r="C27" s="258"/>
      <c r="D27" s="258"/>
      <c r="E27" s="258"/>
      <c r="F27" s="259">
        <f t="shared" ref="F27:F29" si="0">(C27+D27-E27)</f>
        <v>0</v>
      </c>
      <c r="G27" s="259">
        <f t="shared" ref="G27:G29" si="1">(F27-C27)</f>
        <v>0</v>
      </c>
    </row>
    <row r="28" spans="1:7" ht="20.100000000000001" customHeight="1" x14ac:dyDescent="0.25">
      <c r="A28" s="81"/>
      <c r="B28" s="82" t="s">
        <v>93</v>
      </c>
      <c r="C28" s="258"/>
      <c r="D28" s="258"/>
      <c r="E28" s="258"/>
      <c r="F28" s="259">
        <f t="shared" si="0"/>
        <v>0</v>
      </c>
      <c r="G28" s="259">
        <f t="shared" si="1"/>
        <v>0</v>
      </c>
    </row>
    <row r="29" spans="1:7" ht="20.100000000000001" customHeight="1" thickBot="1" x14ac:dyDescent="0.3">
      <c r="A29" s="83"/>
      <c r="B29" s="84"/>
      <c r="C29" s="262"/>
      <c r="D29" s="262"/>
      <c r="E29" s="262"/>
      <c r="F29" s="262">
        <f t="shared" si="0"/>
        <v>0</v>
      </c>
      <c r="G29" s="262">
        <f t="shared" si="1"/>
        <v>0</v>
      </c>
    </row>
    <row r="30" spans="1:7" x14ac:dyDescent="0.25">
      <c r="C30" s="263"/>
      <c r="D30" s="263"/>
      <c r="E30" s="263"/>
      <c r="F30" s="263"/>
      <c r="G30" s="263"/>
    </row>
    <row r="32" spans="1:7" x14ac:dyDescent="0.25">
      <c r="C32" s="838"/>
    </row>
    <row r="35" spans="2:3" x14ac:dyDescent="0.2">
      <c r="B35" s="721" t="s">
        <v>1834</v>
      </c>
      <c r="C35" s="722" t="s">
        <v>1830</v>
      </c>
    </row>
    <row r="36" spans="2:3" x14ac:dyDescent="0.2">
      <c r="B36" s="721" t="s">
        <v>1831</v>
      </c>
      <c r="C36" s="722" t="s">
        <v>1832</v>
      </c>
    </row>
    <row r="37" spans="2:3" x14ac:dyDescent="0.2">
      <c r="B37" s="724"/>
      <c r="C37" s="723"/>
    </row>
    <row r="38" spans="2:3" x14ac:dyDescent="0.2">
      <c r="B38" s="719" t="s">
        <v>1833</v>
      </c>
      <c r="C38" s="723"/>
    </row>
    <row r="39" spans="2:3" x14ac:dyDescent="0.2">
      <c r="B39" s="720" t="s">
        <v>1835</v>
      </c>
      <c r="C39" s="723"/>
    </row>
  </sheetData>
  <mergeCells count="6">
    <mergeCell ref="A6:B6"/>
    <mergeCell ref="A1:G1"/>
    <mergeCell ref="A3:G3"/>
    <mergeCell ref="A2:G2"/>
    <mergeCell ref="A4:G4"/>
    <mergeCell ref="A5:G5"/>
  </mergeCells>
  <pageMargins left="0.23622047244094491" right="0.15748031496062992" top="0.74803149606299213" bottom="0.74803149606299213" header="0.31496062992125984" footer="0.31496062992125984"/>
  <pageSetup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G51"/>
  <sheetViews>
    <sheetView tabSelected="1" workbookViewId="0">
      <selection activeCell="G39" sqref="G39"/>
    </sheetView>
  </sheetViews>
  <sheetFormatPr baseColWidth="10" defaultRowHeight="14.25" x14ac:dyDescent="0.2"/>
  <cols>
    <col min="1" max="1" width="5.28515625" style="8" customWidth="1"/>
    <col min="2" max="2" width="39.28515625" style="8" customWidth="1"/>
    <col min="3" max="3" width="17" style="8" customWidth="1"/>
    <col min="4" max="4" width="16.85546875" style="8" customWidth="1"/>
    <col min="5" max="5" width="11.42578125" style="8" hidden="1" customWidth="1"/>
    <col min="6" max="6" width="17" style="8" customWidth="1"/>
    <col min="7" max="7" width="17.140625" style="8" customWidth="1"/>
    <col min="8" max="16384" width="11.42578125" style="8"/>
  </cols>
  <sheetData>
    <row r="1" spans="1:7" s="71" customFormat="1" ht="15" x14ac:dyDescent="0.25">
      <c r="A1" s="968" t="s">
        <v>167</v>
      </c>
      <c r="B1" s="968"/>
      <c r="C1" s="968"/>
      <c r="D1" s="968"/>
      <c r="E1" s="968"/>
      <c r="F1" s="968"/>
      <c r="G1" s="968"/>
    </row>
    <row r="2" spans="1:7" s="72" customFormat="1" ht="15.75" x14ac:dyDescent="0.25">
      <c r="A2" s="968" t="s">
        <v>132</v>
      </c>
      <c r="B2" s="968"/>
      <c r="C2" s="968"/>
      <c r="D2" s="968"/>
      <c r="E2" s="968"/>
      <c r="F2" s="968"/>
      <c r="G2" s="968"/>
    </row>
    <row r="3" spans="1:7" s="72" customFormat="1" ht="15.75" x14ac:dyDescent="0.25">
      <c r="A3" s="968" t="s">
        <v>599</v>
      </c>
      <c r="B3" s="968"/>
      <c r="C3" s="968"/>
      <c r="D3" s="968"/>
      <c r="E3" s="968"/>
      <c r="F3" s="968"/>
      <c r="G3" s="968"/>
    </row>
    <row r="4" spans="1:7" s="72" customFormat="1" ht="15.75" x14ac:dyDescent="0.25">
      <c r="A4" s="968" t="s">
        <v>1840</v>
      </c>
      <c r="B4" s="968"/>
      <c r="C4" s="968"/>
      <c r="D4" s="968"/>
      <c r="E4" s="968"/>
      <c r="F4" s="968"/>
      <c r="G4" s="968"/>
    </row>
    <row r="5" spans="1:7" s="73" customFormat="1" ht="15.75" thickBot="1" x14ac:dyDescent="0.3">
      <c r="A5" s="969" t="s">
        <v>122</v>
      </c>
      <c r="B5" s="969"/>
      <c r="C5" s="969"/>
      <c r="D5" s="969"/>
      <c r="E5" s="969"/>
      <c r="F5" s="969"/>
      <c r="G5" s="969"/>
    </row>
    <row r="6" spans="1:7" s="87" customFormat="1" ht="37.5" customHeight="1" thickBot="1" x14ac:dyDescent="0.25">
      <c r="A6" s="978" t="s">
        <v>133</v>
      </c>
      <c r="B6" s="979"/>
      <c r="C6" s="85" t="s">
        <v>134</v>
      </c>
      <c r="D6" s="978" t="s">
        <v>135</v>
      </c>
      <c r="E6" s="980"/>
      <c r="F6" s="86" t="s">
        <v>136</v>
      </c>
      <c r="G6" s="85" t="s">
        <v>137</v>
      </c>
    </row>
    <row r="7" spans="1:7" ht="37.5" customHeight="1" x14ac:dyDescent="0.2">
      <c r="A7" s="985"/>
      <c r="B7" s="986"/>
      <c r="C7" s="30"/>
      <c r="D7" s="30"/>
      <c r="E7" s="30"/>
      <c r="F7" s="31"/>
      <c r="G7" s="30"/>
    </row>
    <row r="8" spans="1:7" x14ac:dyDescent="0.2">
      <c r="A8" s="987" t="s">
        <v>138</v>
      </c>
      <c r="B8" s="988"/>
      <c r="C8" s="4"/>
      <c r="D8" s="4"/>
      <c r="E8" s="987"/>
      <c r="F8" s="988"/>
      <c r="G8" s="4"/>
    </row>
    <row r="9" spans="1:7" ht="15" x14ac:dyDescent="0.2">
      <c r="A9" s="976" t="s">
        <v>139</v>
      </c>
      <c r="B9" s="977"/>
      <c r="C9" s="10"/>
      <c r="D9" s="10"/>
      <c r="E9" s="970"/>
      <c r="F9" s="971"/>
      <c r="G9" s="10"/>
    </row>
    <row r="10" spans="1:7" ht="15" x14ac:dyDescent="0.2">
      <c r="A10" s="970" t="s">
        <v>140</v>
      </c>
      <c r="B10" s="971"/>
      <c r="C10" s="10"/>
      <c r="D10" s="10"/>
      <c r="E10" s="970"/>
      <c r="F10" s="971"/>
      <c r="G10" s="10"/>
    </row>
    <row r="11" spans="1:7" ht="15" x14ac:dyDescent="0.2">
      <c r="A11" s="6"/>
      <c r="B11" s="13" t="s">
        <v>141</v>
      </c>
      <c r="C11" s="10"/>
      <c r="D11" s="10"/>
      <c r="E11" s="970"/>
      <c r="F11" s="971"/>
      <c r="G11" s="10"/>
    </row>
    <row r="12" spans="1:7" x14ac:dyDescent="0.2">
      <c r="A12" s="5"/>
      <c r="B12" s="13" t="s">
        <v>142</v>
      </c>
      <c r="C12" s="2"/>
      <c r="D12" s="2"/>
      <c r="E12" s="972"/>
      <c r="F12" s="973"/>
      <c r="G12" s="2"/>
    </row>
    <row r="13" spans="1:7" x14ac:dyDescent="0.2">
      <c r="A13" s="5"/>
      <c r="B13" s="13" t="s">
        <v>143</v>
      </c>
      <c r="C13" s="2"/>
      <c r="D13" s="2"/>
      <c r="E13" s="972"/>
      <c r="F13" s="973"/>
      <c r="G13" s="2"/>
    </row>
    <row r="14" spans="1:7" x14ac:dyDescent="0.2">
      <c r="A14" s="5"/>
      <c r="B14" s="2"/>
      <c r="C14" s="2"/>
      <c r="D14" s="2"/>
      <c r="E14" s="972"/>
      <c r="F14" s="973"/>
      <c r="G14" s="2"/>
    </row>
    <row r="15" spans="1:7" ht="15" x14ac:dyDescent="0.2">
      <c r="A15" s="970" t="s">
        <v>144</v>
      </c>
      <c r="B15" s="971"/>
      <c r="C15" s="10"/>
      <c r="D15" s="10"/>
      <c r="E15" s="970"/>
      <c r="F15" s="971"/>
      <c r="G15" s="10"/>
    </row>
    <row r="16" spans="1:7" x14ac:dyDescent="0.2">
      <c r="A16" s="5"/>
      <c r="B16" s="13" t="s">
        <v>145</v>
      </c>
      <c r="C16" s="2"/>
      <c r="D16" s="2"/>
      <c r="E16" s="972"/>
      <c r="F16" s="973"/>
      <c r="G16" s="2"/>
    </row>
    <row r="17" spans="1:7" ht="15" x14ac:dyDescent="0.2">
      <c r="A17" s="6"/>
      <c r="B17" s="13" t="s">
        <v>146</v>
      </c>
      <c r="C17" s="2"/>
      <c r="D17" s="2"/>
      <c r="E17" s="972"/>
      <c r="F17" s="973"/>
      <c r="G17" s="2"/>
    </row>
    <row r="18" spans="1:7" ht="15" x14ac:dyDescent="0.2">
      <c r="A18" s="6"/>
      <c r="B18" s="13" t="s">
        <v>142</v>
      </c>
      <c r="C18" s="10"/>
      <c r="D18" s="10"/>
      <c r="E18" s="970"/>
      <c r="F18" s="971"/>
      <c r="G18" s="10"/>
    </row>
    <row r="19" spans="1:7" x14ac:dyDescent="0.2">
      <c r="A19" s="5"/>
      <c r="B19" s="13" t="s">
        <v>143</v>
      </c>
      <c r="C19" s="2"/>
      <c r="D19" s="2"/>
      <c r="E19" s="972"/>
      <c r="F19" s="973"/>
      <c r="G19" s="2"/>
    </row>
    <row r="20" spans="1:7" ht="15" x14ac:dyDescent="0.2">
      <c r="A20" s="6"/>
      <c r="B20" s="10"/>
      <c r="C20" s="10"/>
      <c r="D20" s="10"/>
      <c r="E20" s="970"/>
      <c r="F20" s="971"/>
      <c r="G20" s="10"/>
    </row>
    <row r="21" spans="1:7" x14ac:dyDescent="0.2">
      <c r="A21" s="7"/>
      <c r="B21" s="3" t="s">
        <v>147</v>
      </c>
      <c r="C21" s="3"/>
      <c r="D21" s="3"/>
      <c r="E21" s="974"/>
      <c r="F21" s="975"/>
      <c r="G21" s="3"/>
    </row>
    <row r="22" spans="1:7" x14ac:dyDescent="0.2">
      <c r="A22" s="33"/>
      <c r="B22" s="34"/>
      <c r="C22" s="34"/>
      <c r="D22" s="34"/>
      <c r="E22" s="33"/>
      <c r="F22" s="34"/>
      <c r="G22" s="34"/>
    </row>
    <row r="23" spans="1:7" ht="15" x14ac:dyDescent="0.2">
      <c r="A23" s="976" t="s">
        <v>148</v>
      </c>
      <c r="B23" s="977"/>
      <c r="C23" s="10"/>
      <c r="D23" s="10"/>
      <c r="E23" s="970"/>
      <c r="F23" s="971"/>
      <c r="G23" s="10"/>
    </row>
    <row r="24" spans="1:7" ht="15" x14ac:dyDescent="0.2">
      <c r="A24" s="970" t="s">
        <v>140</v>
      </c>
      <c r="B24" s="971"/>
      <c r="C24" s="10"/>
      <c r="D24" s="10"/>
      <c r="E24" s="970"/>
      <c r="F24" s="971"/>
      <c r="G24" s="10"/>
    </row>
    <row r="25" spans="1:7" ht="15" x14ac:dyDescent="0.2">
      <c r="A25" s="6"/>
      <c r="B25" s="13" t="s">
        <v>141</v>
      </c>
      <c r="C25" s="10"/>
      <c r="D25" s="10"/>
      <c r="E25" s="970"/>
      <c r="F25" s="971"/>
      <c r="G25" s="10"/>
    </row>
    <row r="26" spans="1:7" x14ac:dyDescent="0.2">
      <c r="A26" s="5"/>
      <c r="B26" s="13" t="s">
        <v>142</v>
      </c>
      <c r="C26" s="2"/>
      <c r="D26" s="2"/>
      <c r="E26" s="972"/>
      <c r="F26" s="973"/>
      <c r="G26" s="2"/>
    </row>
    <row r="27" spans="1:7" x14ac:dyDescent="0.2">
      <c r="A27" s="5"/>
      <c r="B27" s="13" t="s">
        <v>143</v>
      </c>
      <c r="C27" s="2"/>
      <c r="D27" s="2"/>
      <c r="E27" s="972"/>
      <c r="F27" s="973"/>
      <c r="G27" s="2"/>
    </row>
    <row r="28" spans="1:7" x14ac:dyDescent="0.2">
      <c r="A28" s="5"/>
      <c r="B28" s="2"/>
      <c r="C28" s="2"/>
      <c r="D28" s="2"/>
      <c r="E28" s="972"/>
      <c r="F28" s="973"/>
      <c r="G28" s="2"/>
    </row>
    <row r="29" spans="1:7" ht="15" x14ac:dyDescent="0.2">
      <c r="A29" s="970" t="s">
        <v>144</v>
      </c>
      <c r="B29" s="971"/>
      <c r="C29" s="10"/>
      <c r="D29" s="10"/>
      <c r="E29" s="970"/>
      <c r="F29" s="971"/>
      <c r="G29" s="10"/>
    </row>
    <row r="30" spans="1:7" x14ac:dyDescent="0.2">
      <c r="A30" s="5"/>
      <c r="B30" s="13" t="s">
        <v>145</v>
      </c>
      <c r="C30" s="2"/>
      <c r="D30" s="2"/>
      <c r="E30" s="972"/>
      <c r="F30" s="973"/>
      <c r="G30" s="2"/>
    </row>
    <row r="31" spans="1:7" ht="15" x14ac:dyDescent="0.2">
      <c r="A31" s="6"/>
      <c r="B31" s="13" t="s">
        <v>146</v>
      </c>
      <c r="C31" s="2"/>
      <c r="D31" s="2"/>
      <c r="E31" s="972"/>
      <c r="F31" s="973"/>
      <c r="G31" s="2"/>
    </row>
    <row r="32" spans="1:7" ht="15" x14ac:dyDescent="0.2">
      <c r="A32" s="6"/>
      <c r="B32" s="13" t="s">
        <v>142</v>
      </c>
      <c r="C32" s="10"/>
      <c r="D32" s="10"/>
      <c r="E32" s="970"/>
      <c r="F32" s="971"/>
      <c r="G32" s="10"/>
    </row>
    <row r="33" spans="1:7" x14ac:dyDescent="0.2">
      <c r="A33" s="5"/>
      <c r="B33" s="13" t="s">
        <v>143</v>
      </c>
      <c r="C33" s="2"/>
      <c r="D33" s="2"/>
      <c r="E33" s="972"/>
      <c r="F33" s="973"/>
      <c r="G33" s="2"/>
    </row>
    <row r="34" spans="1:7" ht="15" x14ac:dyDescent="0.2">
      <c r="A34" s="6"/>
      <c r="B34" s="10"/>
      <c r="C34" s="10"/>
      <c r="D34" s="10"/>
      <c r="E34" s="970"/>
      <c r="F34" s="971"/>
      <c r="G34" s="10"/>
    </row>
    <row r="35" spans="1:7" x14ac:dyDescent="0.2">
      <c r="A35" s="7"/>
      <c r="B35" s="3" t="s">
        <v>149</v>
      </c>
      <c r="C35" s="3"/>
      <c r="D35" s="3"/>
      <c r="E35" s="974"/>
      <c r="F35" s="975"/>
      <c r="G35" s="3"/>
    </row>
    <row r="36" spans="1:7" x14ac:dyDescent="0.2">
      <c r="A36" s="5"/>
      <c r="B36" s="2"/>
      <c r="C36" s="2"/>
      <c r="D36" s="2"/>
      <c r="E36" s="972"/>
      <c r="F36" s="973"/>
      <c r="G36" s="2"/>
    </row>
    <row r="37" spans="1:7" x14ac:dyDescent="0.2">
      <c r="A37" s="5"/>
      <c r="B37" s="13" t="s">
        <v>150</v>
      </c>
      <c r="C37" s="282"/>
      <c r="D37" s="282"/>
      <c r="E37" s="983">
        <v>120384430.25</v>
      </c>
      <c r="F37" s="984"/>
      <c r="G37" s="282">
        <v>203639086.90000001</v>
      </c>
    </row>
    <row r="38" spans="1:7" x14ac:dyDescent="0.2">
      <c r="A38" s="5"/>
      <c r="B38" s="2"/>
      <c r="C38" s="2"/>
      <c r="D38" s="2"/>
      <c r="E38" s="972"/>
      <c r="F38" s="973"/>
      <c r="G38" s="2"/>
    </row>
    <row r="39" spans="1:7" ht="15" x14ac:dyDescent="0.2">
      <c r="A39" s="6"/>
      <c r="B39" s="10" t="s">
        <v>151</v>
      </c>
      <c r="C39" s="283">
        <f t="shared" ref="C39" si="0">SUM(C37:C38)</f>
        <v>0</v>
      </c>
      <c r="D39" s="283">
        <f t="shared" ref="D39" si="1">SUM(D37:D38)</f>
        <v>0</v>
      </c>
      <c r="E39" s="283">
        <f t="shared" ref="E39" si="2">SUM(E37:E38)</f>
        <v>120384430.25</v>
      </c>
      <c r="F39" s="283">
        <f>SUM(E31:F38)</f>
        <v>120384430.25</v>
      </c>
      <c r="G39" s="283">
        <f t="shared" ref="G39" si="3">SUM(G37:G38)</f>
        <v>203639086.90000001</v>
      </c>
    </row>
    <row r="40" spans="1:7" ht="15" x14ac:dyDescent="0.2">
      <c r="A40" s="6"/>
      <c r="B40" s="11"/>
      <c r="C40" s="11"/>
      <c r="D40" s="11"/>
      <c r="E40" s="6"/>
      <c r="F40" s="11"/>
      <c r="G40" s="11"/>
    </row>
    <row r="41" spans="1:7" ht="5.25" customHeight="1" thickBot="1" x14ac:dyDescent="0.25">
      <c r="A41" s="981"/>
      <c r="B41" s="982"/>
      <c r="C41" s="12"/>
      <c r="D41" s="12"/>
      <c r="E41" s="981"/>
      <c r="F41" s="982"/>
      <c r="G41" s="12"/>
    </row>
    <row r="47" spans="1:7" x14ac:dyDescent="0.2">
      <c r="B47" s="721" t="s">
        <v>1834</v>
      </c>
      <c r="C47" s="722" t="s">
        <v>1830</v>
      </c>
    </row>
    <row r="48" spans="1:7" x14ac:dyDescent="0.2">
      <c r="B48" s="721" t="s">
        <v>1831</v>
      </c>
      <c r="C48" s="722" t="s">
        <v>1832</v>
      </c>
    </row>
    <row r="49" spans="2:3" x14ac:dyDescent="0.2">
      <c r="B49" s="724"/>
      <c r="C49" s="723"/>
    </row>
    <row r="50" spans="2:3" x14ac:dyDescent="0.2">
      <c r="B50" s="719" t="s">
        <v>1833</v>
      </c>
      <c r="C50" s="723"/>
    </row>
    <row r="51" spans="2:3" x14ac:dyDescent="0.2">
      <c r="B51" s="720" t="s">
        <v>1835</v>
      </c>
      <c r="C51" s="723"/>
    </row>
  </sheetData>
  <mergeCells count="47">
    <mergeCell ref="E30:F30"/>
    <mergeCell ref="E34:F34"/>
    <mergeCell ref="E35:F35"/>
    <mergeCell ref="E36:F36"/>
    <mergeCell ref="E31:F31"/>
    <mergeCell ref="E32:F32"/>
    <mergeCell ref="E33:F33"/>
    <mergeCell ref="A41:B41"/>
    <mergeCell ref="E41:F41"/>
    <mergeCell ref="E37:F37"/>
    <mergeCell ref="E38:F38"/>
    <mergeCell ref="A7:B7"/>
    <mergeCell ref="A15:B15"/>
    <mergeCell ref="E15:F15"/>
    <mergeCell ref="A10:B10"/>
    <mergeCell ref="E10:F10"/>
    <mergeCell ref="E11:F11"/>
    <mergeCell ref="E12:F12"/>
    <mergeCell ref="E13:F13"/>
    <mergeCell ref="E14:F14"/>
    <mergeCell ref="A8:B8"/>
    <mergeCell ref="E8:F8"/>
    <mergeCell ref="A9:B9"/>
    <mergeCell ref="E9:F9"/>
    <mergeCell ref="A6:B6"/>
    <mergeCell ref="D6:E6"/>
    <mergeCell ref="A1:G1"/>
    <mergeCell ref="A3:G3"/>
    <mergeCell ref="A2:G2"/>
    <mergeCell ref="A4:G4"/>
    <mergeCell ref="A5:G5"/>
    <mergeCell ref="E16:F16"/>
    <mergeCell ref="E17:F17"/>
    <mergeCell ref="E18:F18"/>
    <mergeCell ref="A23:B23"/>
    <mergeCell ref="E23:F23"/>
    <mergeCell ref="A29:B29"/>
    <mergeCell ref="A24:B24"/>
    <mergeCell ref="E24:F24"/>
    <mergeCell ref="E19:F19"/>
    <mergeCell ref="E20:F20"/>
    <mergeCell ref="E21:F21"/>
    <mergeCell ref="E25:F25"/>
    <mergeCell ref="E26:F26"/>
    <mergeCell ref="E27:F27"/>
    <mergeCell ref="E28:F28"/>
    <mergeCell ref="E29:F29"/>
  </mergeCells>
  <pageMargins left="0.23622047244094491" right="0.27559055118110237" top="0.74803149606299213" bottom="0.74803149606299213" header="0.31496062992125984" footer="0.31496062992125984"/>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18</vt:i4>
      </vt:variant>
    </vt:vector>
  </HeadingPairs>
  <TitlesOfParts>
    <vt:vector size="42" baseType="lpstr">
      <vt:lpstr>ETCA-I-01</vt:lpstr>
      <vt:lpstr>ETCA-I-01-A (EDO RESULTADOS)</vt:lpstr>
      <vt:lpstr>ETCA-I-01-B</vt:lpstr>
      <vt:lpstr>ETCA-I-02</vt:lpstr>
      <vt:lpstr>ETCA-I-03</vt:lpstr>
      <vt:lpstr>ETCA-I-04</vt:lpstr>
      <vt:lpstr>ETCA-I-05 Notas</vt:lpstr>
      <vt:lpstr>ETCA-I-06</vt:lpstr>
      <vt:lpstr>ETCA-I-07</vt:lpstr>
      <vt:lpstr>ETCA-II-08</vt:lpstr>
      <vt:lpstr>ETCA-II-08-A...CONCIL. INGRESOS</vt:lpstr>
      <vt:lpstr>ETCA-II-09</vt:lpstr>
      <vt:lpstr>ETCA-II-09-A.</vt:lpstr>
      <vt:lpstr>ETCA-II-09-B</vt:lpstr>
      <vt:lpstr>ETCA-II-09-C</vt:lpstr>
      <vt:lpstr>ETCA-II-09-D.CONCIL. EGRESOS</vt:lpstr>
      <vt:lpstr>ETCA-II-10</vt:lpstr>
      <vt:lpstr>ETCA-II-11</vt:lpstr>
      <vt:lpstr>ETCA-II-12</vt:lpstr>
      <vt:lpstr>ETCA-III-13</vt:lpstr>
      <vt:lpstr>ETCA-III-14</vt:lpstr>
      <vt:lpstr>ETCA-IV-16</vt:lpstr>
      <vt:lpstr>ETCA-IV-17</vt:lpstr>
      <vt:lpstr>LISTA</vt:lpstr>
      <vt:lpstr>'ETCA-I-05 Notas'!_GoBack</vt:lpstr>
      <vt:lpstr>'ETCA-I-01'!Área_de_impresión</vt:lpstr>
      <vt:lpstr>'ETCA-I-01-A (EDO RESULTADOS)'!Área_de_impresión</vt:lpstr>
      <vt:lpstr>'ETCA-I-01-B'!Área_de_impresión</vt:lpstr>
      <vt:lpstr>'ETCA-I-03'!Área_de_impresión</vt:lpstr>
      <vt:lpstr>'ETCA-I-04'!Área_de_impresión</vt:lpstr>
      <vt:lpstr>'ETCA-I-05 Notas'!Área_de_impresión</vt:lpstr>
      <vt:lpstr>'ETCA-II-09'!Área_de_impresión</vt:lpstr>
      <vt:lpstr>'ETCA-II-09-B'!Área_de_impresión</vt:lpstr>
      <vt:lpstr>'ETCA-II-09-C'!Área_de_impresión</vt:lpstr>
      <vt:lpstr>'ETCA-II-10'!Área_de_impresión</vt:lpstr>
      <vt:lpstr>'ETCA-II-11'!Área_de_impresión</vt:lpstr>
      <vt:lpstr>'ETCA-III-14'!Área_de_impresión</vt:lpstr>
      <vt:lpstr>'ETCA-IV-16'!Área_de_impresión</vt:lpstr>
      <vt:lpstr>LISTA!Área_de_impresión</vt:lpstr>
      <vt:lpstr>'ETCA-I-01-A (EDO RESULTADOS)'!Títulos_a_imprimir</vt:lpstr>
      <vt:lpstr>'ETCA-I-03'!Títulos_a_imprimir</vt:lpstr>
      <vt:lpstr>'ETCA-III-13'!Títulos_a_imprimir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corujo</dc:creator>
  <cp:lastModifiedBy>Administrador</cp:lastModifiedBy>
  <cp:lastPrinted>2016-03-16T21:06:19Z</cp:lastPrinted>
  <dcterms:created xsi:type="dcterms:W3CDTF">2014-03-28T01:13:38Z</dcterms:created>
  <dcterms:modified xsi:type="dcterms:W3CDTF">2016-03-31T17:29:51Z</dcterms:modified>
</cp:coreProperties>
</file>