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120" activeTab="0"/>
  </bookViews>
  <sheets>
    <sheet name="EVETOP 01" sheetId="1" r:id="rId1"/>
    <sheet name="ANEXO -01" sheetId="2" r:id="rId2"/>
    <sheet name="EVETOP-02" sheetId="3" r:id="rId3"/>
    <sheet name="N.P.O.P" sheetId="4" r:id="rId4"/>
    <sheet name="Hoja1" sheetId="5" r:id="rId5"/>
  </sheets>
  <externalReferences>
    <externalReference r:id="rId8"/>
    <externalReference r:id="rId9"/>
  </externalReferences>
  <definedNames>
    <definedName name="_xlnm.Print_Area" localSheetId="2">'EVETOP-02'!$A$1:$I$128</definedName>
    <definedName name="_xlnm.Print_Titles" localSheetId="1">'ANEXO -01'!$6:$6</definedName>
  </definedNames>
  <calcPr fullCalcOnLoad="1"/>
</workbook>
</file>

<file path=xl/sharedStrings.xml><?xml version="1.0" encoding="utf-8"?>
<sst xmlns="http://schemas.openxmlformats.org/spreadsheetml/2006/main" count="301" uniqueCount="220">
  <si>
    <t>EVTOP-01</t>
  </si>
  <si>
    <t>SISTEMA ESTATAL DE EVALUACION DEL DESEMPEÑO</t>
  </si>
  <si>
    <t>SEGUIMIENTO FINANCIERO DE INGRESOS Y EGRESOS, DE ORGANISMOS</t>
  </si>
  <si>
    <t>Y ENTIDADES DE LA ADMINISTRACION PUBLICA ESTATAL</t>
  </si>
  <si>
    <t>ORGANISMO: CONSEJO ESTATAL DE CONCERTACION PARA LA OBRA PUBLICA (CECOP)</t>
  </si>
  <si>
    <t>INGRESOS :</t>
  </si>
  <si>
    <t>(Pesos)</t>
  </si>
  <si>
    <t>CONCEPTO</t>
  </si>
  <si>
    <t>PROGRAMADO ORIGINAL</t>
  </si>
  <si>
    <t>MODIFICADO</t>
  </si>
  <si>
    <t>TOTAL DE INGRESOS</t>
  </si>
  <si>
    <t xml:space="preserve"> % AVANCE</t>
  </si>
  <si>
    <t>JULIO</t>
  </si>
  <si>
    <t>AGOSTO</t>
  </si>
  <si>
    <t>SEPTIEMBRE</t>
  </si>
  <si>
    <t>TOTAL TRIMESTRE</t>
  </si>
  <si>
    <t>ACUMULADO</t>
  </si>
  <si>
    <t>Saldo inicial (Caja y Bancos)</t>
  </si>
  <si>
    <t>FEDERALES</t>
  </si>
  <si>
    <t>ESTATALES</t>
  </si>
  <si>
    <t>INGRESOS PROPIOS</t>
  </si>
  <si>
    <t>OTROS INGRESOS</t>
  </si>
  <si>
    <t>TOTAL</t>
  </si>
  <si>
    <t>1.-EGRESOS: (GLOBAL)</t>
  </si>
  <si>
    <t>TOTAL EJERCIDO</t>
  </si>
  <si>
    <t xml:space="preserve">% AVANCE </t>
  </si>
  <si>
    <t>CAPITULO:</t>
  </si>
  <si>
    <t>Variación: Ingreso - Gasto ($)</t>
  </si>
  <si>
    <t>2.- EGRESOS: (EXCLUSIVAMENTE SOBRE LOS INGRESOS PROPIOS)</t>
  </si>
  <si>
    <t>MARZO</t>
  </si>
  <si>
    <t>_________________________________________</t>
  </si>
  <si>
    <t>LIC. ROBERTO LOZOYA LEY</t>
  </si>
  <si>
    <t>DIRECTOR GENERAL DE ADMINISTRACION Y FINANZAS</t>
  </si>
  <si>
    <t>No. CHEQUE</t>
  </si>
  <si>
    <t>EVTOP-02</t>
  </si>
  <si>
    <t>ANALITICO DE RECURSOS EJERCIDOS POR PARTIDA PRESUPUESTAL,</t>
  </si>
  <si>
    <t>NOMBRE DEL ORGANISMO: CONSEJO ESTATAL DE CONCERTACION PARA LA OBRA PUBLICA</t>
  </si>
  <si>
    <t>CLAVE PARTIDA PRESUPUESTAL</t>
  </si>
  <si>
    <t>ASIGNACION ORIGINAL</t>
  </si>
  <si>
    <t>ASIGNACION MODIFICADA</t>
  </si>
  <si>
    <t>EJERCIDO EN EL TRIMESTRE</t>
  </si>
  <si>
    <t>Acumulado</t>
  </si>
  <si>
    <t>DISPONIBLE</t>
  </si>
  <si>
    <t>DESCRIPCION</t>
  </si>
  <si>
    <t>MONTO</t>
  </si>
  <si>
    <t xml:space="preserve">% </t>
  </si>
  <si>
    <t>ABRIL</t>
  </si>
  <si>
    <t>MAYO</t>
  </si>
  <si>
    <t>JUNIO</t>
  </si>
  <si>
    <t>OCTUBRE</t>
  </si>
  <si>
    <t>NOVIEMBRE</t>
  </si>
  <si>
    <t>DICIEMBRE</t>
  </si>
  <si>
    <t xml:space="preserve"> </t>
  </si>
  <si>
    <t>Cuotas al FOVISSSTESON</t>
  </si>
  <si>
    <t>SERVICIOS PERSONALES</t>
  </si>
  <si>
    <t>MATERIALES Y SUMINISTROS</t>
  </si>
  <si>
    <t>SERVICIOS GENERALES</t>
  </si>
  <si>
    <t>BIENES MUEBLES E INMUEBLES</t>
  </si>
  <si>
    <t>Estatal Directo</t>
  </si>
  <si>
    <t>Normal Convenido</t>
  </si>
  <si>
    <t>Gastos Indirectos de Obra Pública</t>
  </si>
  <si>
    <t>Programa de Infraestructura Social</t>
  </si>
  <si>
    <t>Indirectos Programa de Infraestructura Social</t>
  </si>
  <si>
    <t>Mejoramiento de Edificios</t>
  </si>
  <si>
    <t>INVERS. EN INFR.P/EL DESARROLLO</t>
  </si>
  <si>
    <t>Estudios y Proyectos para el Desarrollo Económico</t>
  </si>
  <si>
    <t>INVERSIONES PRODUCTIVAS</t>
  </si>
  <si>
    <t>N.P.O.P.</t>
  </si>
  <si>
    <t>INFORME SOBRE CREACION DE NUEVAS PLAZAS</t>
  </si>
  <si>
    <t>ORGANISMO : CONSEJO ESTATAL DE CONCERTACION PARA LA OBRA PUBLICA</t>
  </si>
  <si>
    <t>No. PLAZAS</t>
  </si>
  <si>
    <t>NV</t>
  </si>
  <si>
    <t>O.P.</t>
  </si>
  <si>
    <t>HR</t>
  </si>
  <si>
    <t>SUELDO MENSUAL (1101)</t>
  </si>
  <si>
    <t>QUINQ. (1301)</t>
  </si>
  <si>
    <t>SERVICIOS ESPECIALES (1308)</t>
  </si>
  <si>
    <t>TOTAL MENSUAL</t>
  </si>
  <si>
    <t>SIN MOVIMIENTO</t>
  </si>
  <si>
    <t>Información sobre autorización y justificación</t>
  </si>
  <si>
    <t>DIRECTOR GENERAL DE ADMINISTRACION</t>
  </si>
  <si>
    <t>Y FINANZAS</t>
  </si>
  <si>
    <t>COORDINACION</t>
  </si>
  <si>
    <t>CONCERTACION</t>
  </si>
  <si>
    <t>ADMON</t>
  </si>
  <si>
    <t>APOYO TECNICO</t>
  </si>
  <si>
    <t xml:space="preserve">APOYO TECNICO </t>
  </si>
  <si>
    <t>ORGANIZACIÓN</t>
  </si>
  <si>
    <t>ORGANIZACIÓN SOCIAL</t>
  </si>
  <si>
    <t>CONCERTACION Y APOYO TECNICO</t>
  </si>
  <si>
    <t>CANCELACION DE CHEQUE 12019 DEL MES DE FEBRERO POR LA CANTIDAD DE 808.58</t>
  </si>
  <si>
    <t>Fecha</t>
  </si>
  <si>
    <t>Concepto</t>
  </si>
  <si>
    <t>Importe</t>
  </si>
  <si>
    <t>Número Docto (OP)</t>
  </si>
  <si>
    <t>SUELDOS</t>
  </si>
  <si>
    <t>COMPENSACION POR RIESGO PROFESIONAL</t>
  </si>
  <si>
    <t>AYUDA HABITACION</t>
  </si>
  <si>
    <t>AYUDA DESPENSA</t>
  </si>
  <si>
    <t>HONORARIOS</t>
  </si>
  <si>
    <t>PRIMAS Y ACREDITACIONES POR AÑOS DE SERVICIO EFECTIVOS PRESTADOS AL PERSONAL</t>
  </si>
  <si>
    <t>PRIMA VACACIONAL</t>
  </si>
  <si>
    <t>GRATIFICACION POR FIN DE AÑO</t>
  </si>
  <si>
    <t>ESTIMULOS AL PERSONAL DE CONFIANZA</t>
  </si>
  <si>
    <t>COMPENSACION POR AJUSTE DE CALENDARIO</t>
  </si>
  <si>
    <t>COMPENSACION POR BONO NAVIDEÑO</t>
  </si>
  <si>
    <t>AYUDA PARA DESPENSAS</t>
  </si>
  <si>
    <t>CUOTAS POR SERVICIO MEDICO DEL ISSSTESON</t>
  </si>
  <si>
    <t>CUOTAS POR SEGURO DE VIDA AL ISSSTESON</t>
  </si>
  <si>
    <t>CUOTAS POR SEGURO DE RETIRO AL ISSSTESON</t>
  </si>
  <si>
    <t>PAGAS DE DEFUNSION, PENSIONES Y JUBILACIONES</t>
  </si>
  <si>
    <t>ASIGNACION PARA PRESTAMOS A CORTO PLAZO</t>
  </si>
  <si>
    <t>ASIGNACION PARA PRESTAMOS PRENDARIOS</t>
  </si>
  <si>
    <t>OTRAS PRESTACIONES DE SEGURIDAD SOCIAL</t>
  </si>
  <si>
    <t>GASTO DE INFRAESTRUCTURA HOSPITALARIA</t>
  </si>
  <si>
    <t>MATERIALES, UTILES Y EQUIPOS MENORES DE OFICINA</t>
  </si>
  <si>
    <t>MATERIAL DE LIMPIEZA</t>
  </si>
  <si>
    <t>MATERIALES Y UTILES DE IMPESION Y REPRODUCCION</t>
  </si>
  <si>
    <t>MATERIALES, UTILES PARA EL PROCESAMIENTO DE EQUIPOS Y BIENES INFORMATICOS</t>
  </si>
  <si>
    <t>MATERIAL PARA INFORMACION</t>
  </si>
  <si>
    <t>PRODUCTOS ALIMENTICIOS PARA EL PERSONAL EN LAS INSTALACIONES</t>
  </si>
  <si>
    <t>UTENSILIOS PARA EL SERVICIO DE ALIMENTACION</t>
  </si>
  <si>
    <t>ADQUISICION DE AGUA POTABLE</t>
  </si>
  <si>
    <t>HERRAMIENTAS MENORES</t>
  </si>
  <si>
    <t>PLACAS, ENGOMADOS, CALCAMONIAS Y HOLOGRAMAS</t>
  </si>
  <si>
    <t>MEDICINAS Y PRODUCTOS FAMACEUTICOS</t>
  </si>
  <si>
    <t>COMBUSTIBLES</t>
  </si>
  <si>
    <t>SERVICIO POSTAL</t>
  </si>
  <si>
    <t>TELEFONIA TRADICIONAL</t>
  </si>
  <si>
    <t>TELEFONIA CELULAR</t>
  </si>
  <si>
    <t>ENERGIA ELECTRICA</t>
  </si>
  <si>
    <t>AGUA</t>
  </si>
  <si>
    <t>SERVICIO DE TELECOMUNICACIONES</t>
  </si>
  <si>
    <t>ARRENDAMIENTO DE EDIFICIOS</t>
  </si>
  <si>
    <t>ARRENDAMIENTO DE MUEBLES, MAQUINARIA Y EQUIPO</t>
  </si>
  <si>
    <t>ARRENDAMIENTO DE EQUIPO DE TRANSPORTE</t>
  </si>
  <si>
    <t>SERVICIO DE CAPACITACION</t>
  </si>
  <si>
    <t>SERVICIO DE INFORMATICA</t>
  </si>
  <si>
    <t>SERVICIOS FINANCIEROS Y BANCARIOS</t>
  </si>
  <si>
    <t>SEGURO DE BIENES PATRIMONIALES</t>
  </si>
  <si>
    <t>IMPUESTOS Y DERECHOS</t>
  </si>
  <si>
    <t>SERVICIO DE VIGILANCIA</t>
  </si>
  <si>
    <t xml:space="preserve">                                                                                            MTO. Y CONSERVACION DE MOBILIARIO Y EQUIPO</t>
  </si>
  <si>
    <t xml:space="preserve">                                                                               MANTENIMIENTO Y CONSERVACION DE MAQUINARIA Y EQUIPO</t>
  </si>
  <si>
    <t>MANTENIMIENTO Y CONSERVACION DE INMUEBLES</t>
  </si>
  <si>
    <t>SERVICIOS DE JARDINERIA Y FUMIGACION</t>
  </si>
  <si>
    <t>MANTENIMIENTO Y CONSERVACION DE EQUIPO DE TRANSPORTE</t>
  </si>
  <si>
    <t>INSTALACIONES</t>
  </si>
  <si>
    <t>DIFUSION POR RADIO, TELEVISION Y OTROS MEDIOS DE MENSAJES SOBRE PROGRAMAS Y ACTIVIDADES GUBERNAMENTALES</t>
  </si>
  <si>
    <t>PASAJES TERRESTRES</t>
  </si>
  <si>
    <t>CUOTAS</t>
  </si>
  <si>
    <t>VIATICOS EN EL PAIS</t>
  </si>
  <si>
    <t>GASTOS DE CAMINO</t>
  </si>
  <si>
    <t>GASTOS CEREMONIALES</t>
  </si>
  <si>
    <t>COMISIONES POR VENTA</t>
  </si>
  <si>
    <t>SERVICIOS LEGALES, DE CONTABILIDAD, AUDITORIAS RELACIONADOS</t>
  </si>
  <si>
    <t>MANTENIMIENTO Y CONSERVACION DE BIENES INFORMATICOS</t>
  </si>
  <si>
    <t>OTROS MOBILIARIOS Y EQUIPO DE ADMINISTRACION</t>
  </si>
  <si>
    <t>SISTEMA DE AIRE ACONDICIONADO, CALEFACCION Y REFRIGERACION</t>
  </si>
  <si>
    <t>EQUIPO DE COMPUTO Y DE TECNOLOGIA DE LA INFORMACION</t>
  </si>
  <si>
    <t>Indirectos Junta Estatal de  Participación Social</t>
  </si>
  <si>
    <t>TOTAL PRESUPUESTO 2011</t>
  </si>
  <si>
    <t>EQUIPO DE COMUNICACIÓN Y TELECOMUNICACION</t>
  </si>
  <si>
    <t>EQUIPOS Y APARATOS AUDIOVISUALES</t>
  </si>
  <si>
    <t>AUTOMOVILES Y CAMIONES</t>
  </si>
  <si>
    <t>TRIMESTRE : TERCERO 2011</t>
  </si>
  <si>
    <t>TRIMESTRE:CUARTO 2011</t>
  </si>
  <si>
    <t>PATENTES, REGALIAS Y OTROS</t>
  </si>
  <si>
    <t>MUEBLES DE OFICINA Y ESTANTERIA</t>
  </si>
  <si>
    <t>SUBSIDIO PARA PAGO DE NOMINA  FINIQUITOS  DEL 01-OCT-2011  AL 15-OCT-2011 HSBC RECURSO QUE DEBERA SER DEPOSITADO AL GASTO DE OPERACION DEL ORGANISMO</t>
  </si>
  <si>
    <t>SUBSIDIO PARA PAGO DE APORTACIONES Y DEDUCCIONES DE  NOMINA  FINIQUITOS  DEL 01-OCT-2011  AL 15-OCT-2011</t>
  </si>
  <si>
    <t>SUBSIDIO PARA PAGO DE NOMINA QUINCENAL  DEL 01-OCT-2011  AL 15-OCT-2011  NUM. 19   HSBC</t>
  </si>
  <si>
    <t>SUBSIDIO PARA PAGO DE APORTACIONES Y DEDUCCIONES DE  NOMINA QUINCENAL  DEL 01-OCT-2011  AL 15-OCT-2011  NUM. 19</t>
  </si>
  <si>
    <t>SUBSIDIO PARA PAGO DE NOMINA MENSUAL  DEL 01-OCT-2011  AL 31-OCT-2011  MES 10      HSBC</t>
  </si>
  <si>
    <t>SUBSIDIO PARA PAGO DE NOMINA QUINCENAL  DEL 16-OCT-2011  AL 31-OCT-2011  NUM. 20   HSBC</t>
  </si>
  <si>
    <t>SUBSIDIO PARA PAGO DE APORTACIONES Y DEDUCCIONES DE  NOMINA QUINCENAL  DEL 16-OCT-2011  AL 31-OCT-2011  NUM. 20</t>
  </si>
  <si>
    <t>SUBSIDIO PARA PAGO DE NOMINA QUINCENAL  DEL 01-NOV-2011  AL 15-NOV-2011  NUM. 21   HSBC</t>
  </si>
  <si>
    <t>SUBSIDIO PARA PAGO DE APORTACIONES Y DEDUCCIONES DE  NOMINA QUINCENAL  DEL 01-NOV-2011  AL 15-NOV-2011  NUM. 21</t>
  </si>
  <si>
    <t>SUBSIDIO PARA PAGO DE NOMINA MENSUAL  DEL 01-NOV-2011  AL 30-NOV-2011  MES 11      HSBC</t>
  </si>
  <si>
    <t>SUBSIDIO PARA PAGO DE NOMINA QUINCENAL  DEL 16-NOV-2011  AL 30-NOV-2011  NUM. 22   HSBC</t>
  </si>
  <si>
    <t>SUBSIDIO PARA PAGO DE PERSONAL DE TEMPORAL NOMINA QUINCENAL  DEL 16-NOV-2011  AL 30-NOV-2011  NUM. 22   HSBC</t>
  </si>
  <si>
    <t>SUBSIDIO PARA PAGO DE APORTACIONES Y DEDUCCIONES DE  NOMINA QUINCENAL  DEL 16-NOV-2011  AL 30-NOV-2011  NUM. 22</t>
  </si>
  <si>
    <t>SUBSIDIO PARA PAGO DE NOMINA  AGUINALDOS  DEL 01-ENE-2011  AL 31-DIC-2011 HSBC</t>
  </si>
  <si>
    <t>SUBSIDIO PARA PAGO DE NOMINA ESPECIAL PAGO DE BONOS DE ANTIGUEDAD 2011 HSBC</t>
  </si>
  <si>
    <t>SUBSIDIO PARA PAGO DE NOMINA QUINCENAL  DEL 01-DIC-2011  AL 15-DIC-2011  NUM. 23   HSBC</t>
  </si>
  <si>
    <t>SUBSIDIO PARA PAGO DE APORTACIONES Y DEDUCCIONES DE  NOMINA QUINCENAL  DEL 01-DIC-2011  AL 15-DIC-2011  NUM. 23</t>
  </si>
  <si>
    <t>SUBSIDIO PARA PAGO DE NOMINA  PRIMA VACACIONAL  DEL 01-JUL-2011  AL 31-DIC-2011    HSBC</t>
  </si>
  <si>
    <t>SUBSIDIO PARA PAGO DE NOMINA ESPECIAL BONOS NAVIDEÑO Y AJUSTE CALENDARIO 2011      HSBC</t>
  </si>
  <si>
    <t>SUBSIDIO PARA PAGO DE NOMINA QUINCENAL  DEL 16-DIC-2011  AL 31-DIC-2011  NUM. 24   HSBC</t>
  </si>
  <si>
    <t>SUBSIDIO PARA PAGO DE APORTACIONES Y DEDUCCIONES DE  NOMINA QUINCENAL  DEL 16-DIC-2011  AL 31-DIC-2011  NUM. 24</t>
  </si>
  <si>
    <t>SUBSIDIO PARA PAGO DE NOMINA MENSUAL  DEL 01-DIC-2011  AL 31-DIC-2011  MES 12      HSBC</t>
  </si>
  <si>
    <t>SUBSIDIO PARA PAGO DE NOMINA  FINIQUITOS  DEL 16-DIC-2011  AL 31-DIC-2011 HSBC RECURSO QUE DEBERA SER DEPOSITADO AL GASTO DE OPERACION DEL ORGANISMO</t>
  </si>
  <si>
    <t>SUBSIDIO PARA PAGO DE APORTACIONES Y DEDUCCIONES DE  NOMINA  FINIQUITOS  DEL 16-DIC-2011  AL 31-DIC-2011</t>
  </si>
  <si>
    <t>RECURSOS APROBADOS EN EL PRESUPUESTO DE EGRESOS DEL ESTADO 2011 PARA EL FONDO DE GESTION LEGISLATIVA SEGUN OFICIO NO 05.06/914/2011.</t>
  </si>
  <si>
    <t>APORTACION PARA GASTOS DE OPERACION PARA EL MES DE SEPTIEMBRE DEL 2011.</t>
  </si>
  <si>
    <t>GASTOS DE OPERACION</t>
  </si>
  <si>
    <t>APORTACION PARA GASTOS DE OPERACION PARA EL MES DE OCTUBRE DEL 2011.</t>
  </si>
  <si>
    <t>RECURSOS APROBADOS EN EL PRESUPUESTO DE EGRESOS DEL ESTADO 2011 PARA EL FONDO DE GESTION LEGISLATIVA SEGUN OFICIO NO. 05.06/1384/2011.</t>
  </si>
  <si>
    <t>RECURSOS EXTRAORDINARIOS PARA CUMPLIR COMPROMISOS ADQUIRIDOS</t>
  </si>
  <si>
    <t>PAGO DE FACTURAS # 704 Y 705</t>
  </si>
  <si>
    <t xml:space="preserve">PAGO DE FACTURAS # 66 Y 72  </t>
  </si>
  <si>
    <t>PAGO DE FACTURAS # 3533,3538 Y 3542</t>
  </si>
  <si>
    <t>PAGO DE FACTURAS # 1623,1635 Y 1636</t>
  </si>
  <si>
    <t>PAGO DE FACTURA # 3316</t>
  </si>
  <si>
    <t>PAGO DE FACTURA # 1117</t>
  </si>
  <si>
    <t>PAGO DE FACTURA # 10344</t>
  </si>
  <si>
    <t>RECURSOS APROBADOS EN EL PRESUPUESTO DE EGRESOSO DEL ESTADO 2011 PARA EL FONDO DE GESTION LEGISLATIVA SEGUN OFICIO NO. 05.06/1404/2011.</t>
  </si>
  <si>
    <t>GASTO DE OPERACION</t>
  </si>
  <si>
    <t>APORTACION PARA GASTOS DE OPERACION PARA EL MES DE NOVIEMBRE DEL 2011.</t>
  </si>
  <si>
    <t>APORTACION PAR GASTOS DE OPERACION PARA EL MES DE DICIEMBRE DEL 2011</t>
  </si>
  <si>
    <t>RECUROS APROBADOS EN EL PRESUPUESTO DE EGRESOS DEL ESTADO 2011 PARA EL FONDO LEGISLATIVO SEGUN OFICIO NO. 05.06/478/2011.</t>
  </si>
  <si>
    <t>APORTACION PARA LA OBRA PUBLICA CONCERTADA SEGUN OFICIO DE AUTORIZACION NUMERO SH-ED-11-001 DE FECHA 25 DE ENERO DEL 2011 NO. DE OBRA ED-002.</t>
  </si>
  <si>
    <t>RECURSOS AUTORIZADOS PARA LA EJECUCION DE LA OBRA PUBLICA POR EL MES DE JULIO 2011 SEGUN OFICIO DE AUTORIZACION NUMERO SH-ED-11-001 DE FECHA 25 DE ENERO DEL 2011 NO. DE OBRA ED- 001.</t>
  </si>
  <si>
    <t>APORTACION PARA LA OBRA PUBLICA CONCERTADA SEGUN OFICIO DE AUTORIZACION NUMERO SH-ED-11-271- DE FECHA 20 DE OCTUBRE DEL 2011 NO. DE OBRA ED- 002.</t>
  </si>
  <si>
    <t>APORTACION PARA LA OBRA PUBLICA CONCERTADA SEGUN OFICIO DE AUTORIZACION NUMERO SH-ED-11-271 DE FECHA 20 DE OCTUBRE DEL 2011 NO. DE OBRA ED- 002.</t>
  </si>
  <si>
    <t>RECURSOS AUTORIZADOS PARA LA EJECUCION DE LA OBRA PUBLICA POR EL MES DE DICIEMBRE DEL 2011 SEGUN OFICIO DE AUTORIZACION NUMERO SH-ED-11-292 DE FECHA 15 DE DICIEMBRE DEL 2011 NO. DE OBRA ED-1259.</t>
  </si>
  <si>
    <t>APORTACION PARA OBRA PUBLICA CONCERTADA POR EL MES DE JUNIO DEL 2011 SEGUN OFICIO DE AUTORIZACION SH - ED-11-072 CON FECHA DEL 29 DE MARZO DEL 2011 CON NÚMERO DE OBRA ED-194.</t>
  </si>
  <si>
    <t>APORTACION PARA OBRA PUBLICA CONCERTADA POR EL MES DE JULIO DEL 2011 SEGUN OFICIO DE AUTORIZACION SH-ED-11-072 CON FECHA 29 DE MARZO DEL 2011. CON NUMERO DE OBRA ED- 194.</t>
  </si>
  <si>
    <t>APORTACION PARA OBRA PUBLICA CONCERTADA POR EL MES DE AGOSTO DEL 2011 SEGUN OFICIO DE AUTORIZACION SH-ED-11-072 CON FECHA 29 DE MARZO DEL 2011. CON NUMERO DE OBRA ED- 194.</t>
  </si>
  <si>
    <t>RECURSOS ESTATALES RECIBIDOS DURANTE EL CUARTO TRIMESTRE 2011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</si>
</sst>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&quot;/&quot;mm&quot;/&quot;yyyy"/>
    <numFmt numFmtId="165" formatCode="&quot;$&quot;#,##0.00_);\-&quot;$&quot;#,##0.00"/>
    <numFmt numFmtId="166" formatCode="dd/mm/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8.05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9"/>
      <name val="Arial"/>
      <family val="2"/>
    </font>
    <font>
      <b/>
      <sz val="7.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7999668121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7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10" fontId="4" fillId="0" borderId="17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10" fontId="4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0" fontId="2" fillId="0" borderId="11" xfId="0" applyFont="1" applyBorder="1" applyAlignment="1">
      <alignment horizontal="right"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4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4" xfId="0" applyFont="1" applyBorder="1" applyAlignment="1">
      <alignment/>
    </xf>
    <xf numFmtId="10" fontId="4" fillId="0" borderId="11" xfId="0" applyNumberFormat="1" applyFont="1" applyBorder="1" applyAlignment="1">
      <alignment/>
    </xf>
    <xf numFmtId="0" fontId="0" fillId="33" borderId="11" xfId="0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3" fontId="4" fillId="0" borderId="17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6" fillId="0" borderId="11" xfId="0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9" fillId="0" borderId="0" xfId="0" applyFont="1" applyAlignment="1">
      <alignment horizontal="centerContinuous"/>
    </xf>
    <xf numFmtId="4" fontId="9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4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1" fillId="0" borderId="20" xfId="0" applyFont="1" applyBorder="1" applyAlignment="1">
      <alignment vertical="center"/>
    </xf>
    <xf numFmtId="4" fontId="0" fillId="0" borderId="21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Continuous"/>
    </xf>
    <xf numFmtId="4" fontId="1" fillId="0" borderId="22" xfId="0" applyNumberFormat="1" applyFont="1" applyBorder="1" applyAlignment="1">
      <alignment horizontal="centerContinuous"/>
    </xf>
    <xf numFmtId="0" fontId="6" fillId="0" borderId="22" xfId="0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4" fontId="0" fillId="34" borderId="19" xfId="0" applyNumberFormat="1" applyFill="1" applyBorder="1" applyAlignment="1">
      <alignment/>
    </xf>
    <xf numFmtId="4" fontId="0" fillId="0" borderId="11" xfId="0" applyNumberFormat="1" applyFont="1" applyBorder="1" applyAlignment="1">
      <alignment vertical="center"/>
    </xf>
    <xf numFmtId="10" fontId="0" fillId="0" borderId="11" xfId="0" applyNumberFormat="1" applyFont="1" applyBorder="1" applyAlignment="1">
      <alignment vertical="center"/>
    </xf>
    <xf numFmtId="4" fontId="0" fillId="0" borderId="11" xfId="0" applyNumberFormat="1" applyBorder="1" applyAlignment="1">
      <alignment/>
    </xf>
    <xf numFmtId="4" fontId="0" fillId="0" borderId="11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>
      <alignment vertical="center"/>
    </xf>
    <xf numFmtId="10" fontId="1" fillId="33" borderId="11" xfId="0" applyNumberFormat="1" applyFont="1" applyFill="1" applyBorder="1" applyAlignment="1">
      <alignment vertical="center"/>
    </xf>
    <xf numFmtId="4" fontId="0" fillId="34" borderId="11" xfId="0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10" fontId="1" fillId="33" borderId="11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vertical="center"/>
    </xf>
    <xf numFmtId="0" fontId="6" fillId="0" borderId="24" xfId="0" applyFont="1" applyBorder="1" applyAlignment="1">
      <alignment horizontal="right" vertical="center"/>
    </xf>
    <xf numFmtId="4" fontId="4" fillId="0" borderId="23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1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7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2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3" fillId="0" borderId="0" xfId="0" applyNumberFormat="1" applyFont="1" applyFill="1" applyAlignment="1">
      <alignment/>
    </xf>
    <xf numFmtId="4" fontId="0" fillId="35" borderId="11" xfId="0" applyNumberFormat="1" applyFont="1" applyFill="1" applyBorder="1" applyAlignment="1">
      <alignment vertical="center"/>
    </xf>
    <xf numFmtId="10" fontId="0" fillId="0" borderId="11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3" fillId="34" borderId="0" xfId="0" applyFont="1" applyFill="1" applyAlignment="1">
      <alignment/>
    </xf>
    <xf numFmtId="0" fontId="13" fillId="34" borderId="0" xfId="0" applyFont="1" applyFill="1" applyAlignment="1">
      <alignment vertical="center"/>
    </xf>
    <xf numFmtId="0" fontId="13" fillId="34" borderId="0" xfId="0" applyFont="1" applyFill="1" applyAlignment="1">
      <alignment horizontal="center"/>
    </xf>
    <xf numFmtId="4" fontId="13" fillId="34" borderId="0" xfId="0" applyNumberFormat="1" applyFont="1" applyFill="1" applyBorder="1" applyAlignment="1">
      <alignment vertical="center"/>
    </xf>
    <xf numFmtId="4" fontId="13" fillId="34" borderId="0" xfId="0" applyNumberFormat="1" applyFont="1" applyFill="1" applyAlignment="1">
      <alignment vertical="center"/>
    </xf>
    <xf numFmtId="0" fontId="13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3" fillId="34" borderId="0" xfId="0" applyFont="1" applyFill="1" applyBorder="1" applyAlignment="1">
      <alignment vertical="center"/>
    </xf>
    <xf numFmtId="0" fontId="14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4" fontId="14" fillId="34" borderId="0" xfId="0" applyNumberFormat="1" applyFont="1" applyFill="1" applyBorder="1" applyAlignment="1">
      <alignment vertical="center"/>
    </xf>
    <xf numFmtId="4" fontId="14" fillId="34" borderId="0" xfId="0" applyNumberFormat="1" applyFont="1" applyFill="1" applyBorder="1" applyAlignment="1">
      <alignment/>
    </xf>
    <xf numFmtId="4" fontId="13" fillId="34" borderId="0" xfId="0" applyNumberFormat="1" applyFont="1" applyFill="1" applyBorder="1" applyAlignment="1">
      <alignment/>
    </xf>
    <xf numFmtId="4" fontId="14" fillId="34" borderId="0" xfId="48" applyNumberFormat="1" applyFont="1" applyFill="1" applyBorder="1" applyAlignment="1">
      <alignment/>
    </xf>
    <xf numFmtId="3" fontId="0" fillId="0" borderId="43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9" fillId="0" borderId="18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18" xfId="0" applyFont="1" applyBorder="1" applyAlignment="1">
      <alignment horizontal="right"/>
    </xf>
    <xf numFmtId="0" fontId="1" fillId="0" borderId="44" xfId="0" applyFont="1" applyBorder="1" applyAlignment="1">
      <alignment vertical="center"/>
    </xf>
    <xf numFmtId="0" fontId="0" fillId="0" borderId="18" xfId="0" applyBorder="1" applyAlignment="1">
      <alignment horizontal="centerContinuous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Border="1" applyAlignment="1">
      <alignment horizontal="center" wrapText="1"/>
    </xf>
    <xf numFmtId="4" fontId="4" fillId="0" borderId="11" xfId="0" applyNumberFormat="1" applyFont="1" applyBorder="1" applyAlignment="1">
      <alignment wrapText="1"/>
    </xf>
    <xf numFmtId="0" fontId="6" fillId="33" borderId="11" xfId="0" applyFont="1" applyFill="1" applyBorder="1" applyAlignment="1">
      <alignment horizontal="left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4" fontId="4" fillId="0" borderId="11" xfId="0" applyNumberFormat="1" applyFont="1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4" fontId="0" fillId="0" borderId="11" xfId="0" applyNumberFormat="1" applyBorder="1" applyAlignment="1">
      <alignment wrapText="1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wrapText="1"/>
    </xf>
    <xf numFmtId="4" fontId="6" fillId="33" borderId="11" xfId="0" applyNumberFormat="1" applyFont="1" applyFill="1" applyBorder="1" applyAlignment="1">
      <alignment wrapText="1"/>
    </xf>
    <xf numFmtId="0" fontId="4" fillId="33" borderId="11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10" fontId="0" fillId="0" borderId="11" xfId="0" applyNumberFormat="1" applyFont="1" applyFill="1" applyBorder="1" applyAlignment="1">
      <alignment vertical="center"/>
    </xf>
    <xf numFmtId="4" fontId="1" fillId="33" borderId="19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4" fontId="4" fillId="0" borderId="15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>
      <alignment/>
    </xf>
    <xf numFmtId="10" fontId="1" fillId="0" borderId="15" xfId="0" applyNumberFormat="1" applyFont="1" applyFill="1" applyBorder="1" applyAlignment="1">
      <alignment vertical="center"/>
    </xf>
    <xf numFmtId="4" fontId="1" fillId="33" borderId="14" xfId="48" applyNumberFormat="1" applyFont="1" applyFill="1" applyBorder="1" applyAlignment="1">
      <alignment/>
    </xf>
    <xf numFmtId="0" fontId="6" fillId="33" borderId="11" xfId="0" applyFont="1" applyFill="1" applyBorder="1" applyAlignment="1">
      <alignment horizontal="left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14" fillId="34" borderId="0" xfId="0" applyNumberFormat="1" applyFont="1" applyFill="1" applyBorder="1" applyAlignment="1">
      <alignment vertical="center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4" fontId="0" fillId="0" borderId="0" xfId="0" applyNumberFormat="1" applyFont="1" applyBorder="1" applyAlignment="1">
      <alignment/>
    </xf>
    <xf numFmtId="4" fontId="0" fillId="34" borderId="11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/>
      <protection/>
    </xf>
    <xf numFmtId="0" fontId="7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 wrapText="1"/>
      <protection/>
    </xf>
    <xf numFmtId="4" fontId="0" fillId="34" borderId="0" xfId="0" applyNumberFormat="1" applyFont="1" applyFill="1" applyBorder="1" applyAlignment="1">
      <alignment vertical="center"/>
    </xf>
    <xf numFmtId="4" fontId="1" fillId="34" borderId="0" xfId="0" applyNumberFormat="1" applyFont="1" applyFill="1" applyBorder="1" applyAlignment="1">
      <alignment vertical="center"/>
    </xf>
    <xf numFmtId="4" fontId="1" fillId="34" borderId="0" xfId="48" applyNumberFormat="1" applyFont="1" applyFill="1" applyBorder="1" applyAlignment="1">
      <alignment/>
    </xf>
    <xf numFmtId="0" fontId="0" fillId="34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/>
    </xf>
    <xf numFmtId="0" fontId="17" fillId="34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horizontal="center"/>
    </xf>
    <xf numFmtId="4" fontId="4" fillId="34" borderId="0" xfId="0" applyNumberFormat="1" applyFont="1" applyFill="1" applyBorder="1" applyAlignment="1">
      <alignment/>
    </xf>
    <xf numFmtId="4" fontId="6" fillId="34" borderId="0" xfId="0" applyNumberFormat="1" applyFont="1" applyFill="1" applyBorder="1" applyAlignment="1">
      <alignment/>
    </xf>
    <xf numFmtId="4" fontId="6" fillId="34" borderId="0" xfId="0" applyNumberFormat="1" applyFont="1" applyFill="1" applyBorder="1" applyAlignment="1">
      <alignment vertical="center"/>
    </xf>
    <xf numFmtId="4" fontId="6" fillId="34" borderId="0" xfId="48" applyNumberFormat="1" applyFont="1" applyFill="1" applyBorder="1" applyAlignment="1">
      <alignment/>
    </xf>
    <xf numFmtId="4" fontId="17" fillId="34" borderId="0" xfId="0" applyNumberFormat="1" applyFont="1" applyFill="1" applyBorder="1" applyAlignment="1">
      <alignment/>
    </xf>
    <xf numFmtId="4" fontId="4" fillId="0" borderId="11" xfId="0" applyNumberFormat="1" applyFont="1" applyBorder="1" applyAlignment="1">
      <alignment wrapText="1"/>
    </xf>
    <xf numFmtId="4" fontId="4" fillId="0" borderId="14" xfId="0" applyNumberFormat="1" applyFont="1" applyBorder="1" applyAlignment="1">
      <alignment wrapText="1"/>
    </xf>
    <xf numFmtId="4" fontId="1" fillId="36" borderId="11" xfId="0" applyNumberFormat="1" applyFont="1" applyFill="1" applyBorder="1" applyAlignment="1">
      <alignment/>
    </xf>
    <xf numFmtId="4" fontId="1" fillId="36" borderId="19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4" fillId="0" borderId="17" xfId="0" applyNumberFormat="1" applyFont="1" applyFill="1" applyBorder="1" applyAlignment="1">
      <alignment horizontal="right" vertical="center"/>
    </xf>
    <xf numFmtId="4" fontId="4" fillId="0" borderId="16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165" fontId="18" fillId="0" borderId="0" xfId="0" applyNumberFormat="1" applyFont="1" applyAlignment="1">
      <alignment horizontal="right" vertical="center"/>
    </xf>
    <xf numFmtId="0" fontId="16" fillId="0" borderId="0" xfId="0" applyFont="1" applyAlignment="1">
      <alignment wrapText="1"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Fill="1" applyAlignment="1">
      <alignment/>
    </xf>
    <xf numFmtId="0" fontId="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66" fontId="7" fillId="0" borderId="16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vertical="center" wrapText="1"/>
    </xf>
    <xf numFmtId="165" fontId="7" fillId="0" borderId="0" xfId="0" applyNumberFormat="1" applyFont="1" applyBorder="1" applyAlignment="1">
      <alignment horizontal="right" vertical="center"/>
    </xf>
    <xf numFmtId="1" fontId="7" fillId="0" borderId="18" xfId="0" applyNumberFormat="1" applyFont="1" applyBorder="1" applyAlignment="1">
      <alignment horizontal="center" vertical="center"/>
    </xf>
    <xf numFmtId="0" fontId="0" fillId="0" borderId="16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 wrapText="1"/>
    </xf>
    <xf numFmtId="0" fontId="4" fillId="0" borderId="0" xfId="0" applyFont="1" applyBorder="1" applyAlignment="1">
      <alignment/>
    </xf>
    <xf numFmtId="166" fontId="7" fillId="0" borderId="19" xfId="0" applyNumberFormat="1" applyFont="1" applyBorder="1" applyAlignment="1">
      <alignment vertical="center"/>
    </xf>
    <xf numFmtId="0" fontId="0" fillId="0" borderId="45" xfId="0" applyBorder="1" applyAlignment="1">
      <alignment/>
    </xf>
    <xf numFmtId="0" fontId="7" fillId="0" borderId="45" xfId="0" applyFont="1" applyBorder="1" applyAlignment="1">
      <alignment vertical="center" wrapText="1"/>
    </xf>
    <xf numFmtId="165" fontId="7" fillId="0" borderId="45" xfId="0" applyNumberFormat="1" applyFont="1" applyBorder="1" applyAlignment="1">
      <alignment horizontal="right" vertical="center"/>
    </xf>
    <xf numFmtId="1" fontId="7" fillId="0" borderId="46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47" xfId="0" applyBorder="1" applyAlignment="1">
      <alignment wrapTex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1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866775</xdr:colOff>
      <xdr:row>109</xdr:row>
      <xdr:rowOff>142875</xdr:rowOff>
    </xdr:from>
    <xdr:ext cx="2295525" cy="485775"/>
    <xdr:sp>
      <xdr:nvSpPr>
        <xdr:cNvPr id="1" name="Text Box 1"/>
        <xdr:cNvSpPr txBox="1">
          <a:spLocks noChangeArrowheads="1"/>
        </xdr:cNvSpPr>
      </xdr:nvSpPr>
      <xdr:spPr>
        <a:xfrm>
          <a:off x="8734425" y="23641050"/>
          <a:ext cx="22955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ROBERTO LOZOYA LEY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 DE ADMINISTRACION Y FINANZAS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uardo\Mis%20documentos\Documents%20and%20Settings\Propietario\Mis%20documentos\of%20liberacion\2011\REPORTE%20MENSUAL%20SAUL%20LOPEZ%20MONTIEL\REPORTE%20MENSU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uardo\Mis%20documentos\Documents%20and%20Settings\Propietario\Mis%20documentos\of%20liberacion\2011\POA\3ER%20TRIM\POA%203ER%20TR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01">
          <cell r="C101">
            <v>0</v>
          </cell>
          <cell r="F10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VETOP 01"/>
      <sheetName val="ANEXO -01"/>
      <sheetName val="EVETOP-02"/>
      <sheetName val="N.P.O.P"/>
    </sheetNames>
    <sheetDataSet>
      <sheetData sheetId="0">
        <row r="14">
          <cell r="H14">
            <v>123748226.6</v>
          </cell>
        </row>
        <row r="16">
          <cell r="H16">
            <v>4557394.39</v>
          </cell>
        </row>
        <row r="24">
          <cell r="H24">
            <v>12759045.239999998</v>
          </cell>
        </row>
        <row r="25">
          <cell r="H25">
            <v>1591445.27</v>
          </cell>
        </row>
        <row r="26">
          <cell r="H26">
            <v>3428456.5</v>
          </cell>
        </row>
        <row r="28">
          <cell r="H28">
            <v>427512.44</v>
          </cell>
        </row>
        <row r="29">
          <cell r="H29">
            <v>116372211.84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A1">
      <selection activeCell="C24" sqref="C24:C28"/>
    </sheetView>
  </sheetViews>
  <sheetFormatPr defaultColWidth="11.421875" defaultRowHeight="12.75"/>
  <cols>
    <col min="1" max="1" width="17.7109375" style="0" customWidth="1"/>
    <col min="2" max="8" width="14.7109375" style="0" customWidth="1"/>
    <col min="9" max="9" width="8.28125" style="0" customWidth="1"/>
    <col min="10" max="10" width="13.7109375" style="0" bestFit="1" customWidth="1"/>
    <col min="11" max="11" width="13.7109375" style="74" bestFit="1" customWidth="1"/>
  </cols>
  <sheetData>
    <row r="1" ht="12.75">
      <c r="I1" s="1" t="s">
        <v>0</v>
      </c>
    </row>
    <row r="2" spans="1:9" ht="12.75">
      <c r="A2" s="264" t="s">
        <v>1</v>
      </c>
      <c r="B2" s="264"/>
      <c r="C2" s="264"/>
      <c r="D2" s="264"/>
      <c r="E2" s="264"/>
      <c r="F2" s="264"/>
      <c r="G2" s="264"/>
      <c r="H2" s="264"/>
      <c r="I2" s="264"/>
    </row>
    <row r="3" spans="1:9" ht="12.75">
      <c r="A3" s="264" t="s">
        <v>2</v>
      </c>
      <c r="B3" s="264"/>
      <c r="C3" s="264"/>
      <c r="D3" s="264"/>
      <c r="E3" s="264"/>
      <c r="F3" s="264"/>
      <c r="G3" s="264"/>
      <c r="H3" s="264"/>
      <c r="I3" s="264"/>
    </row>
    <row r="4" spans="1:9" ht="12.75">
      <c r="A4" s="264" t="s">
        <v>3</v>
      </c>
      <c r="B4" s="264"/>
      <c r="C4" s="264"/>
      <c r="D4" s="264"/>
      <c r="E4" s="264"/>
      <c r="F4" s="264"/>
      <c r="G4" s="264"/>
      <c r="H4" s="264"/>
      <c r="I4" s="264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1.25" customHeight="1" thickBot="1">
      <c r="A6" s="3"/>
      <c r="G6" s="265" t="s">
        <v>166</v>
      </c>
      <c r="H6" s="265"/>
      <c r="I6" s="265"/>
    </row>
    <row r="7" spans="1:9" ht="14.25" thickBot="1" thickTop="1">
      <c r="A7" s="255" t="s">
        <v>4</v>
      </c>
      <c r="B7" s="256"/>
      <c r="C7" s="256"/>
      <c r="D7" s="256"/>
      <c r="E7" s="256"/>
      <c r="F7" s="256"/>
      <c r="G7" s="256"/>
      <c r="H7" s="256"/>
      <c r="I7" s="257"/>
    </row>
    <row r="8" ht="15.75" customHeight="1" thickTop="1"/>
    <row r="9" spans="1:8" ht="12.75">
      <c r="A9" s="4" t="s">
        <v>5</v>
      </c>
      <c r="F9" s="5" t="s">
        <v>6</v>
      </c>
      <c r="G9" s="5"/>
      <c r="H9" s="3"/>
    </row>
    <row r="10" spans="1:9" ht="12.75">
      <c r="A10" s="258" t="s">
        <v>7</v>
      </c>
      <c r="B10" s="260" t="s">
        <v>8</v>
      </c>
      <c r="C10" s="262" t="s">
        <v>9</v>
      </c>
      <c r="D10" s="6" t="s">
        <v>10</v>
      </c>
      <c r="E10" s="7"/>
      <c r="F10" s="8"/>
      <c r="G10" s="8"/>
      <c r="H10" s="9"/>
      <c r="I10" s="258" t="s">
        <v>11</v>
      </c>
    </row>
    <row r="11" spans="1:9" ht="12.75">
      <c r="A11" s="259"/>
      <c r="B11" s="261"/>
      <c r="C11" s="263"/>
      <c r="D11" s="46" t="s">
        <v>49</v>
      </c>
      <c r="E11" s="46" t="s">
        <v>50</v>
      </c>
      <c r="F11" s="47" t="s">
        <v>51</v>
      </c>
      <c r="G11" s="12" t="s">
        <v>15</v>
      </c>
      <c r="H11" s="11" t="s">
        <v>16</v>
      </c>
      <c r="I11" s="259"/>
    </row>
    <row r="12" spans="1:15" ht="26.25" customHeight="1">
      <c r="A12" s="13" t="s">
        <v>17</v>
      </c>
      <c r="B12" s="14"/>
      <c r="C12" s="15"/>
      <c r="D12" s="226">
        <v>6325196.04</v>
      </c>
      <c r="E12" s="226">
        <v>19482478.89</v>
      </c>
      <c r="F12" s="227">
        <v>12036314.57</v>
      </c>
      <c r="G12" s="16"/>
      <c r="H12" s="17"/>
      <c r="I12" s="18"/>
      <c r="K12" s="237"/>
      <c r="L12" s="134"/>
      <c r="M12" s="134"/>
      <c r="N12" s="134"/>
      <c r="O12" s="134"/>
    </row>
    <row r="13" spans="1:9" ht="16.5" customHeight="1">
      <c r="A13" s="19" t="s">
        <v>18</v>
      </c>
      <c r="B13" s="20">
        <v>0</v>
      </c>
      <c r="C13" s="20"/>
      <c r="D13" s="21"/>
      <c r="E13" s="21"/>
      <c r="F13" s="22"/>
      <c r="G13" s="21">
        <f>SUM(D13:F13)</f>
        <v>0</v>
      </c>
      <c r="H13" s="21"/>
      <c r="I13" s="23"/>
    </row>
    <row r="14" spans="1:10" ht="16.5" customHeight="1">
      <c r="A14" s="24" t="s">
        <v>19</v>
      </c>
      <c r="B14" s="20">
        <v>227731479.4</v>
      </c>
      <c r="C14" s="21">
        <f>227731479.4-852037.5+131832+2500000+2500000+1546867.98+209530.8+569803+6219378.97+566448.5+695000+410000+580234+1015197+350000+3409821.05+1000000+534803+1370828.31</f>
        <v>250489186.51000002</v>
      </c>
      <c r="D14" s="21">
        <v>19743372.2</v>
      </c>
      <c r="E14" s="21">
        <v>22083263.1</v>
      </c>
      <c r="F14" s="22">
        <f>224107.67+180196.72+387828.28+4826201.78+6219378.97+5294624.05+2473592.54+61948036.03</f>
        <v>81553966.03999999</v>
      </c>
      <c r="G14" s="21">
        <f>SUM(D14:F14)</f>
        <v>123380601.33999999</v>
      </c>
      <c r="H14" s="21">
        <f>+G14+'[2]EVETOP 01'!$H$14</f>
        <v>247128827.94</v>
      </c>
      <c r="I14" s="25">
        <f>H14/B14</f>
        <v>1.0851764042068572</v>
      </c>
      <c r="J14" s="74"/>
    </row>
    <row r="15" spans="1:9" ht="16.5" customHeight="1">
      <c r="A15" s="23" t="s">
        <v>20</v>
      </c>
      <c r="B15" s="26"/>
      <c r="C15" s="21"/>
      <c r="D15" s="21"/>
      <c r="E15" s="21"/>
      <c r="F15" s="22"/>
      <c r="G15" s="21">
        <f>SUM(D15:F15)</f>
        <v>0</v>
      </c>
      <c r="H15" s="21"/>
      <c r="I15" s="25"/>
    </row>
    <row r="16" spans="1:10" ht="16.5" customHeight="1">
      <c r="A16" s="27" t="s">
        <v>21</v>
      </c>
      <c r="B16" s="28"/>
      <c r="C16" s="29"/>
      <c r="D16" s="29">
        <v>19778.2</v>
      </c>
      <c r="E16" s="30">
        <v>37179.75</v>
      </c>
      <c r="F16" s="30">
        <v>46009.17</v>
      </c>
      <c r="G16" s="29">
        <f>SUM(D16:F16)</f>
        <v>102967.12</v>
      </c>
      <c r="H16" s="29">
        <f>+G16+'[2]EVETOP 01'!$H$16</f>
        <v>4660361.51</v>
      </c>
      <c r="I16" s="31"/>
      <c r="J16" s="74"/>
    </row>
    <row r="17" spans="1:9" ht="8.25" customHeight="1">
      <c r="A17" s="32"/>
      <c r="B17" s="33"/>
      <c r="C17" s="34"/>
      <c r="D17" s="34"/>
      <c r="E17" s="34"/>
      <c r="F17" s="34"/>
      <c r="G17" s="34"/>
      <c r="H17" s="34"/>
      <c r="I17" s="32"/>
    </row>
    <row r="18" spans="1:9" ht="12.75">
      <c r="A18" s="35" t="s">
        <v>22</v>
      </c>
      <c r="B18" s="36">
        <f>SUM(B13:B16)</f>
        <v>227731479.4</v>
      </c>
      <c r="C18" s="37">
        <f>SUM(C13:C16)</f>
        <v>250489186.51000002</v>
      </c>
      <c r="D18" s="37">
        <f>SUM(D12:D16)</f>
        <v>26088346.439999998</v>
      </c>
      <c r="E18" s="37">
        <f>SUM(E12:E16)</f>
        <v>41602921.74</v>
      </c>
      <c r="F18" s="37">
        <f>SUM(F12:F16)</f>
        <v>93636289.77999999</v>
      </c>
      <c r="G18" s="37">
        <f>SUM(G12:G16)</f>
        <v>123483568.46</v>
      </c>
      <c r="H18" s="37">
        <f>SUM(H13:H16)</f>
        <v>251789189.45</v>
      </c>
      <c r="I18" s="38"/>
    </row>
    <row r="19" spans="1:9" ht="12" customHeight="1">
      <c r="A19" s="39"/>
      <c r="B19" s="39"/>
      <c r="C19" s="39"/>
      <c r="D19" s="40"/>
      <c r="E19" s="40"/>
      <c r="F19" s="40"/>
      <c r="G19" s="40"/>
      <c r="H19" s="131"/>
      <c r="I19" s="39"/>
    </row>
    <row r="20" spans="1:9" ht="12.75">
      <c r="A20" s="4" t="s">
        <v>23</v>
      </c>
      <c r="B20" s="39"/>
      <c r="C20" s="39"/>
      <c r="D20" s="131"/>
      <c r="E20" s="41"/>
      <c r="F20" s="41" t="s">
        <v>6</v>
      </c>
      <c r="G20" s="41"/>
      <c r="H20" s="41"/>
      <c r="I20" s="39"/>
    </row>
    <row r="21" spans="1:9" ht="12.75">
      <c r="A21" s="258" t="s">
        <v>7</v>
      </c>
      <c r="B21" s="260" t="s">
        <v>8</v>
      </c>
      <c r="C21" s="258" t="s">
        <v>9</v>
      </c>
      <c r="D21" s="42" t="s">
        <v>24</v>
      </c>
      <c r="E21" s="43"/>
      <c r="F21" s="44"/>
      <c r="G21" s="44"/>
      <c r="H21" s="45"/>
      <c r="I21" s="258" t="s">
        <v>25</v>
      </c>
    </row>
    <row r="22" spans="1:9" ht="12.75">
      <c r="A22" s="266"/>
      <c r="B22" s="261"/>
      <c r="C22" s="259"/>
      <c r="D22" s="46" t="str">
        <f>D11</f>
        <v>OCTUBRE</v>
      </c>
      <c r="E22" s="46" t="str">
        <f>E11</f>
        <v>NOVIEMBRE</v>
      </c>
      <c r="F22" s="46" t="str">
        <f>F11</f>
        <v>DICIEMBRE</v>
      </c>
      <c r="G22" s="47" t="s">
        <v>15</v>
      </c>
      <c r="H22" s="47" t="s">
        <v>16</v>
      </c>
      <c r="I22" s="259"/>
    </row>
    <row r="23" spans="1:9" ht="16.5" customHeight="1">
      <c r="A23" s="48" t="s">
        <v>26</v>
      </c>
      <c r="B23" s="48"/>
      <c r="C23" s="48"/>
      <c r="D23" s="49"/>
      <c r="E23" s="49"/>
      <c r="F23" s="49"/>
      <c r="G23" s="49"/>
      <c r="H23" s="49"/>
      <c r="I23" s="48"/>
    </row>
    <row r="24" spans="1:9" ht="16.5" customHeight="1">
      <c r="A24" s="23">
        <v>1000</v>
      </c>
      <c r="B24" s="20">
        <v>17552257.7</v>
      </c>
      <c r="C24" s="21">
        <f>'EVETOP-02'!D36</f>
        <v>17552257.7</v>
      </c>
      <c r="D24" s="21">
        <v>1450410.31</v>
      </c>
      <c r="E24" s="21">
        <v>2546053.14</v>
      </c>
      <c r="F24" s="21">
        <v>2643918.54</v>
      </c>
      <c r="G24" s="21">
        <f aca="true" t="shared" si="0" ref="G24:G32">SUM(D24:F24)</f>
        <v>6640381.99</v>
      </c>
      <c r="H24" s="21">
        <f>+G24+'[2]EVETOP 01'!$H$24</f>
        <v>19399427.229999997</v>
      </c>
      <c r="I24" s="25">
        <f>H24/B24</f>
        <v>1.1052382868102488</v>
      </c>
    </row>
    <row r="25" spans="1:9" ht="16.5" customHeight="1">
      <c r="A25" s="23">
        <v>2000</v>
      </c>
      <c r="B25" s="20">
        <v>2162362.5</v>
      </c>
      <c r="C25" s="21">
        <f>'EVETOP-02'!D52</f>
        <v>2040552.87</v>
      </c>
      <c r="D25" s="21">
        <v>208417.68</v>
      </c>
      <c r="E25" s="21">
        <v>140505.27</v>
      </c>
      <c r="F25" s="21">
        <v>236730.68</v>
      </c>
      <c r="G25" s="21">
        <f t="shared" si="0"/>
        <v>585653.6299999999</v>
      </c>
      <c r="H25" s="21">
        <f>+G25+'[2]EVETOP 01'!$H$25</f>
        <v>2177098.9</v>
      </c>
      <c r="I25" s="25">
        <v>0.2107459179485401</v>
      </c>
    </row>
    <row r="26" spans="1:9" ht="16.5" customHeight="1">
      <c r="A26" s="23">
        <v>3000</v>
      </c>
      <c r="B26" s="20">
        <v>4653939.2</v>
      </c>
      <c r="C26" s="21">
        <f>'EVETOP-02'!D86</f>
        <v>4103659.2800000003</v>
      </c>
      <c r="D26" s="21">
        <v>237022.99</v>
      </c>
      <c r="E26" s="21">
        <v>216341.11</v>
      </c>
      <c r="F26" s="21">
        <v>221838.88</v>
      </c>
      <c r="G26" s="21">
        <f t="shared" si="0"/>
        <v>675202.98</v>
      </c>
      <c r="H26" s="21">
        <f>+G26+'[2]EVETOP 01'!$H$26</f>
        <v>4103659.48</v>
      </c>
      <c r="I26" s="25">
        <f>H26/B26</f>
        <v>0.8817604407036516</v>
      </c>
    </row>
    <row r="27" spans="1:9" ht="16.5" customHeight="1">
      <c r="A27" s="23">
        <v>4000</v>
      </c>
      <c r="B27" s="20"/>
      <c r="C27" s="21"/>
      <c r="D27" s="21"/>
      <c r="E27" s="21"/>
      <c r="F27" s="21"/>
      <c r="G27" s="21">
        <f t="shared" si="0"/>
        <v>0</v>
      </c>
      <c r="H27" s="21">
        <f aca="true" t="shared" si="1" ref="H27:H32">G27</f>
        <v>0</v>
      </c>
      <c r="I27" s="25"/>
    </row>
    <row r="28" spans="1:10" ht="16.5" customHeight="1">
      <c r="A28" s="23">
        <v>5000</v>
      </c>
      <c r="B28" s="20">
        <v>0</v>
      </c>
      <c r="C28" s="21">
        <f>'EVETOP-02'!D94</f>
        <v>429936.83999999997</v>
      </c>
      <c r="D28" s="21">
        <v>2424.4</v>
      </c>
      <c r="E28" s="21">
        <v>0</v>
      </c>
      <c r="F28" s="21">
        <v>0</v>
      </c>
      <c r="G28" s="21">
        <f t="shared" si="0"/>
        <v>2424.4</v>
      </c>
      <c r="H28" s="21">
        <f>+G28+'[2]EVETOP 01'!$H$28</f>
        <v>429936.84</v>
      </c>
      <c r="I28" s="25">
        <v>1</v>
      </c>
      <c r="J28" s="74"/>
    </row>
    <row r="29" spans="1:10" ht="16.5" customHeight="1">
      <c r="A29" s="23">
        <v>6000</v>
      </c>
      <c r="B29" s="20">
        <v>203362920</v>
      </c>
      <c r="C29" s="21">
        <f>'EVETOP-02'!D104</f>
        <v>225601836.3</v>
      </c>
      <c r="D29" s="21">
        <v>2466850.11</v>
      </c>
      <c r="E29" s="21">
        <v>28232487.27</v>
      </c>
      <c r="F29" s="21">
        <f>4985868.65+5959821.05+6303170.94+26515342.61</f>
        <v>43764203.25</v>
      </c>
      <c r="G29" s="21">
        <f t="shared" si="0"/>
        <v>74463540.63</v>
      </c>
      <c r="H29" s="21">
        <f>+G29+'[2]EVETOP 01'!$H$29</f>
        <v>190835752.47</v>
      </c>
      <c r="I29" s="25">
        <f>H29/B29</f>
        <v>0.9383999426739151</v>
      </c>
      <c r="J29" s="74"/>
    </row>
    <row r="30" spans="1:10" ht="16.5" customHeight="1">
      <c r="A30" s="23">
        <v>7000</v>
      </c>
      <c r="B30" s="20"/>
      <c r="C30" s="21"/>
      <c r="D30" s="21"/>
      <c r="E30" s="21"/>
      <c r="F30" s="21"/>
      <c r="G30" s="21">
        <f t="shared" si="0"/>
        <v>0</v>
      </c>
      <c r="H30" s="21">
        <f t="shared" si="1"/>
        <v>0</v>
      </c>
      <c r="I30" s="25"/>
      <c r="J30" s="74"/>
    </row>
    <row r="31" spans="1:9" ht="16.5" customHeight="1">
      <c r="A31" s="23">
        <v>8000</v>
      </c>
      <c r="B31" s="20"/>
      <c r="C31" s="20"/>
      <c r="D31" s="20"/>
      <c r="E31" s="20"/>
      <c r="F31" s="20"/>
      <c r="G31" s="20">
        <f t="shared" si="0"/>
        <v>0</v>
      </c>
      <c r="H31" s="21">
        <f t="shared" si="1"/>
        <v>0</v>
      </c>
      <c r="I31" s="25"/>
    </row>
    <row r="32" spans="1:9" ht="16.5" customHeight="1">
      <c r="A32" s="50">
        <v>9000</v>
      </c>
      <c r="B32" s="28"/>
      <c r="C32" s="28"/>
      <c r="D32" s="28"/>
      <c r="E32" s="28"/>
      <c r="F32" s="28"/>
      <c r="G32" s="28">
        <f t="shared" si="0"/>
        <v>0</v>
      </c>
      <c r="H32" s="29">
        <f t="shared" si="1"/>
        <v>0</v>
      </c>
      <c r="I32" s="31">
        <v>0</v>
      </c>
    </row>
    <row r="33" spans="1:9" ht="9" customHeight="1">
      <c r="A33" s="39"/>
      <c r="B33" s="39"/>
      <c r="C33" s="39"/>
      <c r="D33" s="39"/>
      <c r="E33" s="39"/>
      <c r="F33" s="39"/>
      <c r="G33" s="39"/>
      <c r="H33" s="39"/>
      <c r="I33" s="39"/>
    </row>
    <row r="34" spans="1:10" ht="12.75">
      <c r="A34" s="35" t="s">
        <v>22</v>
      </c>
      <c r="B34" s="36">
        <f aca="true" t="shared" si="2" ref="B34:H34">SUM(B24:B32)</f>
        <v>227731479.4</v>
      </c>
      <c r="C34" s="37">
        <f t="shared" si="2"/>
        <v>249728242.99</v>
      </c>
      <c r="D34" s="36">
        <f t="shared" si="2"/>
        <v>4365125.49</v>
      </c>
      <c r="E34" s="36">
        <f t="shared" si="2"/>
        <v>31135386.79</v>
      </c>
      <c r="F34" s="36">
        <f t="shared" si="2"/>
        <v>46866691.35</v>
      </c>
      <c r="G34" s="36">
        <f t="shared" si="2"/>
        <v>82367203.63</v>
      </c>
      <c r="H34" s="37">
        <f t="shared" si="2"/>
        <v>216945874.92</v>
      </c>
      <c r="I34" s="51">
        <f>H34/B34</f>
        <v>0.9526389390328616</v>
      </c>
      <c r="J34" s="74"/>
    </row>
    <row r="35" spans="1:9" ht="10.5" customHeight="1">
      <c r="A35" s="39"/>
      <c r="B35" s="39"/>
      <c r="C35" s="39"/>
      <c r="D35" s="39"/>
      <c r="E35" s="39"/>
      <c r="F35" s="39"/>
      <c r="G35" s="39"/>
      <c r="H35" s="39"/>
      <c r="I35" s="39"/>
    </row>
    <row r="36" spans="1:9" ht="12.75">
      <c r="A36" s="38" t="s">
        <v>27</v>
      </c>
      <c r="B36" s="52"/>
      <c r="C36" s="52"/>
      <c r="D36" s="53">
        <f>D18-D34</f>
        <v>21723220.949999996</v>
      </c>
      <c r="E36" s="53">
        <f>E18-E34</f>
        <v>10467534.950000003</v>
      </c>
      <c r="F36" s="53">
        <f>F18-F34</f>
        <v>46769598.429999985</v>
      </c>
      <c r="G36" s="53">
        <f>G18-G34</f>
        <v>41116364.83</v>
      </c>
      <c r="H36" s="52"/>
      <c r="I36" s="52"/>
    </row>
    <row r="37" spans="1:9" ht="12.75">
      <c r="A37" s="54"/>
      <c r="B37" s="54"/>
      <c r="F37" s="54"/>
      <c r="G37" s="54"/>
      <c r="H37" s="54"/>
      <c r="I37" s="54"/>
    </row>
    <row r="38" spans="1:9" ht="12.75">
      <c r="A38" s="54"/>
      <c r="B38" s="55"/>
      <c r="C38" s="225"/>
      <c r="D38" s="55"/>
      <c r="E38" s="55"/>
      <c r="F38" s="54"/>
      <c r="G38" s="54"/>
      <c r="H38" s="55"/>
      <c r="I38" s="55"/>
    </row>
    <row r="39" spans="1:9" ht="12.75">
      <c r="A39" s="54"/>
      <c r="B39" s="54"/>
      <c r="C39" s="55"/>
      <c r="D39" s="54"/>
      <c r="E39" s="54"/>
      <c r="F39" s="54"/>
      <c r="G39" s="54"/>
      <c r="H39" s="55"/>
      <c r="I39" s="54"/>
    </row>
    <row r="40" spans="1:9" ht="12.75">
      <c r="A40" s="54"/>
      <c r="B40" s="54"/>
      <c r="C40" s="55"/>
      <c r="D40" s="54"/>
      <c r="E40" s="54"/>
      <c r="F40" s="54"/>
      <c r="G40" s="54"/>
      <c r="H40" s="54"/>
      <c r="I40" s="54"/>
    </row>
    <row r="41" ht="12.75">
      <c r="C41" s="74"/>
    </row>
    <row r="42" spans="1:9" ht="12.75">
      <c r="A42" s="4" t="s">
        <v>28</v>
      </c>
      <c r="B42" s="39"/>
      <c r="C42" s="39"/>
      <c r="D42" s="39"/>
      <c r="E42" s="39"/>
      <c r="F42" s="39" t="s">
        <v>6</v>
      </c>
      <c r="G42" s="39"/>
      <c r="H42" s="39"/>
      <c r="I42" s="39"/>
    </row>
    <row r="43" spans="1:9" ht="12.75">
      <c r="A43" s="258" t="s">
        <v>7</v>
      </c>
      <c r="B43" s="260" t="s">
        <v>8</v>
      </c>
      <c r="C43" s="258" t="s">
        <v>9</v>
      </c>
      <c r="D43" s="6" t="s">
        <v>24</v>
      </c>
      <c r="E43" s="7"/>
      <c r="F43" s="8"/>
      <c r="G43" s="8"/>
      <c r="H43" s="9"/>
      <c r="I43" s="258" t="s">
        <v>25</v>
      </c>
    </row>
    <row r="44" spans="1:9" ht="12.75">
      <c r="A44" s="266"/>
      <c r="B44" s="261"/>
      <c r="C44" s="259"/>
      <c r="D44" s="10" t="str">
        <f>D22</f>
        <v>OCTUBRE</v>
      </c>
      <c r="E44" s="10" t="str">
        <f>E22</f>
        <v>NOVIEMBRE</v>
      </c>
      <c r="F44" s="11" t="str">
        <f>F22</f>
        <v>DICIEMBRE</v>
      </c>
      <c r="G44" s="11" t="s">
        <v>15</v>
      </c>
      <c r="H44" s="11" t="s">
        <v>16</v>
      </c>
      <c r="I44" s="259"/>
    </row>
    <row r="45" spans="1:9" ht="12.75">
      <c r="A45" s="48" t="s">
        <v>26</v>
      </c>
      <c r="B45" s="48"/>
      <c r="C45" s="48"/>
      <c r="D45" s="48"/>
      <c r="E45" s="48"/>
      <c r="F45" s="48"/>
      <c r="G45" s="48"/>
      <c r="H45" s="48"/>
      <c r="I45" s="48"/>
    </row>
    <row r="46" spans="1:9" ht="12.75">
      <c r="A46" s="23">
        <v>1000</v>
      </c>
      <c r="B46" s="56">
        <v>0</v>
      </c>
      <c r="C46" s="56">
        <v>0</v>
      </c>
      <c r="D46" s="56">
        <v>0</v>
      </c>
      <c r="E46" s="56">
        <v>0</v>
      </c>
      <c r="F46" s="56">
        <v>0</v>
      </c>
      <c r="G46" s="56">
        <f>SUM(D46:F46)</f>
        <v>0</v>
      </c>
      <c r="H46" s="56">
        <f>G46</f>
        <v>0</v>
      </c>
      <c r="I46" s="23"/>
    </row>
    <row r="47" spans="1:9" ht="12.75">
      <c r="A47" s="23">
        <v>2000</v>
      </c>
      <c r="B47" s="56">
        <v>0</v>
      </c>
      <c r="C47" s="56">
        <v>0</v>
      </c>
      <c r="D47" s="56">
        <v>0</v>
      </c>
      <c r="E47" s="56">
        <v>0</v>
      </c>
      <c r="F47" s="56">
        <v>0</v>
      </c>
      <c r="G47" s="56">
        <f aca="true" t="shared" si="3" ref="G47:G54">SUM(D47:F47)</f>
        <v>0</v>
      </c>
      <c r="H47" s="56">
        <f aca="true" t="shared" si="4" ref="H47:H54">G47</f>
        <v>0</v>
      </c>
      <c r="I47" s="23"/>
    </row>
    <row r="48" spans="1:9" ht="12.75">
      <c r="A48" s="23">
        <v>3000</v>
      </c>
      <c r="B48" s="56">
        <v>0</v>
      </c>
      <c r="C48" s="56">
        <v>0</v>
      </c>
      <c r="D48" s="56">
        <v>0</v>
      </c>
      <c r="E48" s="56">
        <v>0</v>
      </c>
      <c r="F48" s="56">
        <v>0</v>
      </c>
      <c r="G48" s="56">
        <f t="shared" si="3"/>
        <v>0</v>
      </c>
      <c r="H48" s="56">
        <f t="shared" si="4"/>
        <v>0</v>
      </c>
      <c r="I48" s="23"/>
    </row>
    <row r="49" spans="1:9" ht="12.75">
      <c r="A49" s="23">
        <v>4000</v>
      </c>
      <c r="B49" s="56">
        <v>0</v>
      </c>
      <c r="C49" s="56">
        <v>0</v>
      </c>
      <c r="D49" s="56">
        <v>0</v>
      </c>
      <c r="E49" s="56">
        <v>0</v>
      </c>
      <c r="F49" s="56">
        <v>0</v>
      </c>
      <c r="G49" s="56">
        <f t="shared" si="3"/>
        <v>0</v>
      </c>
      <c r="H49" s="56">
        <f t="shared" si="4"/>
        <v>0</v>
      </c>
      <c r="I49" s="23"/>
    </row>
    <row r="50" spans="1:9" ht="12.75">
      <c r="A50" s="23">
        <v>5000</v>
      </c>
      <c r="B50" s="56">
        <v>0</v>
      </c>
      <c r="C50" s="56">
        <v>0</v>
      </c>
      <c r="D50" s="56">
        <v>0</v>
      </c>
      <c r="E50" s="56">
        <v>0</v>
      </c>
      <c r="F50" s="56">
        <v>0</v>
      </c>
      <c r="G50" s="56">
        <f t="shared" si="3"/>
        <v>0</v>
      </c>
      <c r="H50" s="56">
        <f t="shared" si="4"/>
        <v>0</v>
      </c>
      <c r="I50" s="23"/>
    </row>
    <row r="51" spans="1:9" ht="12.75">
      <c r="A51" s="23">
        <v>6000</v>
      </c>
      <c r="B51" s="56">
        <v>0</v>
      </c>
      <c r="C51" s="56">
        <v>0</v>
      </c>
      <c r="D51" s="56">
        <v>0</v>
      </c>
      <c r="E51" s="56">
        <v>0</v>
      </c>
      <c r="F51" s="56">
        <v>0</v>
      </c>
      <c r="G51" s="56">
        <f t="shared" si="3"/>
        <v>0</v>
      </c>
      <c r="H51" s="56">
        <f t="shared" si="4"/>
        <v>0</v>
      </c>
      <c r="I51" s="23"/>
    </row>
    <row r="52" spans="1:9" ht="12.75">
      <c r="A52" s="23">
        <v>7000</v>
      </c>
      <c r="B52" s="56">
        <v>0</v>
      </c>
      <c r="C52" s="56">
        <v>0</v>
      </c>
      <c r="D52" s="56">
        <v>0</v>
      </c>
      <c r="E52" s="56">
        <v>0</v>
      </c>
      <c r="F52" s="56">
        <v>0</v>
      </c>
      <c r="G52" s="56">
        <f t="shared" si="3"/>
        <v>0</v>
      </c>
      <c r="H52" s="56">
        <f t="shared" si="4"/>
        <v>0</v>
      </c>
      <c r="I52" s="23"/>
    </row>
    <row r="53" spans="1:9" ht="12.75">
      <c r="A53" s="23">
        <v>8000</v>
      </c>
      <c r="B53" s="56">
        <v>0</v>
      </c>
      <c r="C53" s="56">
        <v>0</v>
      </c>
      <c r="D53" s="56">
        <v>0</v>
      </c>
      <c r="E53" s="56">
        <v>0</v>
      </c>
      <c r="F53" s="56">
        <v>0</v>
      </c>
      <c r="G53" s="56">
        <f t="shared" si="3"/>
        <v>0</v>
      </c>
      <c r="H53" s="56">
        <f t="shared" si="4"/>
        <v>0</v>
      </c>
      <c r="I53" s="23"/>
    </row>
    <row r="54" spans="1:9" ht="12.75">
      <c r="A54" s="50">
        <v>9000</v>
      </c>
      <c r="B54" s="57">
        <v>0</v>
      </c>
      <c r="C54" s="57">
        <v>0</v>
      </c>
      <c r="D54" s="57">
        <v>0</v>
      </c>
      <c r="E54" s="57">
        <v>0</v>
      </c>
      <c r="F54" s="57">
        <v>0</v>
      </c>
      <c r="G54" s="56">
        <f t="shared" si="3"/>
        <v>0</v>
      </c>
      <c r="H54" s="56">
        <f t="shared" si="4"/>
        <v>0</v>
      </c>
      <c r="I54" s="50"/>
    </row>
    <row r="55" spans="1:9" ht="12.75">
      <c r="A55" s="32"/>
      <c r="B55" s="58"/>
      <c r="C55" s="58"/>
      <c r="D55" s="58"/>
      <c r="E55" s="58"/>
      <c r="F55" s="58"/>
      <c r="G55" s="58"/>
      <c r="H55" s="58"/>
      <c r="I55" s="32"/>
    </row>
    <row r="56" spans="1:9" ht="12.75">
      <c r="A56" s="59" t="s">
        <v>22</v>
      </c>
      <c r="B56" s="60">
        <f>SUM(B46:B54)</f>
        <v>0</v>
      </c>
      <c r="C56" s="60">
        <f aca="true" t="shared" si="5" ref="C56:H56">SUM(C46:C54)</f>
        <v>0</v>
      </c>
      <c r="D56" s="60">
        <f t="shared" si="5"/>
        <v>0</v>
      </c>
      <c r="E56" s="60">
        <f t="shared" si="5"/>
        <v>0</v>
      </c>
      <c r="F56" s="60">
        <f t="shared" si="5"/>
        <v>0</v>
      </c>
      <c r="G56" s="60">
        <f t="shared" si="5"/>
        <v>0</v>
      </c>
      <c r="H56" s="60">
        <f t="shared" si="5"/>
        <v>0</v>
      </c>
      <c r="I56" s="61"/>
    </row>
    <row r="57" spans="1:9" ht="12.75">
      <c r="A57" s="32"/>
      <c r="B57" s="32"/>
      <c r="C57" s="32"/>
      <c r="D57" s="32"/>
      <c r="E57" s="32"/>
      <c r="F57" s="32"/>
      <c r="G57" s="32"/>
      <c r="H57" s="32"/>
      <c r="I57" s="32"/>
    </row>
    <row r="58" spans="1:3" ht="12.75">
      <c r="A58" s="62"/>
      <c r="B58" s="62"/>
      <c r="C58" s="62"/>
    </row>
    <row r="59" spans="1:9" ht="12.75">
      <c r="A59" s="268"/>
      <c r="B59" s="268"/>
      <c r="C59" s="268"/>
      <c r="F59" s="269" t="s">
        <v>30</v>
      </c>
      <c r="G59" s="269"/>
      <c r="H59" s="269"/>
      <c r="I59" s="62"/>
    </row>
    <row r="60" spans="1:9" ht="12.75">
      <c r="A60" s="270"/>
      <c r="B60" s="270"/>
      <c r="C60" s="270"/>
      <c r="F60" s="270" t="s">
        <v>31</v>
      </c>
      <c r="G60" s="270"/>
      <c r="H60" s="270"/>
      <c r="I60" s="64"/>
    </row>
    <row r="61" spans="1:9" ht="27.75" customHeight="1">
      <c r="A61" s="267"/>
      <c r="B61" s="267"/>
      <c r="C61" s="267"/>
      <c r="F61" s="267" t="s">
        <v>32</v>
      </c>
      <c r="G61" s="267"/>
      <c r="H61" s="267"/>
      <c r="I61" s="64"/>
    </row>
    <row r="64" spans="2:8" ht="12.75">
      <c r="B64" s="134"/>
      <c r="C64" s="134"/>
      <c r="D64" s="134"/>
      <c r="E64" s="134"/>
      <c r="F64" s="134"/>
      <c r="G64" s="134"/>
      <c r="H64" s="134"/>
    </row>
    <row r="65" spans="2:8" ht="12.75">
      <c r="B65" s="134"/>
      <c r="C65" s="134"/>
      <c r="D65" s="134"/>
      <c r="E65" s="134"/>
      <c r="F65" s="134"/>
      <c r="G65" s="134"/>
      <c r="H65" s="134"/>
    </row>
    <row r="66" spans="2:8" ht="12.75">
      <c r="B66" s="232"/>
      <c r="C66" s="233"/>
      <c r="D66" s="232"/>
      <c r="E66" s="232"/>
      <c r="F66" s="134"/>
      <c r="G66" s="134"/>
      <c r="H66" s="134"/>
    </row>
    <row r="67" spans="2:8" ht="12.75">
      <c r="B67" s="234"/>
      <c r="C67" s="235"/>
      <c r="D67" s="235"/>
      <c r="E67" s="232"/>
      <c r="F67" s="134"/>
      <c r="G67" s="134"/>
      <c r="H67" s="134"/>
    </row>
    <row r="68" spans="2:8" ht="12.75">
      <c r="B68" s="232"/>
      <c r="C68" s="232"/>
      <c r="D68" s="232"/>
      <c r="E68" s="232"/>
      <c r="F68" s="134"/>
      <c r="G68" s="134"/>
      <c r="H68" s="134"/>
    </row>
    <row r="69" spans="2:8" ht="12.75">
      <c r="B69" s="232"/>
      <c r="C69" s="233"/>
      <c r="D69" s="232"/>
      <c r="E69" s="232"/>
      <c r="F69" s="134"/>
      <c r="G69" s="134"/>
      <c r="H69" s="134"/>
    </row>
    <row r="70" spans="2:8" ht="12.75">
      <c r="B70" s="233"/>
      <c r="C70" s="232"/>
      <c r="D70" s="232"/>
      <c r="E70" s="232"/>
      <c r="F70" s="134"/>
      <c r="G70" s="134"/>
      <c r="H70" s="134"/>
    </row>
    <row r="71" spans="2:8" ht="12.75">
      <c r="B71" s="233"/>
      <c r="C71" s="232"/>
      <c r="D71" s="232"/>
      <c r="E71" s="232"/>
      <c r="F71" s="134"/>
      <c r="G71" s="134"/>
      <c r="H71" s="134"/>
    </row>
    <row r="72" spans="2:8" ht="12.75">
      <c r="B72" s="233"/>
      <c r="C72" s="233"/>
      <c r="D72" s="232"/>
      <c r="E72" s="232"/>
      <c r="F72" s="134"/>
      <c r="G72" s="134"/>
      <c r="H72" s="134"/>
    </row>
    <row r="73" spans="2:8" ht="12.75">
      <c r="B73" s="233"/>
      <c r="C73" s="232"/>
      <c r="D73" s="232"/>
      <c r="E73" s="232"/>
      <c r="F73" s="134"/>
      <c r="G73" s="134"/>
      <c r="H73" s="134"/>
    </row>
    <row r="74" spans="2:8" ht="12.75">
      <c r="B74" s="233"/>
      <c r="C74" s="232"/>
      <c r="D74" s="232"/>
      <c r="E74" s="232"/>
      <c r="F74" s="134"/>
      <c r="G74" s="134"/>
      <c r="H74" s="134"/>
    </row>
    <row r="75" spans="2:8" ht="12.75">
      <c r="B75" s="233"/>
      <c r="C75" s="232"/>
      <c r="D75" s="232"/>
      <c r="E75" s="232"/>
      <c r="F75" s="134"/>
      <c r="G75" s="134"/>
      <c r="H75" s="134"/>
    </row>
    <row r="76" spans="2:8" ht="12.75">
      <c r="B76" s="233"/>
      <c r="C76" s="232"/>
      <c r="D76" s="232"/>
      <c r="E76" s="232"/>
      <c r="F76" s="134"/>
      <c r="G76" s="134"/>
      <c r="H76" s="134"/>
    </row>
    <row r="77" spans="2:8" ht="12.75">
      <c r="B77" s="233"/>
      <c r="C77" s="232"/>
      <c r="D77" s="232"/>
      <c r="E77" s="232"/>
      <c r="F77" s="134"/>
      <c r="G77" s="134"/>
      <c r="H77" s="134"/>
    </row>
    <row r="78" spans="2:5" ht="12.75">
      <c r="B78" s="232"/>
      <c r="C78" s="232"/>
      <c r="D78" s="232"/>
      <c r="E78" s="232"/>
    </row>
  </sheetData>
  <sheetProtection/>
  <mergeCells count="23">
    <mergeCell ref="A61:C61"/>
    <mergeCell ref="F61:H61"/>
    <mergeCell ref="A59:C59"/>
    <mergeCell ref="F59:H59"/>
    <mergeCell ref="A60:C60"/>
    <mergeCell ref="F60:H60"/>
    <mergeCell ref="A43:A44"/>
    <mergeCell ref="B43:B44"/>
    <mergeCell ref="C43:C44"/>
    <mergeCell ref="I43:I44"/>
    <mergeCell ref="A21:A22"/>
    <mergeCell ref="B21:B22"/>
    <mergeCell ref="C21:C22"/>
    <mergeCell ref="I21:I22"/>
    <mergeCell ref="A7:I7"/>
    <mergeCell ref="A10:A11"/>
    <mergeCell ref="B10:B11"/>
    <mergeCell ref="C10:C11"/>
    <mergeCell ref="I10:I11"/>
    <mergeCell ref="A2:I2"/>
    <mergeCell ref="A3:I3"/>
    <mergeCell ref="A4:I4"/>
    <mergeCell ref="G6:I6"/>
  </mergeCells>
  <printOptions/>
  <pageMargins left="0.98" right="0.33" top="0.68" bottom="1.67" header="0" footer="0"/>
  <pageSetup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7"/>
  <sheetViews>
    <sheetView view="pageBreakPreview" zoomScale="60" zoomScalePageLayoutView="0" workbookViewId="0" topLeftCell="A95">
      <selection activeCell="C101" sqref="C101"/>
    </sheetView>
  </sheetViews>
  <sheetFormatPr defaultColWidth="11.421875" defaultRowHeight="12.75"/>
  <cols>
    <col min="2" max="2" width="7.00390625" style="0" customWidth="1"/>
    <col min="3" max="3" width="74.421875" style="230" customWidth="1"/>
    <col min="4" max="4" width="14.28125" style="0" bestFit="1" customWidth="1"/>
    <col min="5" max="5" width="11.421875" style="63" customWidth="1"/>
    <col min="6" max="6" width="13.28125" style="0" bestFit="1" customWidth="1"/>
  </cols>
  <sheetData>
    <row r="1" spans="1:5" ht="12.75">
      <c r="A1" s="264" t="s">
        <v>1</v>
      </c>
      <c r="B1" s="264"/>
      <c r="C1" s="264"/>
      <c r="D1" s="264"/>
      <c r="E1" s="264"/>
    </row>
    <row r="2" spans="1:5" ht="12.75">
      <c r="A2" s="264" t="s">
        <v>2</v>
      </c>
      <c r="B2" s="264"/>
      <c r="C2" s="264"/>
      <c r="D2" s="264"/>
      <c r="E2" s="264"/>
    </row>
    <row r="3" spans="1:5" ht="12.75">
      <c r="A3" s="264" t="s">
        <v>3</v>
      </c>
      <c r="B3" s="264"/>
      <c r="C3" s="264"/>
      <c r="D3" s="264"/>
      <c r="E3" s="264"/>
    </row>
    <row r="4" spans="1:5" ht="12.75">
      <c r="A4" s="264" t="s">
        <v>219</v>
      </c>
      <c r="B4" s="264"/>
      <c r="C4" s="264"/>
      <c r="D4" s="264"/>
      <c r="E4" s="264"/>
    </row>
    <row r="6" spans="1:5" s="136" customFormat="1" ht="30.75" customHeight="1">
      <c r="A6" s="238" t="s">
        <v>91</v>
      </c>
      <c r="B6" s="239" t="s">
        <v>33</v>
      </c>
      <c r="C6" s="240" t="s">
        <v>92</v>
      </c>
      <c r="D6" s="239" t="s">
        <v>93</v>
      </c>
      <c r="E6" s="239" t="s">
        <v>94</v>
      </c>
    </row>
    <row r="7" spans="1:9" s="200" customFormat="1" ht="22.5">
      <c r="A7" s="241">
        <v>40821.55033564815</v>
      </c>
      <c r="B7" s="242"/>
      <c r="C7" s="243" t="s">
        <v>169</v>
      </c>
      <c r="D7" s="244">
        <v>11439.76</v>
      </c>
      <c r="E7" s="245">
        <v>49621</v>
      </c>
      <c r="F7" s="207"/>
      <c r="G7" s="206"/>
      <c r="H7" s="206"/>
      <c r="I7" s="206"/>
    </row>
    <row r="8" spans="1:9" s="200" customFormat="1" ht="12.75">
      <c r="A8" s="246"/>
      <c r="B8" s="242"/>
      <c r="C8" s="208"/>
      <c r="D8" s="206"/>
      <c r="E8" s="247"/>
      <c r="F8" s="206"/>
      <c r="G8" s="206"/>
      <c r="H8" s="206"/>
      <c r="I8" s="206"/>
    </row>
    <row r="9" spans="1:9" s="200" customFormat="1" ht="22.5">
      <c r="A9" s="241">
        <v>40821.55048611111</v>
      </c>
      <c r="B9" s="242"/>
      <c r="C9" s="243" t="s">
        <v>170</v>
      </c>
      <c r="D9" s="244">
        <v>2215.6</v>
      </c>
      <c r="E9" s="245">
        <v>49629</v>
      </c>
      <c r="F9" s="207"/>
      <c r="G9" s="206"/>
      <c r="H9" s="206"/>
      <c r="I9" s="206"/>
    </row>
    <row r="10" spans="1:9" s="200" customFormat="1" ht="12.75">
      <c r="A10" s="246"/>
      <c r="B10" s="242"/>
      <c r="C10" s="208"/>
      <c r="D10" s="206"/>
      <c r="E10" s="247"/>
      <c r="F10" s="206"/>
      <c r="G10" s="206"/>
      <c r="H10" s="206"/>
      <c r="I10" s="206"/>
    </row>
    <row r="11" spans="1:9" s="200" customFormat="1" ht="12.75">
      <c r="A11" s="241">
        <v>40827.39806712963</v>
      </c>
      <c r="B11" s="242"/>
      <c r="C11" s="243" t="s">
        <v>171</v>
      </c>
      <c r="D11" s="244">
        <v>289639.56</v>
      </c>
      <c r="E11" s="245">
        <v>50149</v>
      </c>
      <c r="F11" s="207"/>
      <c r="G11" s="206"/>
      <c r="H11" s="206"/>
      <c r="I11" s="206"/>
    </row>
    <row r="12" spans="1:9" s="200" customFormat="1" ht="12.75">
      <c r="A12" s="246"/>
      <c r="B12" s="242"/>
      <c r="C12" s="208"/>
      <c r="D12" s="206"/>
      <c r="E12" s="247"/>
      <c r="F12" s="206"/>
      <c r="G12" s="206"/>
      <c r="H12" s="206"/>
      <c r="I12" s="206"/>
    </row>
    <row r="13" spans="1:9" s="200" customFormat="1" ht="22.5">
      <c r="A13" s="241">
        <v>40827.54900462963</v>
      </c>
      <c r="B13" s="242"/>
      <c r="C13" s="243" t="s">
        <v>172</v>
      </c>
      <c r="D13" s="244">
        <v>278808.79</v>
      </c>
      <c r="E13" s="245">
        <v>50407</v>
      </c>
      <c r="F13" s="207"/>
      <c r="G13" s="206"/>
      <c r="H13" s="206"/>
      <c r="I13" s="206"/>
    </row>
    <row r="14" spans="1:9" s="200" customFormat="1" ht="12.75">
      <c r="A14" s="246"/>
      <c r="B14" s="242"/>
      <c r="C14" s="208"/>
      <c r="D14" s="206"/>
      <c r="E14" s="247"/>
      <c r="F14" s="206"/>
      <c r="G14" s="206"/>
      <c r="H14" s="206"/>
      <c r="I14" s="206"/>
    </row>
    <row r="15" spans="1:9" s="137" customFormat="1" ht="12.75">
      <c r="A15" s="241">
        <v>40834.50646990741</v>
      </c>
      <c r="B15" s="248"/>
      <c r="C15" s="243" t="s">
        <v>173</v>
      </c>
      <c r="D15" s="244">
        <v>151210.54</v>
      </c>
      <c r="E15" s="245">
        <v>51576</v>
      </c>
      <c r="F15" s="207"/>
      <c r="G15" s="206"/>
      <c r="H15" s="206"/>
      <c r="I15" s="206"/>
    </row>
    <row r="16" spans="1:9" s="137" customFormat="1" ht="12.75">
      <c r="A16" s="246"/>
      <c r="B16" s="248"/>
      <c r="C16" s="208"/>
      <c r="D16" s="206"/>
      <c r="E16" s="247"/>
      <c r="F16" s="206"/>
      <c r="G16" s="206"/>
      <c r="H16" s="206"/>
      <c r="I16" s="206"/>
    </row>
    <row r="17" spans="1:9" s="137" customFormat="1" ht="12.75">
      <c r="A17" s="241">
        <v>40840.42181712963</v>
      </c>
      <c r="B17" s="248"/>
      <c r="C17" s="243" t="s">
        <v>174</v>
      </c>
      <c r="D17" s="244">
        <v>291313.33</v>
      </c>
      <c r="E17" s="245">
        <v>52723</v>
      </c>
      <c r="F17" s="207"/>
      <c r="G17" s="206"/>
      <c r="H17" s="206"/>
      <c r="I17" s="206"/>
    </row>
    <row r="18" spans="1:9" s="137" customFormat="1" ht="12.75">
      <c r="A18" s="246"/>
      <c r="B18" s="248"/>
      <c r="C18" s="208"/>
      <c r="D18" s="206"/>
      <c r="E18" s="247"/>
      <c r="F18" s="206"/>
      <c r="G18" s="206"/>
      <c r="H18" s="206"/>
      <c r="I18" s="206"/>
    </row>
    <row r="19" spans="1:9" s="137" customFormat="1" ht="22.5">
      <c r="A19" s="241">
        <v>40840.60387731482</v>
      </c>
      <c r="B19" s="248"/>
      <c r="C19" s="243" t="s">
        <v>175</v>
      </c>
      <c r="D19" s="244">
        <v>284222.41</v>
      </c>
      <c r="E19" s="245">
        <v>52763</v>
      </c>
      <c r="F19" s="207"/>
      <c r="G19" s="206"/>
      <c r="H19" s="206"/>
      <c r="I19" s="206"/>
    </row>
    <row r="20" spans="1:9" s="137" customFormat="1" ht="12.75">
      <c r="A20" s="246"/>
      <c r="B20" s="248"/>
      <c r="C20" s="208"/>
      <c r="D20" s="206"/>
      <c r="E20" s="247"/>
      <c r="F20" s="206"/>
      <c r="G20" s="206"/>
      <c r="H20" s="206"/>
      <c r="I20" s="206"/>
    </row>
    <row r="21" spans="1:9" s="137" customFormat="1" ht="12.75">
      <c r="A21" s="241">
        <v>40856.57135416667</v>
      </c>
      <c r="B21" s="248"/>
      <c r="C21" s="243" t="s">
        <v>176</v>
      </c>
      <c r="D21" s="244">
        <v>285441.48</v>
      </c>
      <c r="E21" s="245">
        <v>55195</v>
      </c>
      <c r="F21" s="207"/>
      <c r="G21" s="206"/>
      <c r="H21" s="206"/>
      <c r="I21" s="206"/>
    </row>
    <row r="22" spans="1:9" s="63" customFormat="1" ht="12.75">
      <c r="A22" s="246"/>
      <c r="B22" s="236"/>
      <c r="C22" s="208"/>
      <c r="D22" s="206"/>
      <c r="E22" s="247"/>
      <c r="F22" s="206"/>
      <c r="G22" s="206"/>
      <c r="H22" s="206"/>
      <c r="I22" s="206"/>
    </row>
    <row r="23" spans="1:9" ht="22.5">
      <c r="A23" s="241">
        <v>40857.38018518518</v>
      </c>
      <c r="B23" s="62"/>
      <c r="C23" s="243" t="s">
        <v>177</v>
      </c>
      <c r="D23" s="244">
        <v>286508.72</v>
      </c>
      <c r="E23" s="245">
        <v>55409</v>
      </c>
      <c r="F23" s="207"/>
      <c r="G23" s="206"/>
      <c r="H23" s="206"/>
      <c r="I23" s="206"/>
    </row>
    <row r="24" spans="1:9" ht="12.75">
      <c r="A24" s="246"/>
      <c r="B24" s="62"/>
      <c r="C24" s="208"/>
      <c r="D24" s="206"/>
      <c r="E24" s="247"/>
      <c r="F24" s="206"/>
      <c r="G24" s="206"/>
      <c r="H24" s="206"/>
      <c r="I24" s="206"/>
    </row>
    <row r="25" spans="1:9" ht="12.75">
      <c r="A25" s="241">
        <v>40863.59012731481</v>
      </c>
      <c r="B25" s="62"/>
      <c r="C25" s="243" t="s">
        <v>178</v>
      </c>
      <c r="D25" s="244">
        <v>391066.08</v>
      </c>
      <c r="E25" s="245">
        <v>56198</v>
      </c>
      <c r="F25" s="207"/>
      <c r="G25" s="206"/>
      <c r="H25" s="206"/>
      <c r="I25" s="206"/>
    </row>
    <row r="26" spans="1:9" ht="12.75">
      <c r="A26" s="246"/>
      <c r="B26" s="62"/>
      <c r="C26" s="208"/>
      <c r="D26" s="206"/>
      <c r="E26" s="247"/>
      <c r="F26" s="206"/>
      <c r="G26" s="206"/>
      <c r="H26" s="206"/>
      <c r="I26" s="206"/>
    </row>
    <row r="27" spans="1:9" ht="12.75">
      <c r="A27" s="241">
        <v>40872.42875</v>
      </c>
      <c r="B27" s="62"/>
      <c r="C27" s="243" t="s">
        <v>179</v>
      </c>
      <c r="D27" s="244">
        <v>270866.33</v>
      </c>
      <c r="E27" s="245">
        <v>56672</v>
      </c>
      <c r="F27" s="207"/>
      <c r="G27" s="206"/>
      <c r="H27" s="206"/>
      <c r="I27" s="206"/>
    </row>
    <row r="28" spans="1:9" ht="12.75">
      <c r="A28" s="246"/>
      <c r="B28" s="249"/>
      <c r="C28" s="208"/>
      <c r="D28" s="206"/>
      <c r="E28" s="247"/>
      <c r="F28" s="206"/>
      <c r="G28" s="206"/>
      <c r="H28" s="206"/>
      <c r="I28" s="206"/>
    </row>
    <row r="29" spans="1:9" ht="22.5">
      <c r="A29" s="241">
        <v>40872.43</v>
      </c>
      <c r="B29" s="249"/>
      <c r="C29" s="243" t="s">
        <v>180</v>
      </c>
      <c r="D29" s="244">
        <v>73633.1</v>
      </c>
      <c r="E29" s="245">
        <v>56703</v>
      </c>
      <c r="F29" s="207"/>
      <c r="G29" s="206"/>
      <c r="H29" s="206"/>
      <c r="I29" s="206"/>
    </row>
    <row r="30" spans="1:9" ht="12.75">
      <c r="A30" s="246"/>
      <c r="B30" s="249"/>
      <c r="C30" s="208"/>
      <c r="D30" s="206"/>
      <c r="E30" s="247"/>
      <c r="F30" s="206"/>
      <c r="G30" s="206"/>
      <c r="H30" s="206"/>
      <c r="I30" s="206"/>
    </row>
    <row r="31" spans="1:9" ht="22.5">
      <c r="A31" s="241">
        <v>40884.39859953704</v>
      </c>
      <c r="B31" s="62"/>
      <c r="C31" s="243" t="s">
        <v>181</v>
      </c>
      <c r="D31" s="244">
        <v>276912.27</v>
      </c>
      <c r="E31" s="245">
        <v>56810</v>
      </c>
      <c r="F31" s="207"/>
      <c r="G31" s="206"/>
      <c r="H31" s="206"/>
      <c r="I31" s="206"/>
    </row>
    <row r="32" spans="1:9" ht="12.75">
      <c r="A32" s="246"/>
      <c r="B32" s="62"/>
      <c r="C32" s="208"/>
      <c r="D32" s="206"/>
      <c r="E32" s="247"/>
      <c r="F32" s="206"/>
      <c r="G32" s="206"/>
      <c r="H32" s="206"/>
      <c r="I32" s="206"/>
    </row>
    <row r="33" spans="1:9" ht="12.75">
      <c r="A33" s="241">
        <v>40873.63030092593</v>
      </c>
      <c r="B33" s="62"/>
      <c r="C33" s="243" t="s">
        <v>182</v>
      </c>
      <c r="D33" s="244">
        <v>706781.54</v>
      </c>
      <c r="E33" s="245">
        <v>57043</v>
      </c>
      <c r="F33" s="207"/>
      <c r="G33" s="206"/>
      <c r="H33" s="206"/>
      <c r="I33" s="206"/>
    </row>
    <row r="34" spans="1:9" ht="12.75">
      <c r="A34" s="246"/>
      <c r="B34" s="62"/>
      <c r="C34" s="208"/>
      <c r="D34" s="206"/>
      <c r="E34" s="247"/>
      <c r="F34" s="206"/>
      <c r="G34" s="206"/>
      <c r="H34" s="206"/>
      <c r="I34" s="206"/>
    </row>
    <row r="35" spans="1:9" ht="12.75">
      <c r="A35" s="241">
        <v>40877.460625</v>
      </c>
      <c r="B35" s="62"/>
      <c r="C35" s="243" t="s">
        <v>183</v>
      </c>
      <c r="D35" s="244">
        <v>21785.12</v>
      </c>
      <c r="E35" s="245">
        <v>57815</v>
      </c>
      <c r="F35" s="207"/>
      <c r="G35" s="206"/>
      <c r="H35" s="206"/>
      <c r="I35" s="206"/>
    </row>
    <row r="36" spans="1:9" ht="12.75">
      <c r="A36" s="246"/>
      <c r="B36" s="62"/>
      <c r="C36" s="208"/>
      <c r="D36" s="206"/>
      <c r="E36" s="247"/>
      <c r="F36" s="206"/>
      <c r="G36" s="206"/>
      <c r="H36" s="206"/>
      <c r="I36" s="206"/>
    </row>
    <row r="37" spans="1:9" ht="12.75">
      <c r="A37" s="241">
        <v>40889.34292824074</v>
      </c>
      <c r="B37" s="62"/>
      <c r="C37" s="243" t="s">
        <v>184</v>
      </c>
      <c r="D37" s="244">
        <v>270161.33</v>
      </c>
      <c r="E37" s="245">
        <v>58265</v>
      </c>
      <c r="F37" s="207"/>
      <c r="G37" s="206"/>
      <c r="H37" s="206"/>
      <c r="I37" s="206"/>
    </row>
    <row r="38" spans="1:9" ht="12.75">
      <c r="A38" s="246"/>
      <c r="B38" s="62"/>
      <c r="C38" s="208"/>
      <c r="D38" s="206"/>
      <c r="E38" s="247"/>
      <c r="F38" s="206"/>
      <c r="G38" s="206"/>
      <c r="H38" s="206"/>
      <c r="I38" s="206"/>
    </row>
    <row r="39" spans="1:9" ht="22.5">
      <c r="A39" s="241">
        <v>40892.56828703704</v>
      </c>
      <c r="B39" s="62"/>
      <c r="C39" s="243" t="s">
        <v>185</v>
      </c>
      <c r="D39" s="244">
        <v>278322.27</v>
      </c>
      <c r="E39" s="245">
        <v>58309</v>
      </c>
      <c r="F39" s="207"/>
      <c r="G39" s="206"/>
      <c r="H39" s="206"/>
      <c r="I39" s="206"/>
    </row>
    <row r="40" spans="1:9" ht="12.75">
      <c r="A40" s="246"/>
      <c r="B40" s="62"/>
      <c r="C40" s="208"/>
      <c r="D40" s="206"/>
      <c r="E40" s="247"/>
      <c r="F40" s="206"/>
      <c r="G40" s="206"/>
      <c r="H40" s="206"/>
      <c r="I40" s="206"/>
    </row>
    <row r="41" spans="1:9" ht="12.75">
      <c r="A41" s="241">
        <v>40889.36372685185</v>
      </c>
      <c r="B41" s="62"/>
      <c r="C41" s="243" t="s">
        <v>186</v>
      </c>
      <c r="D41" s="244">
        <v>191565.1</v>
      </c>
      <c r="E41" s="245">
        <v>59663</v>
      </c>
      <c r="F41" s="207"/>
      <c r="G41" s="206"/>
      <c r="H41" s="206"/>
      <c r="I41" s="206"/>
    </row>
    <row r="42" spans="1:9" ht="12.75">
      <c r="A42" s="246"/>
      <c r="B42" s="62"/>
      <c r="C42" s="208"/>
      <c r="D42" s="206"/>
      <c r="E42" s="247"/>
      <c r="F42" s="206"/>
      <c r="G42" s="206"/>
      <c r="H42" s="206"/>
      <c r="I42" s="206"/>
    </row>
    <row r="43" spans="1:9" ht="22.5">
      <c r="A43" s="241">
        <v>40889.37201388889</v>
      </c>
      <c r="B43" s="62"/>
      <c r="C43" s="243" t="s">
        <v>187</v>
      </c>
      <c r="D43" s="244">
        <v>192450.86</v>
      </c>
      <c r="E43" s="245">
        <v>60017</v>
      </c>
      <c r="F43" s="207"/>
      <c r="G43" s="206"/>
      <c r="H43" s="206"/>
      <c r="I43" s="206"/>
    </row>
    <row r="44" spans="1:9" ht="12.75">
      <c r="A44" s="246"/>
      <c r="B44" s="62"/>
      <c r="C44" s="208"/>
      <c r="D44" s="206"/>
      <c r="E44" s="247"/>
      <c r="F44" s="206"/>
      <c r="G44" s="206"/>
      <c r="H44" s="206"/>
      <c r="I44" s="206"/>
    </row>
    <row r="45" spans="1:9" ht="12.75">
      <c r="A45" s="241">
        <v>40893.53766203704</v>
      </c>
      <c r="B45" s="62"/>
      <c r="C45" s="243" t="s">
        <v>188</v>
      </c>
      <c r="D45" s="244">
        <v>309505.83</v>
      </c>
      <c r="E45" s="245">
        <v>60822</v>
      </c>
      <c r="F45" s="207"/>
      <c r="G45" s="206"/>
      <c r="H45" s="206"/>
      <c r="I45" s="206"/>
    </row>
    <row r="46" spans="1:9" ht="12.75">
      <c r="A46" s="246"/>
      <c r="B46" s="62"/>
      <c r="C46" s="208"/>
      <c r="D46" s="206"/>
      <c r="E46" s="247"/>
      <c r="F46" s="206"/>
      <c r="G46" s="206"/>
      <c r="H46" s="206"/>
      <c r="I46" s="206"/>
    </row>
    <row r="47" spans="1:9" ht="22.5">
      <c r="A47" s="241">
        <v>40890.55673611111</v>
      </c>
      <c r="B47" s="62"/>
      <c r="C47" s="243" t="s">
        <v>189</v>
      </c>
      <c r="D47" s="244">
        <v>304646.1</v>
      </c>
      <c r="E47" s="245">
        <v>60864</v>
      </c>
      <c r="F47" s="207"/>
      <c r="G47" s="206"/>
      <c r="H47" s="206"/>
      <c r="I47" s="206"/>
    </row>
    <row r="48" spans="1:9" ht="12.75">
      <c r="A48" s="246"/>
      <c r="B48" s="62"/>
      <c r="C48" s="208"/>
      <c r="D48" s="206"/>
      <c r="E48" s="247"/>
      <c r="F48" s="206"/>
      <c r="G48" s="206"/>
      <c r="H48" s="206"/>
      <c r="I48" s="206"/>
    </row>
    <row r="49" spans="1:9" ht="22.5">
      <c r="A49" s="241">
        <v>40897.422314814816</v>
      </c>
      <c r="B49" s="62"/>
      <c r="C49" s="243" t="s">
        <v>189</v>
      </c>
      <c r="D49" s="244">
        <v>304646.1</v>
      </c>
      <c r="E49" s="245">
        <v>60892</v>
      </c>
      <c r="F49" s="207"/>
      <c r="G49" s="206"/>
      <c r="H49" s="206"/>
      <c r="I49" s="206"/>
    </row>
    <row r="50" spans="1:9" ht="12.75">
      <c r="A50" s="246"/>
      <c r="B50" s="62"/>
      <c r="C50" s="208"/>
      <c r="D50" s="206"/>
      <c r="E50" s="247"/>
      <c r="F50" s="206"/>
      <c r="G50" s="206"/>
      <c r="H50" s="206"/>
      <c r="I50" s="206"/>
    </row>
    <row r="51" spans="1:9" ht="12.75">
      <c r="A51" s="241">
        <v>40893.53239583333</v>
      </c>
      <c r="B51" s="62"/>
      <c r="C51" s="243" t="s">
        <v>190</v>
      </c>
      <c r="D51" s="244">
        <v>137210.54</v>
      </c>
      <c r="E51" s="245">
        <v>62032</v>
      </c>
      <c r="F51" s="207"/>
      <c r="G51" s="206"/>
      <c r="H51" s="206"/>
      <c r="I51" s="206"/>
    </row>
    <row r="52" spans="1:9" ht="12.75">
      <c r="A52" s="246"/>
      <c r="B52" s="62"/>
      <c r="C52" s="208"/>
      <c r="D52" s="206"/>
      <c r="E52" s="247"/>
      <c r="F52" s="206"/>
      <c r="G52" s="206"/>
      <c r="H52" s="206"/>
      <c r="I52" s="206"/>
    </row>
    <row r="53" spans="1:9" ht="22.5">
      <c r="A53" s="241">
        <v>40897.46076388889</v>
      </c>
      <c r="B53" s="62"/>
      <c r="C53" s="243" t="s">
        <v>191</v>
      </c>
      <c r="D53" s="244">
        <v>46032.03</v>
      </c>
      <c r="E53" s="245">
        <v>62465</v>
      </c>
      <c r="F53" s="207"/>
      <c r="G53" s="206"/>
      <c r="H53" s="206"/>
      <c r="I53" s="206"/>
    </row>
    <row r="54" spans="1:9" ht="12.75">
      <c r="A54" s="246"/>
      <c r="B54" s="62"/>
      <c r="C54" s="208"/>
      <c r="D54" s="206"/>
      <c r="E54" s="247"/>
      <c r="F54" s="206"/>
      <c r="G54" s="206"/>
      <c r="H54" s="206"/>
      <c r="I54" s="206"/>
    </row>
    <row r="55" spans="1:9" ht="22.5">
      <c r="A55" s="241">
        <v>40897.46212962963</v>
      </c>
      <c r="B55" s="62"/>
      <c r="C55" s="243" t="s">
        <v>192</v>
      </c>
      <c r="D55" s="244">
        <v>9847.97</v>
      </c>
      <c r="E55" s="245">
        <v>62480</v>
      </c>
      <c r="F55" s="207"/>
      <c r="G55" s="206"/>
      <c r="H55" s="206"/>
      <c r="I55" s="206"/>
    </row>
    <row r="56" spans="1:9" ht="22.5">
      <c r="A56" s="241">
        <v>40879.441342592596</v>
      </c>
      <c r="B56" s="62"/>
      <c r="C56" s="243" t="s">
        <v>193</v>
      </c>
      <c r="D56" s="244">
        <v>350000</v>
      </c>
      <c r="E56" s="245">
        <v>40270</v>
      </c>
      <c r="F56" s="207"/>
      <c r="G56" s="206"/>
      <c r="H56" s="206"/>
      <c r="I56" s="206"/>
    </row>
    <row r="57" spans="1:9" ht="12.75">
      <c r="A57" s="246"/>
      <c r="B57" s="62"/>
      <c r="C57" s="208"/>
      <c r="D57" s="206"/>
      <c r="E57" s="247"/>
      <c r="F57" s="206"/>
      <c r="G57" s="206"/>
      <c r="H57" s="206"/>
      <c r="I57" s="206"/>
    </row>
    <row r="58" spans="1:9" ht="12.75">
      <c r="A58" s="241">
        <v>40834.48326388889</v>
      </c>
      <c r="B58" s="62"/>
      <c r="C58" s="243" t="s">
        <v>194</v>
      </c>
      <c r="D58" s="244">
        <v>568025</v>
      </c>
      <c r="E58" s="245">
        <v>45861</v>
      </c>
      <c r="F58" s="207"/>
      <c r="G58" s="206"/>
      <c r="H58" s="206"/>
      <c r="I58" s="206"/>
    </row>
    <row r="59" spans="1:9" ht="12.75">
      <c r="A59" s="246"/>
      <c r="B59" s="62"/>
      <c r="C59" s="208"/>
      <c r="D59" s="206"/>
      <c r="E59" s="247"/>
      <c r="F59" s="206"/>
      <c r="G59" s="206"/>
      <c r="H59" s="206"/>
      <c r="I59" s="206"/>
    </row>
    <row r="60" spans="1:9" ht="12.75">
      <c r="A60" s="241">
        <v>40823.438252314816</v>
      </c>
      <c r="B60" s="62"/>
      <c r="C60" s="243" t="s">
        <v>195</v>
      </c>
      <c r="D60" s="244">
        <v>1653955.56</v>
      </c>
      <c r="E60" s="245">
        <v>48676</v>
      </c>
      <c r="F60" s="207"/>
      <c r="G60" s="206"/>
      <c r="H60" s="206"/>
      <c r="I60" s="206"/>
    </row>
    <row r="61" spans="1:9" ht="12.75">
      <c r="A61" s="246"/>
      <c r="B61" s="62"/>
      <c r="C61" s="208"/>
      <c r="D61" s="206"/>
      <c r="E61" s="247"/>
      <c r="F61" s="206"/>
      <c r="G61" s="206"/>
      <c r="H61" s="206"/>
      <c r="I61" s="206"/>
    </row>
    <row r="62" spans="1:9" ht="12.75">
      <c r="A62" s="241">
        <v>40862.45861111111</v>
      </c>
      <c r="B62" s="62"/>
      <c r="C62" s="243" t="s">
        <v>196</v>
      </c>
      <c r="D62" s="244">
        <v>284012.5</v>
      </c>
      <c r="E62" s="245">
        <v>51027</v>
      </c>
      <c r="F62" s="207"/>
      <c r="G62" s="206"/>
      <c r="H62" s="206"/>
      <c r="I62" s="206"/>
    </row>
    <row r="63" spans="1:9" ht="12.75">
      <c r="A63" s="246"/>
      <c r="B63" s="62"/>
      <c r="C63" s="208"/>
      <c r="D63" s="206"/>
      <c r="E63" s="247"/>
      <c r="F63" s="206"/>
      <c r="G63" s="206"/>
      <c r="H63" s="206"/>
      <c r="I63" s="206"/>
    </row>
    <row r="64" spans="1:9" ht="22.5">
      <c r="A64" s="241">
        <v>40827</v>
      </c>
      <c r="B64" s="62"/>
      <c r="C64" s="243" t="s">
        <v>197</v>
      </c>
      <c r="D64" s="244">
        <v>1000000</v>
      </c>
      <c r="E64" s="245">
        <v>51033</v>
      </c>
      <c r="F64" s="207"/>
      <c r="G64" s="206"/>
      <c r="H64" s="206"/>
      <c r="I64" s="206"/>
    </row>
    <row r="65" spans="1:9" ht="12.75">
      <c r="A65" s="246"/>
      <c r="B65" s="62"/>
      <c r="C65" s="208"/>
      <c r="D65" s="206"/>
      <c r="E65" s="247"/>
      <c r="F65" s="206"/>
      <c r="G65" s="206"/>
      <c r="H65" s="206"/>
      <c r="I65" s="206"/>
    </row>
    <row r="66" spans="1:9" ht="12.75">
      <c r="A66" s="241">
        <v>40885.46857638889</v>
      </c>
      <c r="B66" s="62"/>
      <c r="C66" s="243" t="s">
        <v>198</v>
      </c>
      <c r="D66" s="244">
        <v>1546867.98</v>
      </c>
      <c r="E66" s="245">
        <v>51642</v>
      </c>
      <c r="F66" s="207"/>
      <c r="G66" s="206"/>
      <c r="H66" s="206"/>
      <c r="I66" s="206"/>
    </row>
    <row r="67" spans="1:9" ht="12.75">
      <c r="A67" s="246"/>
      <c r="B67" s="62"/>
      <c r="C67" s="208"/>
      <c r="D67" s="206"/>
      <c r="E67" s="247"/>
      <c r="F67" s="206"/>
      <c r="G67" s="206"/>
      <c r="H67" s="206"/>
      <c r="I67" s="206"/>
    </row>
    <row r="68" spans="1:9" ht="12.75">
      <c r="A68" s="241">
        <v>40857.496030092596</v>
      </c>
      <c r="B68" s="62"/>
      <c r="C68" s="243" t="s">
        <v>199</v>
      </c>
      <c r="D68" s="244">
        <v>254400</v>
      </c>
      <c r="E68" s="245">
        <v>51645</v>
      </c>
      <c r="F68" s="207"/>
      <c r="G68" s="206"/>
      <c r="H68" s="206"/>
      <c r="I68" s="206"/>
    </row>
    <row r="69" spans="1:9" ht="12.75">
      <c r="A69" s="246"/>
      <c r="B69" s="62"/>
      <c r="C69" s="208"/>
      <c r="D69" s="206"/>
      <c r="E69" s="247"/>
      <c r="F69" s="206"/>
      <c r="G69" s="206"/>
      <c r="H69" s="206"/>
      <c r="I69" s="206"/>
    </row>
    <row r="70" spans="1:9" ht="12.75">
      <c r="A70" s="241">
        <v>40857.49618055556</v>
      </c>
      <c r="B70" s="62"/>
      <c r="C70" s="243" t="s">
        <v>200</v>
      </c>
      <c r="D70" s="244">
        <v>278400</v>
      </c>
      <c r="E70" s="245">
        <v>51647</v>
      </c>
      <c r="F70" s="207"/>
      <c r="G70" s="206"/>
      <c r="H70" s="206"/>
      <c r="I70" s="206"/>
    </row>
    <row r="71" spans="1:9" ht="12.75">
      <c r="A71" s="246"/>
      <c r="B71" s="62"/>
      <c r="C71" s="208"/>
      <c r="D71" s="206"/>
      <c r="E71" s="247"/>
      <c r="F71" s="206"/>
      <c r="G71" s="206"/>
      <c r="H71" s="206"/>
      <c r="I71" s="206"/>
    </row>
    <row r="72" spans="1:9" ht="12.75">
      <c r="A72" s="241">
        <v>40872.386655092596</v>
      </c>
      <c r="B72" s="62"/>
      <c r="C72" s="243" t="s">
        <v>201</v>
      </c>
      <c r="D72" s="244">
        <v>510901.12</v>
      </c>
      <c r="E72" s="245">
        <v>51648</v>
      </c>
      <c r="F72" s="207"/>
      <c r="G72" s="206"/>
      <c r="H72" s="206"/>
      <c r="I72" s="206"/>
    </row>
    <row r="73" spans="1:9" ht="12.75">
      <c r="A73" s="246"/>
      <c r="B73" s="62"/>
      <c r="C73" s="208"/>
      <c r="D73" s="206"/>
      <c r="E73" s="247"/>
      <c r="F73" s="206"/>
      <c r="G73" s="206"/>
      <c r="H73" s="206"/>
      <c r="I73" s="206"/>
    </row>
    <row r="74" spans="1:9" ht="12.75">
      <c r="A74" s="241">
        <v>40855.50607638889</v>
      </c>
      <c r="B74" s="62"/>
      <c r="C74" s="243" t="s">
        <v>202</v>
      </c>
      <c r="D74" s="244">
        <v>214500</v>
      </c>
      <c r="E74" s="245">
        <v>51651</v>
      </c>
      <c r="F74" s="207"/>
      <c r="G74" s="206"/>
      <c r="H74" s="206"/>
      <c r="I74" s="206"/>
    </row>
    <row r="75" spans="1:9" ht="12.75">
      <c r="A75" s="246"/>
      <c r="B75" s="62"/>
      <c r="C75" s="208"/>
      <c r="D75" s="206"/>
      <c r="E75" s="247"/>
      <c r="F75" s="206"/>
      <c r="G75" s="206"/>
      <c r="H75" s="206"/>
      <c r="I75" s="206"/>
    </row>
    <row r="76" spans="1:9" ht="12.75">
      <c r="A76" s="241">
        <v>40872.38685185185</v>
      </c>
      <c r="B76" s="62"/>
      <c r="C76" s="243" t="s">
        <v>203</v>
      </c>
      <c r="D76" s="244">
        <v>209530.8</v>
      </c>
      <c r="E76" s="245">
        <v>51661</v>
      </c>
      <c r="F76" s="207"/>
      <c r="G76" s="206"/>
      <c r="H76" s="206"/>
      <c r="I76" s="206"/>
    </row>
    <row r="77" spans="1:9" ht="12.75">
      <c r="A77" s="246"/>
      <c r="B77" s="62"/>
      <c r="C77" s="208"/>
      <c r="D77" s="206"/>
      <c r="E77" s="247"/>
      <c r="F77" s="206"/>
      <c r="G77" s="206"/>
      <c r="H77" s="206"/>
      <c r="I77" s="206"/>
    </row>
    <row r="78" spans="1:9" ht="12.75">
      <c r="A78" s="241">
        <v>40872.39383101852</v>
      </c>
      <c r="B78" s="62"/>
      <c r="C78" s="243" t="s">
        <v>204</v>
      </c>
      <c r="D78" s="244">
        <v>200499.3</v>
      </c>
      <c r="E78" s="245">
        <v>51663</v>
      </c>
      <c r="F78" s="207"/>
      <c r="G78" s="206"/>
      <c r="H78" s="206"/>
      <c r="I78" s="206"/>
    </row>
    <row r="79" spans="1:9" ht="12.75">
      <c r="A79" s="246"/>
      <c r="B79" s="62"/>
      <c r="C79" s="208"/>
      <c r="D79" s="206"/>
      <c r="E79" s="247"/>
      <c r="F79" s="206"/>
      <c r="G79" s="206"/>
      <c r="H79" s="206"/>
      <c r="I79" s="206"/>
    </row>
    <row r="80" spans="1:9" ht="12.75">
      <c r="A80" s="241">
        <v>40885.46894675926</v>
      </c>
      <c r="B80" s="62"/>
      <c r="C80" s="243" t="s">
        <v>205</v>
      </c>
      <c r="D80" s="244">
        <v>209530.8</v>
      </c>
      <c r="E80" s="245">
        <v>51664</v>
      </c>
      <c r="F80" s="207"/>
      <c r="G80" s="206"/>
      <c r="H80" s="206"/>
      <c r="I80" s="206"/>
    </row>
    <row r="81" spans="1:9" ht="12.75">
      <c r="A81" s="246"/>
      <c r="B81" s="62"/>
      <c r="C81" s="208"/>
      <c r="D81" s="206"/>
      <c r="E81" s="247"/>
      <c r="F81" s="206"/>
      <c r="G81" s="206"/>
      <c r="H81" s="206"/>
      <c r="I81" s="206"/>
    </row>
    <row r="82" spans="1:9" ht="22.5">
      <c r="A82" s="241">
        <v>40834</v>
      </c>
      <c r="B82" s="62"/>
      <c r="C82" s="243" t="s">
        <v>206</v>
      </c>
      <c r="D82" s="244">
        <v>3409821.05</v>
      </c>
      <c r="E82" s="245">
        <v>52359</v>
      </c>
      <c r="F82" s="207"/>
      <c r="G82" s="206"/>
      <c r="H82" s="206"/>
      <c r="I82" s="206"/>
    </row>
    <row r="83" spans="1:9" ht="12.75">
      <c r="A83" s="246"/>
      <c r="B83" s="62"/>
      <c r="C83" s="208"/>
      <c r="D83" s="206"/>
      <c r="E83" s="247"/>
      <c r="F83" s="206"/>
      <c r="G83" s="206"/>
      <c r="H83" s="206"/>
      <c r="I83" s="206"/>
    </row>
    <row r="84" spans="1:9" ht="12.75">
      <c r="A84" s="241">
        <v>40884.531805555554</v>
      </c>
      <c r="B84" s="62"/>
      <c r="C84" s="243" t="s">
        <v>207</v>
      </c>
      <c r="D84" s="244">
        <v>1515999.69</v>
      </c>
      <c r="E84" s="245">
        <v>52826</v>
      </c>
      <c r="F84" s="207"/>
      <c r="G84" s="206"/>
      <c r="H84" s="206"/>
      <c r="I84" s="206"/>
    </row>
    <row r="85" spans="1:9" ht="12.75">
      <c r="A85" s="246"/>
      <c r="B85" s="62"/>
      <c r="C85" s="208"/>
      <c r="D85" s="206"/>
      <c r="E85" s="247"/>
      <c r="F85" s="206"/>
      <c r="G85" s="206"/>
      <c r="H85" s="206"/>
      <c r="I85" s="206"/>
    </row>
    <row r="86" spans="1:9" ht="12.75">
      <c r="A86" s="241">
        <v>40877.44122685185</v>
      </c>
      <c r="B86" s="62"/>
      <c r="C86" s="243" t="s">
        <v>208</v>
      </c>
      <c r="D86" s="244">
        <v>284012.5</v>
      </c>
      <c r="E86" s="245">
        <v>55145</v>
      </c>
      <c r="F86" s="207"/>
      <c r="G86" s="206"/>
      <c r="H86" s="206"/>
      <c r="I86" s="206"/>
    </row>
    <row r="87" spans="1:9" ht="12.75">
      <c r="A87" s="246"/>
      <c r="B87" s="62"/>
      <c r="C87" s="208"/>
      <c r="D87" s="206"/>
      <c r="E87" s="247"/>
      <c r="F87" s="206"/>
      <c r="G87" s="206"/>
      <c r="H87" s="206"/>
      <c r="I87" s="206"/>
    </row>
    <row r="88" spans="1:9" ht="12.75">
      <c r="A88" s="241">
        <v>40878</v>
      </c>
      <c r="B88" s="62"/>
      <c r="C88" s="243" t="s">
        <v>209</v>
      </c>
      <c r="D88" s="244">
        <v>284012.5</v>
      </c>
      <c r="E88" s="245">
        <v>58567</v>
      </c>
      <c r="F88" s="207"/>
      <c r="G88" s="206"/>
      <c r="H88" s="206"/>
      <c r="I88" s="206"/>
    </row>
    <row r="89" spans="1:9" ht="12.75">
      <c r="A89" s="246"/>
      <c r="B89" s="62"/>
      <c r="C89" s="208"/>
      <c r="D89" s="206"/>
      <c r="E89" s="247"/>
      <c r="F89" s="206"/>
      <c r="G89" s="206"/>
      <c r="H89" s="206"/>
      <c r="I89" s="206"/>
    </row>
    <row r="90" spans="1:9" ht="12.75">
      <c r="A90" s="241">
        <v>40882</v>
      </c>
      <c r="B90" s="62"/>
      <c r="C90" s="243" t="s">
        <v>198</v>
      </c>
      <c r="D90" s="244">
        <v>569803</v>
      </c>
      <c r="E90" s="245">
        <v>59151</v>
      </c>
      <c r="F90" s="207"/>
      <c r="G90" s="206"/>
      <c r="H90" s="206"/>
      <c r="I90" s="206"/>
    </row>
    <row r="91" spans="1:9" ht="12.75">
      <c r="A91" s="246"/>
      <c r="B91" s="62"/>
      <c r="C91" s="208"/>
      <c r="D91" s="206"/>
      <c r="E91" s="247"/>
      <c r="F91" s="206"/>
      <c r="G91" s="206"/>
      <c r="H91" s="206"/>
      <c r="I91" s="206"/>
    </row>
    <row r="92" spans="1:9" ht="23.25" customHeight="1">
      <c r="A92" s="241">
        <v>40883</v>
      </c>
      <c r="B92" s="62"/>
      <c r="C92" s="243" t="s">
        <v>210</v>
      </c>
      <c r="D92" s="244">
        <v>534803</v>
      </c>
      <c r="E92" s="245">
        <v>59547</v>
      </c>
      <c r="F92" s="207"/>
      <c r="G92" s="206"/>
      <c r="H92" s="206"/>
      <c r="I92" s="206"/>
    </row>
    <row r="93" spans="1:9" ht="22.5">
      <c r="A93" s="241">
        <v>40827.46335648148</v>
      </c>
      <c r="B93" s="62"/>
      <c r="C93" s="243" t="s">
        <v>211</v>
      </c>
      <c r="D93" s="244">
        <v>2580367.84</v>
      </c>
      <c r="E93" s="245">
        <v>28068</v>
      </c>
      <c r="F93" s="207"/>
      <c r="G93" s="206"/>
      <c r="H93" s="206"/>
      <c r="I93" s="206"/>
    </row>
    <row r="94" spans="1:9" ht="12.75">
      <c r="A94" s="246"/>
      <c r="B94" s="62"/>
      <c r="C94" s="208"/>
      <c r="D94" s="206"/>
      <c r="E94" s="247"/>
      <c r="F94" s="206"/>
      <c r="G94" s="206"/>
      <c r="H94" s="206"/>
      <c r="I94" s="206"/>
    </row>
    <row r="95" spans="1:9" ht="33.75">
      <c r="A95" s="241">
        <v>40862.43016203704</v>
      </c>
      <c r="B95" s="62"/>
      <c r="C95" s="243" t="s">
        <v>212</v>
      </c>
      <c r="D95" s="244">
        <v>5647275.13</v>
      </c>
      <c r="E95" s="245">
        <v>53638</v>
      </c>
      <c r="F95" s="207"/>
      <c r="G95" s="206"/>
      <c r="H95" s="206"/>
      <c r="I95" s="206"/>
    </row>
    <row r="96" spans="1:9" ht="12.75">
      <c r="A96" s="246"/>
      <c r="B96" s="62"/>
      <c r="C96" s="208"/>
      <c r="D96" s="206"/>
      <c r="E96" s="247"/>
      <c r="F96" s="206"/>
      <c r="G96" s="206"/>
      <c r="H96" s="206"/>
      <c r="I96" s="206"/>
    </row>
    <row r="97" spans="1:9" ht="22.5">
      <c r="A97" s="241">
        <v>40865.417129629626</v>
      </c>
      <c r="B97" s="62"/>
      <c r="C97" s="243" t="s">
        <v>213</v>
      </c>
      <c r="D97" s="244">
        <v>2500000</v>
      </c>
      <c r="E97" s="245">
        <v>55136</v>
      </c>
      <c r="F97" s="207"/>
      <c r="G97" s="206"/>
      <c r="H97" s="206"/>
      <c r="I97" s="206"/>
    </row>
    <row r="98" spans="1:9" ht="12.75">
      <c r="A98" s="246"/>
      <c r="B98" s="62"/>
      <c r="C98" s="208"/>
      <c r="D98" s="206"/>
      <c r="E98" s="247"/>
      <c r="F98" s="206"/>
      <c r="G98" s="206"/>
      <c r="H98" s="206"/>
      <c r="I98" s="206"/>
    </row>
    <row r="99" spans="1:9" ht="22.5">
      <c r="A99" s="241">
        <v>40882.52837962963</v>
      </c>
      <c r="B99" s="62"/>
      <c r="C99" s="243" t="s">
        <v>214</v>
      </c>
      <c r="D99" s="244">
        <v>2500000</v>
      </c>
      <c r="E99" s="245">
        <v>58584</v>
      </c>
      <c r="F99" s="207"/>
      <c r="G99" s="206"/>
      <c r="H99" s="206"/>
      <c r="I99" s="206"/>
    </row>
    <row r="100" spans="1:9" ht="12.75">
      <c r="A100" s="246"/>
      <c r="B100" s="62"/>
      <c r="C100" s="208"/>
      <c r="D100" s="206"/>
      <c r="E100" s="247"/>
      <c r="F100" s="206"/>
      <c r="G100" s="206"/>
      <c r="H100" s="206"/>
      <c r="I100" s="206"/>
    </row>
    <row r="101" spans="1:9" ht="33.75">
      <c r="A101" s="241">
        <v>40898</v>
      </c>
      <c r="B101" s="62"/>
      <c r="C101" s="243" t="s">
        <v>215</v>
      </c>
      <c r="D101" s="244">
        <v>6219378.97</v>
      </c>
      <c r="E101" s="245">
        <v>63138</v>
      </c>
      <c r="F101" s="207"/>
      <c r="G101" s="206"/>
      <c r="H101" s="206"/>
      <c r="I101" s="206"/>
    </row>
    <row r="102" spans="1:9" ht="33.75">
      <c r="A102" s="241">
        <v>40843.40310185185</v>
      </c>
      <c r="B102" s="62"/>
      <c r="C102" s="243" t="s">
        <v>216</v>
      </c>
      <c r="D102" s="244">
        <v>7222222.21</v>
      </c>
      <c r="E102" s="245">
        <v>43891</v>
      </c>
      <c r="F102" s="207"/>
      <c r="G102" s="206"/>
      <c r="H102" s="206"/>
      <c r="I102" s="206"/>
    </row>
    <row r="103" spans="1:9" ht="12.75">
      <c r="A103" s="246"/>
      <c r="B103" s="62"/>
      <c r="C103" s="208"/>
      <c r="D103" s="206"/>
      <c r="E103" s="247"/>
      <c r="F103" s="206"/>
      <c r="G103" s="206"/>
      <c r="H103" s="206"/>
      <c r="I103" s="206"/>
    </row>
    <row r="104" spans="1:9" ht="33.75">
      <c r="A104" s="241">
        <v>40844.50342592593</v>
      </c>
      <c r="B104" s="62"/>
      <c r="C104" s="243" t="s">
        <v>216</v>
      </c>
      <c r="D104" s="244">
        <v>7222222.23</v>
      </c>
      <c r="E104" s="245">
        <v>43892</v>
      </c>
      <c r="F104" s="207"/>
      <c r="G104" s="206"/>
      <c r="H104" s="206"/>
      <c r="I104" s="206"/>
    </row>
    <row r="105" spans="1:9" ht="12.75">
      <c r="A105" s="246"/>
      <c r="B105" s="62"/>
      <c r="C105" s="208"/>
      <c r="D105" s="206"/>
      <c r="E105" s="247"/>
      <c r="F105" s="206"/>
      <c r="G105" s="206"/>
      <c r="H105" s="206"/>
      <c r="I105" s="206"/>
    </row>
    <row r="106" spans="1:9" ht="33.75">
      <c r="A106" s="241">
        <v>40844.50424768519</v>
      </c>
      <c r="B106" s="62"/>
      <c r="C106" s="243" t="s">
        <v>216</v>
      </c>
      <c r="D106" s="244">
        <v>7222222.23</v>
      </c>
      <c r="E106" s="245">
        <v>43904</v>
      </c>
      <c r="F106" s="207"/>
      <c r="G106" s="206"/>
      <c r="H106" s="206"/>
      <c r="I106" s="206"/>
    </row>
    <row r="107" spans="1:9" ht="12.75">
      <c r="A107" s="246"/>
      <c r="B107" s="62"/>
      <c r="C107" s="208"/>
      <c r="D107" s="206"/>
      <c r="E107" s="247"/>
      <c r="F107" s="206"/>
      <c r="G107" s="206"/>
      <c r="H107" s="206"/>
      <c r="I107" s="206"/>
    </row>
    <row r="108" spans="1:9" ht="22.5">
      <c r="A108" s="241">
        <v>40892.43105324074</v>
      </c>
      <c r="B108" s="62"/>
      <c r="C108" s="243" t="s">
        <v>217</v>
      </c>
      <c r="D108" s="244">
        <v>10833333.33</v>
      </c>
      <c r="E108" s="245">
        <v>49113</v>
      </c>
      <c r="F108" s="207"/>
      <c r="G108" s="206"/>
      <c r="H108" s="206"/>
      <c r="I108" s="206"/>
    </row>
    <row r="109" spans="1:9" ht="12.75">
      <c r="A109" s="246"/>
      <c r="B109" s="62"/>
      <c r="C109" s="208"/>
      <c r="D109" s="206"/>
      <c r="E109" s="247"/>
      <c r="F109" s="206"/>
      <c r="G109" s="206"/>
      <c r="H109" s="206"/>
      <c r="I109" s="206"/>
    </row>
    <row r="110" spans="1:9" ht="22.5">
      <c r="A110" s="241">
        <v>40892.43119212963</v>
      </c>
      <c r="B110" s="62"/>
      <c r="C110" s="243" t="s">
        <v>217</v>
      </c>
      <c r="D110" s="244">
        <v>10833333.34</v>
      </c>
      <c r="E110" s="245">
        <v>49116</v>
      </c>
      <c r="F110" s="207"/>
      <c r="G110" s="206"/>
      <c r="H110" s="206"/>
      <c r="I110" s="206"/>
    </row>
    <row r="111" spans="1:9" ht="12.75">
      <c r="A111" s="246"/>
      <c r="B111" s="62"/>
      <c r="C111" s="208"/>
      <c r="D111" s="206"/>
      <c r="E111" s="247"/>
      <c r="F111" s="206"/>
      <c r="G111" s="206"/>
      <c r="H111" s="206"/>
      <c r="I111" s="206"/>
    </row>
    <row r="112" spans="1:9" ht="33.75">
      <c r="A112" s="250">
        <v>40864.35827546296</v>
      </c>
      <c r="B112" s="251"/>
      <c r="C112" s="252" t="s">
        <v>218</v>
      </c>
      <c r="D112" s="253">
        <v>10833333.33</v>
      </c>
      <c r="E112" s="254">
        <v>49123</v>
      </c>
      <c r="F112" s="207"/>
      <c r="G112" s="206"/>
      <c r="H112" s="206"/>
      <c r="I112" s="206"/>
    </row>
    <row r="113" spans="3:9" ht="12.75">
      <c r="C113" s="208"/>
      <c r="D113" s="206"/>
      <c r="E113" s="231"/>
      <c r="F113" s="206"/>
      <c r="G113" s="206"/>
      <c r="H113" s="206"/>
      <c r="I113" s="206"/>
    </row>
    <row r="114" spans="3:9" ht="12.75">
      <c r="C114" s="208"/>
      <c r="D114" s="206"/>
      <c r="E114" s="231"/>
      <c r="F114" s="206"/>
      <c r="G114" s="206"/>
      <c r="H114" s="206"/>
      <c r="I114" s="206"/>
    </row>
    <row r="115" spans="3:9" ht="12.75">
      <c r="C115" s="208"/>
      <c r="D115" s="229"/>
      <c r="E115" s="231"/>
      <c r="F115" s="206"/>
      <c r="G115" s="206"/>
      <c r="H115" s="206"/>
      <c r="I115" s="228"/>
    </row>
    <row r="116" spans="3:9" ht="12.75">
      <c r="C116" s="208"/>
      <c r="D116" s="229"/>
      <c r="E116" s="231"/>
      <c r="F116" s="206"/>
      <c r="G116" s="206"/>
      <c r="H116" s="206"/>
      <c r="I116" s="228"/>
    </row>
    <row r="117" spans="3:9" ht="12.75">
      <c r="C117" s="208"/>
      <c r="D117" s="206"/>
      <c r="E117" s="206"/>
      <c r="F117" s="206"/>
      <c r="G117" s="206"/>
      <c r="H117" s="206"/>
      <c r="I117" s="206"/>
    </row>
  </sheetData>
  <sheetProtection/>
  <mergeCells count="4">
    <mergeCell ref="A1:E1"/>
    <mergeCell ref="A2:E2"/>
    <mergeCell ref="A3:E3"/>
    <mergeCell ref="A4:E4"/>
  </mergeCells>
  <printOptions horizontalCentered="1"/>
  <pageMargins left="0.11811023622047245" right="0.35433070866141736" top="0.15748031496062992" bottom="0.11811023622047245" header="0.15748031496062992" footer="0"/>
  <pageSetup horizontalDpi="300" verticalDpi="3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L160"/>
  <sheetViews>
    <sheetView view="pageBreakPreview" zoomScale="80" zoomScaleSheetLayoutView="80" zoomScalePageLayoutView="0" workbookViewId="0" topLeftCell="A85">
      <selection activeCell="I101" sqref="I101"/>
    </sheetView>
  </sheetViews>
  <sheetFormatPr defaultColWidth="11.421875" defaultRowHeight="12.75"/>
  <cols>
    <col min="1" max="1" width="6.8515625" style="0" customWidth="1"/>
    <col min="2" max="2" width="36.28125" style="74" customWidth="1"/>
    <col min="3" max="3" width="60.140625" style="0" bestFit="1" customWidth="1"/>
    <col min="4" max="5" width="14.7109375" style="0" customWidth="1"/>
    <col min="6" max="6" width="14.7109375" style="0" hidden="1" customWidth="1"/>
    <col min="7" max="7" width="14.7109375" style="0" customWidth="1"/>
    <col min="8" max="8" width="31.57421875" style="0" bestFit="1" customWidth="1"/>
    <col min="9" max="9" width="14.7109375" style="0" customWidth="1"/>
    <col min="10" max="10" width="10.00390625" style="213" customWidth="1"/>
    <col min="11" max="11" width="13.8515625" style="143" bestFit="1" customWidth="1"/>
    <col min="12" max="12" width="12.7109375" style="143" bestFit="1" customWidth="1"/>
    <col min="13" max="13" width="55.8515625" style="143" bestFit="1" customWidth="1"/>
    <col min="14" max="14" width="57.28125" style="143" bestFit="1" customWidth="1"/>
    <col min="15" max="15" width="17.00390625" style="143" bestFit="1" customWidth="1"/>
    <col min="16" max="17" width="12.7109375" style="143" bestFit="1" customWidth="1"/>
    <col min="18" max="20" width="11.421875" style="143" customWidth="1"/>
    <col min="21" max="21" width="15.57421875" style="143" bestFit="1" customWidth="1"/>
    <col min="22" max="22" width="11.421875" style="143" customWidth="1"/>
    <col min="23" max="23" width="16.421875" style="143" bestFit="1" customWidth="1"/>
    <col min="24" max="24" width="16.421875" style="143" customWidth="1"/>
    <col min="25" max="25" width="11.421875" style="143" customWidth="1"/>
    <col min="26" max="26" width="12.7109375" style="143" bestFit="1" customWidth="1"/>
    <col min="27" max="27" width="15.57421875" style="143" bestFit="1" customWidth="1"/>
    <col min="28" max="29" width="11.421875" style="143" customWidth="1"/>
    <col min="30" max="31" width="12.7109375" style="143" bestFit="1" customWidth="1"/>
    <col min="32" max="34" width="11.421875" style="143" customWidth="1"/>
    <col min="35" max="35" width="15.00390625" style="144" customWidth="1"/>
    <col min="36" max="36" width="15.140625" style="143" bestFit="1" customWidth="1"/>
    <col min="37" max="37" width="12.7109375" style="143" bestFit="1" customWidth="1"/>
    <col min="38" max="39" width="11.421875" style="143" customWidth="1"/>
    <col min="40" max="40" width="15.57421875" style="144" customWidth="1"/>
    <col min="41" max="41" width="11.421875" style="143" customWidth="1"/>
    <col min="42" max="42" width="15.140625" style="143" bestFit="1" customWidth="1"/>
    <col min="43" max="43" width="12.7109375" style="143" bestFit="1" customWidth="1"/>
    <col min="44" max="44" width="11.421875" style="143" customWidth="1"/>
    <col min="45" max="45" width="12.7109375" style="143" bestFit="1" customWidth="1"/>
    <col min="46" max="46" width="15.57421875" style="144" customWidth="1"/>
    <col min="47" max="47" width="12.7109375" style="143" bestFit="1" customWidth="1"/>
    <col min="48" max="48" width="15.140625" style="143" bestFit="1" customWidth="1"/>
    <col min="49" max="49" width="12.7109375" style="143" bestFit="1" customWidth="1"/>
    <col min="50" max="50" width="11.421875" style="143" customWidth="1"/>
    <col min="51" max="51" width="12.7109375" style="143" bestFit="1" customWidth="1"/>
    <col min="52" max="52" width="15.57421875" style="144" customWidth="1"/>
    <col min="53" max="53" width="11.421875" style="143" customWidth="1"/>
    <col min="54" max="54" width="15.140625" style="143" bestFit="1" customWidth="1"/>
    <col min="55" max="55" width="12.7109375" style="143" bestFit="1" customWidth="1"/>
    <col min="56" max="56" width="11.421875" style="143" customWidth="1"/>
    <col min="57" max="57" width="12.7109375" style="143" bestFit="1" customWidth="1"/>
    <col min="58" max="58" width="15.57421875" style="144" customWidth="1"/>
    <col min="59" max="59" width="11.421875" style="143" customWidth="1"/>
    <col min="60" max="60" width="15.140625" style="143" bestFit="1" customWidth="1"/>
    <col min="61" max="61" width="12.7109375" style="143" bestFit="1" customWidth="1"/>
    <col min="62" max="62" width="11.421875" style="143" customWidth="1"/>
    <col min="63" max="63" width="12.7109375" style="143" bestFit="1" customWidth="1"/>
    <col min="64" max="64" width="15.57421875" style="144" customWidth="1"/>
    <col min="65" max="65" width="11.421875" style="143" customWidth="1"/>
    <col min="66" max="66" width="15.140625" style="143" bestFit="1" customWidth="1"/>
    <col min="67" max="67" width="12.7109375" style="143" bestFit="1" customWidth="1"/>
    <col min="68" max="68" width="11.421875" style="143" customWidth="1"/>
    <col min="69" max="69" width="12.7109375" style="143" bestFit="1" customWidth="1"/>
    <col min="70" max="70" width="15.57421875" style="144" customWidth="1"/>
    <col min="71" max="71" width="11.421875" style="143" customWidth="1"/>
    <col min="72" max="72" width="15.140625" style="143" bestFit="1" customWidth="1"/>
    <col min="73" max="73" width="12.7109375" style="143" bestFit="1" customWidth="1"/>
    <col min="74" max="74" width="11.421875" style="143" customWidth="1"/>
    <col min="75" max="75" width="12.7109375" style="143" bestFit="1" customWidth="1"/>
    <col min="76" max="76" width="15.57421875" style="144" customWidth="1"/>
    <col min="77" max="77" width="12.28125" style="138" bestFit="1" customWidth="1"/>
    <col min="78" max="90" width="11.421875" style="138" customWidth="1"/>
  </cols>
  <sheetData>
    <row r="1" spans="1:9" ht="15">
      <c r="A1" s="67"/>
      <c r="B1" s="68"/>
      <c r="C1" s="67"/>
      <c r="D1" s="67"/>
      <c r="E1" s="67"/>
      <c r="F1" s="67"/>
      <c r="G1" s="154"/>
      <c r="H1" s="154"/>
      <c r="I1" s="155" t="s">
        <v>34</v>
      </c>
    </row>
    <row r="2" spans="1:9" ht="15">
      <c r="A2" s="69" t="s">
        <v>1</v>
      </c>
      <c r="B2" s="70"/>
      <c r="C2" s="69"/>
      <c r="D2" s="69"/>
      <c r="E2" s="69"/>
      <c r="F2" s="69"/>
      <c r="G2" s="156"/>
      <c r="H2" s="156"/>
      <c r="I2" s="157"/>
    </row>
    <row r="3" spans="1:9" ht="15">
      <c r="A3" s="69" t="s">
        <v>35</v>
      </c>
      <c r="B3" s="70"/>
      <c r="C3" s="69"/>
      <c r="D3" s="69"/>
      <c r="E3" s="69"/>
      <c r="F3" s="69"/>
      <c r="G3" s="156"/>
      <c r="H3" s="156"/>
      <c r="I3" s="157"/>
    </row>
    <row r="4" spans="1:9" ht="15.75">
      <c r="A4" s="71"/>
      <c r="B4" s="72"/>
      <c r="C4" s="65"/>
      <c r="D4" s="65"/>
      <c r="E4" s="65"/>
      <c r="F4" s="65"/>
      <c r="G4" s="158"/>
      <c r="H4" s="158"/>
      <c r="I4" s="159"/>
    </row>
    <row r="5" spans="1:9" ht="15.75">
      <c r="A5" s="71"/>
      <c r="B5" s="72"/>
      <c r="C5" s="65"/>
      <c r="D5" s="73"/>
      <c r="E5" s="73"/>
      <c r="F5" s="73"/>
      <c r="G5" s="278" t="s">
        <v>165</v>
      </c>
      <c r="H5" s="279"/>
      <c r="I5" s="280"/>
    </row>
    <row r="6" spans="1:9" ht="6" customHeight="1" thickBot="1">
      <c r="A6" s="3"/>
      <c r="G6" s="62"/>
      <c r="H6" s="62"/>
      <c r="I6" s="160"/>
    </row>
    <row r="7" spans="1:90" s="78" customFormat="1" ht="30" customHeight="1" thickBot="1" thickTop="1">
      <c r="A7" s="75" t="s">
        <v>36</v>
      </c>
      <c r="B7" s="76"/>
      <c r="C7" s="77"/>
      <c r="D7" s="77"/>
      <c r="E7" s="77"/>
      <c r="F7" s="77"/>
      <c r="G7" s="77"/>
      <c r="H7" s="77"/>
      <c r="I7" s="161"/>
      <c r="J7" s="214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6"/>
      <c r="AJ7" s="145"/>
      <c r="AK7" s="145"/>
      <c r="AL7" s="145"/>
      <c r="AM7" s="145"/>
      <c r="AN7" s="146"/>
      <c r="AO7" s="145"/>
      <c r="AP7" s="145"/>
      <c r="AQ7" s="145"/>
      <c r="AR7" s="145"/>
      <c r="AS7" s="145"/>
      <c r="AT7" s="146"/>
      <c r="AU7" s="145"/>
      <c r="AV7" s="145"/>
      <c r="AW7" s="145"/>
      <c r="AX7" s="145"/>
      <c r="AY7" s="145"/>
      <c r="AZ7" s="146"/>
      <c r="BA7" s="145"/>
      <c r="BB7" s="145"/>
      <c r="BC7" s="145"/>
      <c r="BD7" s="145"/>
      <c r="BE7" s="145"/>
      <c r="BF7" s="146"/>
      <c r="BG7" s="145"/>
      <c r="BH7" s="145"/>
      <c r="BI7" s="145"/>
      <c r="BJ7" s="145"/>
      <c r="BK7" s="145"/>
      <c r="BL7" s="146"/>
      <c r="BM7" s="145"/>
      <c r="BN7" s="145"/>
      <c r="BO7" s="145"/>
      <c r="BP7" s="145"/>
      <c r="BQ7" s="145"/>
      <c r="BR7" s="146"/>
      <c r="BS7" s="145"/>
      <c r="BT7" s="145"/>
      <c r="BU7" s="145"/>
      <c r="BV7" s="145"/>
      <c r="BW7" s="145"/>
      <c r="BX7" s="146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</row>
    <row r="8" spans="1:9" ht="14.25" thickBot="1" thickTop="1">
      <c r="A8" s="3"/>
      <c r="B8" s="79"/>
      <c r="C8" s="66"/>
      <c r="D8" s="66"/>
      <c r="E8" s="66" t="s">
        <v>6</v>
      </c>
      <c r="F8" s="66"/>
      <c r="G8" s="64"/>
      <c r="H8" s="64"/>
      <c r="I8" s="162"/>
    </row>
    <row r="9" spans="1:75" ht="18.75" customHeight="1" thickTop="1">
      <c r="A9" s="272" t="s">
        <v>37</v>
      </c>
      <c r="B9" s="80"/>
      <c r="C9" s="274" t="s">
        <v>38</v>
      </c>
      <c r="D9" s="274" t="s">
        <v>39</v>
      </c>
      <c r="E9" s="276" t="s">
        <v>40</v>
      </c>
      <c r="F9" s="81"/>
      <c r="G9" s="281" t="s">
        <v>41</v>
      </c>
      <c r="H9" s="281"/>
      <c r="I9" s="282" t="s">
        <v>42</v>
      </c>
      <c r="T9" s="271" t="s">
        <v>29</v>
      </c>
      <c r="U9" s="271"/>
      <c r="V9" s="271"/>
      <c r="W9" s="271"/>
      <c r="X9" s="147"/>
      <c r="Z9" s="271" t="s">
        <v>46</v>
      </c>
      <c r="AA9" s="271"/>
      <c r="AB9" s="271"/>
      <c r="AC9" s="271"/>
      <c r="AE9" s="271" t="s">
        <v>47</v>
      </c>
      <c r="AF9" s="271"/>
      <c r="AG9" s="271"/>
      <c r="AH9" s="271"/>
      <c r="AJ9" s="271" t="s">
        <v>48</v>
      </c>
      <c r="AK9" s="271"/>
      <c r="AL9" s="271"/>
      <c r="AM9" s="271"/>
      <c r="AP9" s="271" t="s">
        <v>12</v>
      </c>
      <c r="AQ9" s="271"/>
      <c r="AR9" s="271"/>
      <c r="AS9" s="271"/>
      <c r="AV9" s="271" t="s">
        <v>13</v>
      </c>
      <c r="AW9" s="271"/>
      <c r="AX9" s="271"/>
      <c r="AY9" s="271"/>
      <c r="BB9" s="271" t="s">
        <v>14</v>
      </c>
      <c r="BC9" s="271"/>
      <c r="BD9" s="271"/>
      <c r="BE9" s="271"/>
      <c r="BH9" s="271" t="s">
        <v>49</v>
      </c>
      <c r="BI9" s="271"/>
      <c r="BJ9" s="271"/>
      <c r="BK9" s="271"/>
      <c r="BN9" s="271" t="s">
        <v>50</v>
      </c>
      <c r="BO9" s="271"/>
      <c r="BP9" s="271"/>
      <c r="BQ9" s="271"/>
      <c r="BT9" s="271" t="s">
        <v>51</v>
      </c>
      <c r="BU9" s="271"/>
      <c r="BV9" s="271"/>
      <c r="BW9" s="271"/>
    </row>
    <row r="10" spans="1:90" s="63" customFormat="1" ht="30" customHeight="1" thickBot="1">
      <c r="A10" s="273"/>
      <c r="B10" s="82" t="s">
        <v>43</v>
      </c>
      <c r="C10" s="275"/>
      <c r="D10" s="275"/>
      <c r="E10" s="277"/>
      <c r="F10" s="83"/>
      <c r="G10" s="205" t="s">
        <v>44</v>
      </c>
      <c r="H10" s="84" t="s">
        <v>45</v>
      </c>
      <c r="I10" s="283"/>
      <c r="J10" s="215"/>
      <c r="K10" s="147"/>
      <c r="L10" s="147"/>
      <c r="M10" s="147" t="s">
        <v>13</v>
      </c>
      <c r="N10" s="147" t="s">
        <v>14</v>
      </c>
      <c r="O10" s="147" t="s">
        <v>49</v>
      </c>
      <c r="P10" s="147" t="s">
        <v>50</v>
      </c>
      <c r="Q10" s="147" t="s">
        <v>51</v>
      </c>
      <c r="R10" s="147"/>
      <c r="S10" s="147"/>
      <c r="T10" s="147" t="s">
        <v>82</v>
      </c>
      <c r="U10" s="147" t="s">
        <v>86</v>
      </c>
      <c r="V10" s="147" t="s">
        <v>84</v>
      </c>
      <c r="W10" s="147" t="s">
        <v>87</v>
      </c>
      <c r="X10" s="147" t="s">
        <v>22</v>
      </c>
      <c r="Y10" s="147"/>
      <c r="Z10" s="147" t="s">
        <v>82</v>
      </c>
      <c r="AA10" s="147" t="s">
        <v>89</v>
      </c>
      <c r="AB10" s="147" t="s">
        <v>84</v>
      </c>
      <c r="AC10" s="147" t="s">
        <v>88</v>
      </c>
      <c r="AD10" s="147"/>
      <c r="AE10" s="147" t="s">
        <v>82</v>
      </c>
      <c r="AF10" s="147" t="s">
        <v>83</v>
      </c>
      <c r="AG10" s="147" t="s">
        <v>84</v>
      </c>
      <c r="AH10" s="147" t="s">
        <v>85</v>
      </c>
      <c r="AI10" s="148"/>
      <c r="AJ10" s="147" t="s">
        <v>82</v>
      </c>
      <c r="AK10" s="147" t="s">
        <v>83</v>
      </c>
      <c r="AL10" s="147" t="s">
        <v>84</v>
      </c>
      <c r="AM10" s="147" t="s">
        <v>85</v>
      </c>
      <c r="AN10" s="148"/>
      <c r="AO10" s="147"/>
      <c r="AP10" s="147" t="s">
        <v>82</v>
      </c>
      <c r="AQ10" s="147" t="s">
        <v>83</v>
      </c>
      <c r="AR10" s="147" t="s">
        <v>84</v>
      </c>
      <c r="AS10" s="147" t="s">
        <v>85</v>
      </c>
      <c r="AT10" s="148"/>
      <c r="AU10" s="147"/>
      <c r="AV10" s="147" t="s">
        <v>82</v>
      </c>
      <c r="AW10" s="147" t="s">
        <v>83</v>
      </c>
      <c r="AX10" s="147" t="s">
        <v>84</v>
      </c>
      <c r="AY10" s="147" t="s">
        <v>85</v>
      </c>
      <c r="AZ10" s="148"/>
      <c r="BA10" s="147"/>
      <c r="BB10" s="147" t="s">
        <v>82</v>
      </c>
      <c r="BC10" s="147" t="s">
        <v>83</v>
      </c>
      <c r="BD10" s="147" t="s">
        <v>84</v>
      </c>
      <c r="BE10" s="147" t="s">
        <v>85</v>
      </c>
      <c r="BF10" s="148"/>
      <c r="BG10" s="147"/>
      <c r="BH10" s="147" t="s">
        <v>82</v>
      </c>
      <c r="BI10" s="147" t="s">
        <v>83</v>
      </c>
      <c r="BJ10" s="147" t="s">
        <v>84</v>
      </c>
      <c r="BK10" s="147" t="s">
        <v>85</v>
      </c>
      <c r="BL10" s="148"/>
      <c r="BM10" s="147"/>
      <c r="BN10" s="147" t="s">
        <v>82</v>
      </c>
      <c r="BO10" s="147" t="s">
        <v>83</v>
      </c>
      <c r="BP10" s="147" t="s">
        <v>84</v>
      </c>
      <c r="BQ10" s="147" t="s">
        <v>85</v>
      </c>
      <c r="BR10" s="148"/>
      <c r="BS10" s="147"/>
      <c r="BT10" s="147" t="s">
        <v>82</v>
      </c>
      <c r="BU10" s="147" t="s">
        <v>83</v>
      </c>
      <c r="BV10" s="147" t="s">
        <v>84</v>
      </c>
      <c r="BW10" s="147" t="s">
        <v>85</v>
      </c>
      <c r="BX10" s="148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</row>
    <row r="11" spans="1:90" s="78" customFormat="1" ht="15" customHeight="1" thickTop="1">
      <c r="A11" s="163">
        <v>11301</v>
      </c>
      <c r="B11" s="164" t="s">
        <v>95</v>
      </c>
      <c r="C11" s="85">
        <v>6269732.16</v>
      </c>
      <c r="D11" s="85">
        <v>4732763.45</v>
      </c>
      <c r="E11" s="222">
        <v>1225425.35</v>
      </c>
      <c r="F11" s="86"/>
      <c r="G11" s="86">
        <v>4800126.45</v>
      </c>
      <c r="H11" s="87">
        <f>G11/D11</f>
        <v>1.0142333333815785</v>
      </c>
      <c r="I11" s="89">
        <f aca="true" t="shared" si="0" ref="I11:I33">D11-G11</f>
        <v>-67363</v>
      </c>
      <c r="J11" s="216"/>
      <c r="K11" s="209"/>
      <c r="L11" s="141"/>
      <c r="M11" s="141">
        <f aca="true" t="shared" si="1" ref="M11:M21">AZ11</f>
        <v>354100.2</v>
      </c>
      <c r="N11" s="141">
        <f>BF11</f>
        <v>354100.2</v>
      </c>
      <c r="O11" s="141">
        <f>BL11</f>
        <v>364200.01999999996</v>
      </c>
      <c r="P11" s="141">
        <f>BR11</f>
        <v>739642.03</v>
      </c>
      <c r="Q11" s="141">
        <f>BX11</f>
        <v>362833.70999999996</v>
      </c>
      <c r="R11" s="145"/>
      <c r="S11" s="145"/>
      <c r="T11" s="141">
        <v>292303.14</v>
      </c>
      <c r="U11" s="141">
        <v>224970.24</v>
      </c>
      <c r="V11" s="141">
        <v>290666.11</v>
      </c>
      <c r="W11" s="141">
        <v>193292.57</v>
      </c>
      <c r="X11" s="141">
        <f>SUM(T11:W11)</f>
        <v>1001232.06</v>
      </c>
      <c r="Y11" s="145"/>
      <c r="Z11" s="141">
        <v>93885.3</v>
      </c>
      <c r="AA11" s="141">
        <v>77979.35</v>
      </c>
      <c r="AB11" s="141">
        <v>99570.86</v>
      </c>
      <c r="AC11" s="141">
        <v>76756.2</v>
      </c>
      <c r="AD11" s="141">
        <f>SUM(Z11:AC11)</f>
        <v>348191.71</v>
      </c>
      <c r="AE11" s="141">
        <v>204615.25</v>
      </c>
      <c r="AF11" s="141">
        <v>142313.42</v>
      </c>
      <c r="AG11" s="141">
        <v>104432.19</v>
      </c>
      <c r="AH11" s="141">
        <v>68515.42</v>
      </c>
      <c r="AI11" s="149">
        <f>SUM(AE11:AH11)</f>
        <v>519876.28</v>
      </c>
      <c r="AJ11" s="141">
        <v>105534.82</v>
      </c>
      <c r="AK11" s="141">
        <v>220264.71</v>
      </c>
      <c r="AL11" s="141">
        <v>199876.79</v>
      </c>
      <c r="AM11" s="141">
        <v>68515.42</v>
      </c>
      <c r="AN11" s="149">
        <f>SUM(AJ11:AM11)</f>
        <v>594191.7400000001</v>
      </c>
      <c r="AO11" s="145"/>
      <c r="AP11" s="141">
        <v>104768.64</v>
      </c>
      <c r="AQ11" s="141">
        <v>78313.42</v>
      </c>
      <c r="AR11" s="141">
        <v>102502.72</v>
      </c>
      <c r="AS11" s="141">
        <v>68515.42</v>
      </c>
      <c r="AT11" s="149">
        <f>SUM(AP11:AS11)</f>
        <v>354100.2</v>
      </c>
      <c r="AU11" s="145"/>
      <c r="AV11" s="141">
        <v>104768.64</v>
      </c>
      <c r="AW11" s="141">
        <v>78313.42</v>
      </c>
      <c r="AX11" s="141">
        <v>102502.72</v>
      </c>
      <c r="AY11" s="141">
        <v>68515.42</v>
      </c>
      <c r="AZ11" s="149">
        <f>SUM(AV11:AY11)</f>
        <v>354100.2</v>
      </c>
      <c r="BA11" s="145"/>
      <c r="BB11" s="141">
        <v>104768.64</v>
      </c>
      <c r="BC11" s="141">
        <v>68515.42</v>
      </c>
      <c r="BD11" s="141">
        <v>102502.72</v>
      </c>
      <c r="BE11" s="141">
        <v>78313.42</v>
      </c>
      <c r="BF11" s="149">
        <f>SUM(BB11:BE11)</f>
        <v>354100.2</v>
      </c>
      <c r="BG11" s="145"/>
      <c r="BH11" s="141">
        <v>104768.64</v>
      </c>
      <c r="BI11" s="141">
        <v>68515.42</v>
      </c>
      <c r="BJ11" s="141">
        <v>112602.54</v>
      </c>
      <c r="BK11" s="141">
        <v>78313.42</v>
      </c>
      <c r="BL11" s="149">
        <f aca="true" t="shared" si="2" ref="BL11:BL55">SUM(BH11:BK11)</f>
        <v>364200.01999999996</v>
      </c>
      <c r="BM11" s="145"/>
      <c r="BN11" s="141">
        <v>201220.9</v>
      </c>
      <c r="BO11" s="141">
        <v>136126.78</v>
      </c>
      <c r="BP11" s="141">
        <v>222743.16</v>
      </c>
      <c r="BQ11" s="141">
        <v>179551.19</v>
      </c>
      <c r="BR11" s="149">
        <f aca="true" t="shared" si="3" ref="BR11:BR55">SUM(BN11:BQ11)</f>
        <v>739642.03</v>
      </c>
      <c r="BS11" s="145"/>
      <c r="BT11" s="141">
        <v>106887.96</v>
      </c>
      <c r="BU11" s="141">
        <v>70168.03</v>
      </c>
      <c r="BV11" s="141">
        <v>105078.69</v>
      </c>
      <c r="BW11" s="141">
        <v>80699.03</v>
      </c>
      <c r="BX11" s="149">
        <f aca="true" t="shared" si="4" ref="BX11:BX55">SUM(BT11:BW11)</f>
        <v>362833.70999999996</v>
      </c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</row>
    <row r="12" spans="1:90" s="78" customFormat="1" ht="15" customHeight="1">
      <c r="A12" s="163">
        <v>11305</v>
      </c>
      <c r="B12" s="164" t="s">
        <v>96</v>
      </c>
      <c r="C12" s="85">
        <v>0</v>
      </c>
      <c r="D12" s="85">
        <v>1863519.11</v>
      </c>
      <c r="E12" s="221">
        <v>1329022.15</v>
      </c>
      <c r="F12" s="86"/>
      <c r="G12" s="86">
        <v>2895453.15</v>
      </c>
      <c r="H12" s="87">
        <f aca="true" t="shared" si="5" ref="H12:H33">G12/D12</f>
        <v>1.5537555447982498</v>
      </c>
      <c r="I12" s="89">
        <f t="shared" si="0"/>
        <v>-1031934.0399999998</v>
      </c>
      <c r="J12" s="216"/>
      <c r="K12" s="209"/>
      <c r="L12" s="141"/>
      <c r="M12" s="141">
        <f t="shared" si="1"/>
        <v>0</v>
      </c>
      <c r="N12" s="141">
        <f aca="true" t="shared" si="6" ref="N12:N75">BF12</f>
        <v>0</v>
      </c>
      <c r="O12" s="141">
        <f aca="true" t="shared" si="7" ref="O12:O37">BL12</f>
        <v>0</v>
      </c>
      <c r="P12" s="141">
        <f aca="true" t="shared" si="8" ref="P12:P75">BR12</f>
        <v>0</v>
      </c>
      <c r="Q12" s="141">
        <f aca="true" t="shared" si="9" ref="Q12:Q75">BX12</f>
        <v>0</v>
      </c>
      <c r="R12" s="145"/>
      <c r="S12" s="145"/>
      <c r="T12" s="141">
        <f aca="true" t="shared" si="10" ref="T12:T21">SUM(AI12:AK12)</f>
        <v>0</v>
      </c>
      <c r="U12" s="141"/>
      <c r="V12" s="141"/>
      <c r="W12" s="141"/>
      <c r="X12" s="141">
        <f aca="true" t="shared" si="11" ref="X12:X76">SUM(T12:W12)</f>
        <v>0</v>
      </c>
      <c r="Y12" s="145"/>
      <c r="Z12" s="141"/>
      <c r="AA12" s="141"/>
      <c r="AB12" s="141"/>
      <c r="AC12" s="141"/>
      <c r="AD12" s="141">
        <f aca="true" t="shared" si="12" ref="AD12:AD76">SUM(Z12:AC12)</f>
        <v>0</v>
      </c>
      <c r="AE12" s="141"/>
      <c r="AF12" s="141"/>
      <c r="AG12" s="141"/>
      <c r="AH12" s="141"/>
      <c r="AI12" s="149">
        <f aca="true" t="shared" si="13" ref="AI12:AI75">SUM(AE12:AH12)</f>
        <v>0</v>
      </c>
      <c r="AJ12" s="141"/>
      <c r="AK12" s="141"/>
      <c r="AL12" s="141"/>
      <c r="AM12" s="141"/>
      <c r="AN12" s="149">
        <f aca="true" t="shared" si="14" ref="AN12:AN55">SUM(AJ12:AM12)</f>
        <v>0</v>
      </c>
      <c r="AO12" s="145"/>
      <c r="AP12" s="141"/>
      <c r="AQ12" s="141"/>
      <c r="AR12" s="141"/>
      <c r="AS12" s="141"/>
      <c r="AT12" s="149">
        <f aca="true" t="shared" si="15" ref="AT12:AT55">SUM(AP12:AS12)</f>
        <v>0</v>
      </c>
      <c r="AU12" s="145"/>
      <c r="AV12" s="141"/>
      <c r="AW12" s="141"/>
      <c r="AX12" s="141"/>
      <c r="AY12" s="141"/>
      <c r="AZ12" s="149">
        <f aca="true" t="shared" si="16" ref="AZ12:AZ55">SUM(AV12:AY12)</f>
        <v>0</v>
      </c>
      <c r="BA12" s="145"/>
      <c r="BB12" s="141"/>
      <c r="BC12" s="141"/>
      <c r="BD12" s="141"/>
      <c r="BE12" s="141"/>
      <c r="BF12" s="149">
        <f aca="true" t="shared" si="17" ref="BF12:BF55">SUM(BB12:BE12)</f>
        <v>0</v>
      </c>
      <c r="BG12" s="145"/>
      <c r="BH12" s="141"/>
      <c r="BI12" s="141"/>
      <c r="BJ12" s="141"/>
      <c r="BK12" s="141"/>
      <c r="BL12" s="149">
        <f t="shared" si="2"/>
        <v>0</v>
      </c>
      <c r="BM12" s="145"/>
      <c r="BN12" s="141"/>
      <c r="BO12" s="141"/>
      <c r="BP12" s="141"/>
      <c r="BQ12" s="141"/>
      <c r="BR12" s="149">
        <f t="shared" si="3"/>
        <v>0</v>
      </c>
      <c r="BS12" s="145"/>
      <c r="BT12" s="141"/>
      <c r="BU12" s="141"/>
      <c r="BV12" s="141"/>
      <c r="BW12" s="141"/>
      <c r="BX12" s="149">
        <f t="shared" si="4"/>
        <v>0</v>
      </c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</row>
    <row r="13" spans="1:90" s="78" customFormat="1" ht="15" customHeight="1">
      <c r="A13" s="163">
        <v>11307</v>
      </c>
      <c r="B13" s="164" t="s">
        <v>97</v>
      </c>
      <c r="C13" s="85">
        <v>0</v>
      </c>
      <c r="D13" s="85">
        <v>1096500.57</v>
      </c>
      <c r="E13" s="221">
        <v>366361.74</v>
      </c>
      <c r="F13" s="86"/>
      <c r="G13" s="86">
        <v>1462862.3099999998</v>
      </c>
      <c r="H13" s="87">
        <f t="shared" si="5"/>
        <v>1.3341190602390656</v>
      </c>
      <c r="I13" s="89">
        <f t="shared" si="0"/>
        <v>-366361.73999999976</v>
      </c>
      <c r="J13" s="216"/>
      <c r="K13" s="209"/>
      <c r="L13" s="141"/>
      <c r="M13" s="141">
        <f t="shared" si="1"/>
        <v>244012.16</v>
      </c>
      <c r="N13" s="141">
        <f t="shared" si="6"/>
        <v>226012.16</v>
      </c>
      <c r="O13" s="141">
        <f t="shared" si="7"/>
        <v>244012.16</v>
      </c>
      <c r="P13" s="141">
        <f t="shared" si="8"/>
        <v>468030.03</v>
      </c>
      <c r="Q13" s="141">
        <f t="shared" si="9"/>
        <v>435999.77</v>
      </c>
      <c r="R13" s="145"/>
      <c r="S13" s="145"/>
      <c r="T13" s="141">
        <v>0</v>
      </c>
      <c r="U13" s="141"/>
      <c r="V13" s="141">
        <v>84096.02</v>
      </c>
      <c r="W13" s="141">
        <v>495429.69</v>
      </c>
      <c r="X13" s="141">
        <f t="shared" si="11"/>
        <v>579525.71</v>
      </c>
      <c r="Y13" s="145"/>
      <c r="Z13" s="141"/>
      <c r="AA13" s="141"/>
      <c r="AB13" s="141">
        <v>38842.07</v>
      </c>
      <c r="AC13" s="141">
        <v>163119.2</v>
      </c>
      <c r="AD13" s="141">
        <f t="shared" si="12"/>
        <v>201961.27000000002</v>
      </c>
      <c r="AE13" s="141"/>
      <c r="AF13" s="141"/>
      <c r="AG13" s="141">
        <v>14760</v>
      </c>
      <c r="AH13" s="141">
        <v>164622.34</v>
      </c>
      <c r="AI13" s="149">
        <f t="shared" si="13"/>
        <v>179382.34</v>
      </c>
      <c r="AJ13" s="141">
        <v>46629.82</v>
      </c>
      <c r="AK13" s="141"/>
      <c r="AL13" s="141">
        <v>14760</v>
      </c>
      <c r="AM13" s="141">
        <v>164622.34</v>
      </c>
      <c r="AN13" s="149">
        <f t="shared" si="14"/>
        <v>226012.16</v>
      </c>
      <c r="AO13" s="145"/>
      <c r="AP13" s="141">
        <v>64629.82</v>
      </c>
      <c r="AQ13" s="141">
        <v>21093.05</v>
      </c>
      <c r="AR13" s="141">
        <v>14760</v>
      </c>
      <c r="AS13" s="141">
        <v>191430.74</v>
      </c>
      <c r="AT13" s="149">
        <f t="shared" si="15"/>
        <v>291913.61</v>
      </c>
      <c r="AU13" s="145"/>
      <c r="AV13" s="141">
        <v>64629.82</v>
      </c>
      <c r="AW13" s="141">
        <v>64723.12</v>
      </c>
      <c r="AX13" s="141">
        <v>33512.56</v>
      </c>
      <c r="AY13" s="141">
        <v>81146.66</v>
      </c>
      <c r="AZ13" s="149">
        <f t="shared" si="16"/>
        <v>244012.16</v>
      </c>
      <c r="BA13" s="145"/>
      <c r="BB13" s="141">
        <v>46629.82</v>
      </c>
      <c r="BC13" s="141">
        <v>81146.66</v>
      </c>
      <c r="BD13" s="141">
        <v>33512.56</v>
      </c>
      <c r="BE13" s="141">
        <v>64723.12</v>
      </c>
      <c r="BF13" s="149">
        <f t="shared" si="17"/>
        <v>226012.16</v>
      </c>
      <c r="BG13" s="145"/>
      <c r="BH13" s="141">
        <v>64629.82</v>
      </c>
      <c r="BI13" s="141">
        <v>81146.66</v>
      </c>
      <c r="BJ13" s="141">
        <v>33512.56</v>
      </c>
      <c r="BK13" s="141">
        <v>64723.12</v>
      </c>
      <c r="BL13" s="149">
        <f t="shared" si="2"/>
        <v>244012.16</v>
      </c>
      <c r="BM13" s="145"/>
      <c r="BN13" s="141">
        <v>117684.81</v>
      </c>
      <c r="BO13" s="141">
        <v>161827.21</v>
      </c>
      <c r="BP13" s="141">
        <v>60314.52</v>
      </c>
      <c r="BQ13" s="141">
        <v>128203.49</v>
      </c>
      <c r="BR13" s="149">
        <f t="shared" si="3"/>
        <v>468030.03</v>
      </c>
      <c r="BS13" s="145"/>
      <c r="BT13" s="141">
        <v>85241.8</v>
      </c>
      <c r="BU13" s="141">
        <v>161572.41</v>
      </c>
      <c r="BV13" s="141">
        <v>61652.97</v>
      </c>
      <c r="BW13" s="141">
        <v>127532.59</v>
      </c>
      <c r="BX13" s="149">
        <f t="shared" si="4"/>
        <v>435999.77</v>
      </c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</row>
    <row r="14" spans="1:90" s="78" customFormat="1" ht="15" customHeight="1">
      <c r="A14" s="163">
        <v>11308</v>
      </c>
      <c r="B14" s="164" t="s">
        <v>98</v>
      </c>
      <c r="C14" s="85">
        <v>0</v>
      </c>
      <c r="D14" s="85">
        <v>731000.2</v>
      </c>
      <c r="E14" s="221">
        <v>244241.09999999998</v>
      </c>
      <c r="F14" s="86"/>
      <c r="G14" s="86">
        <v>975241.3000000002</v>
      </c>
      <c r="H14" s="87">
        <f t="shared" si="5"/>
        <v>1.334119060432542</v>
      </c>
      <c r="I14" s="89">
        <f t="shared" si="0"/>
        <v>-244241.1000000002</v>
      </c>
      <c r="J14" s="216"/>
      <c r="K14" s="209"/>
      <c r="L14" s="141"/>
      <c r="M14" s="141">
        <f t="shared" si="1"/>
        <v>5364.26</v>
      </c>
      <c r="N14" s="141">
        <f t="shared" si="6"/>
        <v>39074.8</v>
      </c>
      <c r="O14" s="141">
        <f t="shared" si="7"/>
        <v>-28639.400000000005</v>
      </c>
      <c r="P14" s="141">
        <f t="shared" si="8"/>
        <v>5364.26</v>
      </c>
      <c r="Q14" s="141">
        <f t="shared" si="9"/>
        <v>5364.26</v>
      </c>
      <c r="R14" s="145"/>
      <c r="S14" s="145"/>
      <c r="T14" s="141">
        <v>1027.02</v>
      </c>
      <c r="U14" s="141">
        <v>3308.52</v>
      </c>
      <c r="V14" s="141">
        <v>5217.02</v>
      </c>
      <c r="W14" s="141">
        <v>2687.46</v>
      </c>
      <c r="X14" s="141">
        <f t="shared" si="11"/>
        <v>12240.02</v>
      </c>
      <c r="Y14" s="145"/>
      <c r="Z14" s="141">
        <v>342.34</v>
      </c>
      <c r="AA14" s="141">
        <v>956.28</v>
      </c>
      <c r="AB14" s="141">
        <v>2227.54</v>
      </c>
      <c r="AC14" s="141">
        <v>1584.62</v>
      </c>
      <c r="AD14" s="141">
        <f t="shared" si="12"/>
        <v>5110.78</v>
      </c>
      <c r="AE14" s="141">
        <v>966.04</v>
      </c>
      <c r="AF14" s="141">
        <v>809.72</v>
      </c>
      <c r="AG14" s="141">
        <v>2227.54</v>
      </c>
      <c r="AH14" s="141">
        <v>1584.62</v>
      </c>
      <c r="AI14" s="149">
        <f t="shared" si="13"/>
        <v>5587.92</v>
      </c>
      <c r="AJ14" s="141">
        <v>342.34</v>
      </c>
      <c r="AK14" s="141">
        <v>809.72</v>
      </c>
      <c r="AL14" s="141">
        <v>2427.56</v>
      </c>
      <c r="AM14" s="141">
        <v>1584.62</v>
      </c>
      <c r="AN14" s="149">
        <f t="shared" si="14"/>
        <v>5164.24</v>
      </c>
      <c r="AO14" s="145"/>
      <c r="AP14" s="141">
        <v>342.34</v>
      </c>
      <c r="AQ14" s="141">
        <v>809.72</v>
      </c>
      <c r="AR14" s="141">
        <v>2627.58</v>
      </c>
      <c r="AS14" s="141">
        <v>1584.62</v>
      </c>
      <c r="AT14" s="149">
        <f t="shared" si="15"/>
        <v>5364.26</v>
      </c>
      <c r="AU14" s="145"/>
      <c r="AV14" s="141">
        <v>342.34</v>
      </c>
      <c r="AW14" s="141">
        <v>809.72</v>
      </c>
      <c r="AX14" s="141">
        <v>2627.58</v>
      </c>
      <c r="AY14" s="141">
        <v>1584.62</v>
      </c>
      <c r="AZ14" s="149">
        <f t="shared" si="16"/>
        <v>5364.26</v>
      </c>
      <c r="BA14" s="145"/>
      <c r="BB14" s="141">
        <v>34052.88</v>
      </c>
      <c r="BC14" s="141">
        <v>1584.62</v>
      </c>
      <c r="BD14" s="141">
        <v>2627.58</v>
      </c>
      <c r="BE14" s="141">
        <v>809.72</v>
      </c>
      <c r="BF14" s="149">
        <f t="shared" si="17"/>
        <v>39074.8</v>
      </c>
      <c r="BG14" s="145"/>
      <c r="BH14" s="141">
        <f>342.34-33710.54</f>
        <v>-33368.200000000004</v>
      </c>
      <c r="BI14" s="141">
        <v>1584.62</v>
      </c>
      <c r="BJ14" s="141">
        <v>2334.46</v>
      </c>
      <c r="BK14" s="141">
        <v>809.72</v>
      </c>
      <c r="BL14" s="149">
        <f t="shared" si="2"/>
        <v>-28639.400000000005</v>
      </c>
      <c r="BM14" s="145"/>
      <c r="BN14" s="141">
        <v>342.34</v>
      </c>
      <c r="BO14" s="141">
        <v>1584.62</v>
      </c>
      <c r="BP14" s="141">
        <v>2627.58</v>
      </c>
      <c r="BQ14" s="141">
        <v>809.72</v>
      </c>
      <c r="BR14" s="149">
        <f t="shared" si="3"/>
        <v>5364.26</v>
      </c>
      <c r="BS14" s="145"/>
      <c r="BT14" s="141">
        <v>342.34</v>
      </c>
      <c r="BU14" s="141">
        <v>1584.62</v>
      </c>
      <c r="BV14" s="141">
        <v>2627.58</v>
      </c>
      <c r="BW14" s="141">
        <v>809.72</v>
      </c>
      <c r="BX14" s="149">
        <f t="shared" si="4"/>
        <v>5364.26</v>
      </c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</row>
    <row r="15" spans="1:90" s="78" customFormat="1" ht="15" customHeight="1">
      <c r="A15" s="163">
        <v>12101</v>
      </c>
      <c r="B15" s="164" t="s">
        <v>99</v>
      </c>
      <c r="C15" s="85">
        <v>2814830.76</v>
      </c>
      <c r="D15" s="85">
        <v>2773815.1</v>
      </c>
      <c r="E15" s="221">
        <v>1025620.78</v>
      </c>
      <c r="F15" s="86"/>
      <c r="G15" s="86">
        <v>2773815.1</v>
      </c>
      <c r="H15" s="87">
        <f t="shared" si="5"/>
        <v>1</v>
      </c>
      <c r="I15" s="89">
        <f t="shared" si="0"/>
        <v>0</v>
      </c>
      <c r="J15" s="216"/>
      <c r="K15" s="209"/>
      <c r="L15" s="141"/>
      <c r="M15" s="141">
        <f t="shared" si="1"/>
        <v>0</v>
      </c>
      <c r="N15" s="141">
        <f t="shared" si="6"/>
        <v>0</v>
      </c>
      <c r="O15" s="141">
        <f t="shared" si="7"/>
        <v>0</v>
      </c>
      <c r="P15" s="141">
        <f t="shared" si="8"/>
        <v>0</v>
      </c>
      <c r="Q15" s="141">
        <f t="shared" si="9"/>
        <v>0</v>
      </c>
      <c r="R15" s="145"/>
      <c r="S15" s="145"/>
      <c r="T15" s="141">
        <f t="shared" si="10"/>
        <v>0</v>
      </c>
      <c r="U15" s="141"/>
      <c r="V15" s="141"/>
      <c r="W15" s="141"/>
      <c r="X15" s="141">
        <f t="shared" si="11"/>
        <v>0</v>
      </c>
      <c r="Y15" s="145"/>
      <c r="Z15" s="141"/>
      <c r="AA15" s="141"/>
      <c r="AB15" s="141"/>
      <c r="AC15" s="141"/>
      <c r="AD15" s="141">
        <f t="shared" si="12"/>
        <v>0</v>
      </c>
      <c r="AE15" s="141"/>
      <c r="AF15" s="141"/>
      <c r="AG15" s="141"/>
      <c r="AH15" s="141"/>
      <c r="AI15" s="149">
        <f t="shared" si="13"/>
        <v>0</v>
      </c>
      <c r="AJ15" s="141"/>
      <c r="AK15" s="141"/>
      <c r="AL15" s="141"/>
      <c r="AM15" s="141"/>
      <c r="AN15" s="149">
        <f t="shared" si="14"/>
        <v>0</v>
      </c>
      <c r="AO15" s="145"/>
      <c r="AP15" s="141"/>
      <c r="AQ15" s="141"/>
      <c r="AR15" s="141"/>
      <c r="AS15" s="141"/>
      <c r="AT15" s="149">
        <f t="shared" si="15"/>
        <v>0</v>
      </c>
      <c r="AU15" s="145"/>
      <c r="AV15" s="141"/>
      <c r="AW15" s="141"/>
      <c r="AX15" s="141"/>
      <c r="AY15" s="141"/>
      <c r="AZ15" s="149">
        <f t="shared" si="16"/>
        <v>0</v>
      </c>
      <c r="BA15" s="145"/>
      <c r="BB15" s="141"/>
      <c r="BC15" s="141"/>
      <c r="BD15" s="141"/>
      <c r="BE15" s="141"/>
      <c r="BF15" s="149">
        <f t="shared" si="17"/>
        <v>0</v>
      </c>
      <c r="BG15" s="145"/>
      <c r="BH15" s="141"/>
      <c r="BI15" s="141"/>
      <c r="BJ15" s="141"/>
      <c r="BK15" s="141"/>
      <c r="BL15" s="149">
        <f t="shared" si="2"/>
        <v>0</v>
      </c>
      <c r="BM15" s="145"/>
      <c r="BN15" s="141"/>
      <c r="BO15" s="141"/>
      <c r="BP15" s="141"/>
      <c r="BQ15" s="141"/>
      <c r="BR15" s="149">
        <f t="shared" si="3"/>
        <v>0</v>
      </c>
      <c r="BS15" s="145"/>
      <c r="BT15" s="141"/>
      <c r="BU15" s="141"/>
      <c r="BV15" s="141"/>
      <c r="BW15" s="141"/>
      <c r="BX15" s="149">
        <f t="shared" si="4"/>
        <v>0</v>
      </c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</row>
    <row r="16" spans="1:90" s="78" customFormat="1" ht="23.25" customHeight="1">
      <c r="A16" s="163">
        <v>13101</v>
      </c>
      <c r="B16" s="164" t="s">
        <v>100</v>
      </c>
      <c r="C16" s="85">
        <v>98355.48</v>
      </c>
      <c r="D16" s="85">
        <v>78289.94</v>
      </c>
      <c r="E16" s="221">
        <v>20958.36</v>
      </c>
      <c r="F16" s="86"/>
      <c r="G16" s="86">
        <v>78289.94</v>
      </c>
      <c r="H16" s="87">
        <f t="shared" si="5"/>
        <v>1</v>
      </c>
      <c r="I16" s="89">
        <f t="shared" si="0"/>
        <v>0</v>
      </c>
      <c r="J16" s="216"/>
      <c r="K16" s="209"/>
      <c r="L16" s="141"/>
      <c r="M16" s="141">
        <f t="shared" si="1"/>
        <v>0</v>
      </c>
      <c r="N16" s="141">
        <f t="shared" si="6"/>
        <v>0</v>
      </c>
      <c r="O16" s="141">
        <f t="shared" si="7"/>
        <v>0</v>
      </c>
      <c r="P16" s="141">
        <f t="shared" si="8"/>
        <v>0</v>
      </c>
      <c r="Q16" s="141">
        <f t="shared" si="9"/>
        <v>103875.48</v>
      </c>
      <c r="R16" s="145"/>
      <c r="S16" s="145"/>
      <c r="T16" s="141">
        <v>0</v>
      </c>
      <c r="U16" s="141"/>
      <c r="V16" s="141"/>
      <c r="W16" s="141"/>
      <c r="X16" s="141">
        <f t="shared" si="11"/>
        <v>0</v>
      </c>
      <c r="Y16" s="145"/>
      <c r="Z16" s="141"/>
      <c r="AA16" s="141"/>
      <c r="AB16" s="141"/>
      <c r="AC16" s="141"/>
      <c r="AD16" s="141">
        <f t="shared" si="12"/>
        <v>0</v>
      </c>
      <c r="AE16" s="141"/>
      <c r="AF16" s="141"/>
      <c r="AG16" s="141"/>
      <c r="AH16" s="141"/>
      <c r="AI16" s="149">
        <f t="shared" si="13"/>
        <v>0</v>
      </c>
      <c r="AJ16" s="141"/>
      <c r="AK16" s="141">
        <v>6024.27</v>
      </c>
      <c r="AL16" s="141">
        <v>6871.18</v>
      </c>
      <c r="AM16" s="141"/>
      <c r="AN16" s="149">
        <f t="shared" si="14"/>
        <v>12895.45</v>
      </c>
      <c r="AO16" s="145"/>
      <c r="AP16" s="141">
        <v>19805.55</v>
      </c>
      <c r="AQ16" s="141">
        <v>21489.66</v>
      </c>
      <c r="AR16" s="141">
        <v>33815.63</v>
      </c>
      <c r="AS16" s="141">
        <v>15880.25</v>
      </c>
      <c r="AT16" s="149">
        <f t="shared" si="15"/>
        <v>90991.09</v>
      </c>
      <c r="AU16" s="145"/>
      <c r="AV16" s="141"/>
      <c r="AW16" s="141"/>
      <c r="AX16" s="141"/>
      <c r="AY16" s="141"/>
      <c r="AZ16" s="149">
        <f t="shared" si="16"/>
        <v>0</v>
      </c>
      <c r="BA16" s="145"/>
      <c r="BB16" s="141"/>
      <c r="BC16" s="141"/>
      <c r="BD16" s="141"/>
      <c r="BE16" s="141"/>
      <c r="BF16" s="149">
        <f t="shared" si="17"/>
        <v>0</v>
      </c>
      <c r="BG16" s="145"/>
      <c r="BH16" s="141"/>
      <c r="BI16" s="141"/>
      <c r="BJ16" s="141"/>
      <c r="BK16" s="141"/>
      <c r="BL16" s="149">
        <f t="shared" si="2"/>
        <v>0</v>
      </c>
      <c r="BM16" s="145"/>
      <c r="BN16" s="141"/>
      <c r="BO16" s="141"/>
      <c r="BP16" s="141"/>
      <c r="BQ16" s="141"/>
      <c r="BR16" s="149">
        <f t="shared" si="3"/>
        <v>0</v>
      </c>
      <c r="BS16" s="145"/>
      <c r="BT16" s="141">
        <v>22838.76</v>
      </c>
      <c r="BU16" s="141">
        <v>18081.48</v>
      </c>
      <c r="BV16" s="141">
        <v>33433.98</v>
      </c>
      <c r="BW16" s="141">
        <v>29521.26</v>
      </c>
      <c r="BX16" s="149">
        <f t="shared" si="4"/>
        <v>103875.48</v>
      </c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</row>
    <row r="17" spans="1:90" s="78" customFormat="1" ht="15" customHeight="1">
      <c r="A17" s="163">
        <v>13201</v>
      </c>
      <c r="B17" s="164" t="s">
        <v>101</v>
      </c>
      <c r="C17" s="85">
        <v>510162.14</v>
      </c>
      <c r="D17" s="85">
        <v>212683.18</v>
      </c>
      <c r="E17" s="221">
        <v>20368.02</v>
      </c>
      <c r="F17" s="86"/>
      <c r="G17" s="86">
        <v>212683.18000000002</v>
      </c>
      <c r="H17" s="87">
        <f t="shared" si="5"/>
        <v>1.0000000000000002</v>
      </c>
      <c r="I17" s="89">
        <f t="shared" si="0"/>
        <v>0</v>
      </c>
      <c r="J17" s="216"/>
      <c r="K17" s="209"/>
      <c r="L17" s="141"/>
      <c r="M17" s="141">
        <f t="shared" si="1"/>
        <v>0</v>
      </c>
      <c r="N17" s="141">
        <f t="shared" si="6"/>
        <v>0</v>
      </c>
      <c r="O17" s="141">
        <f t="shared" si="7"/>
        <v>0</v>
      </c>
      <c r="P17" s="141">
        <f t="shared" si="8"/>
        <v>0</v>
      </c>
      <c r="Q17" s="141">
        <f t="shared" si="9"/>
        <v>195551.18</v>
      </c>
      <c r="R17" s="145"/>
      <c r="S17" s="145"/>
      <c r="T17" s="141">
        <v>0</v>
      </c>
      <c r="U17" s="141"/>
      <c r="V17" s="141"/>
      <c r="W17" s="141"/>
      <c r="X17" s="141">
        <f t="shared" si="11"/>
        <v>0</v>
      </c>
      <c r="Y17" s="145"/>
      <c r="Z17" s="141"/>
      <c r="AA17" s="141"/>
      <c r="AB17" s="141"/>
      <c r="AC17" s="141"/>
      <c r="AD17" s="141">
        <f t="shared" si="12"/>
        <v>0</v>
      </c>
      <c r="AE17" s="141"/>
      <c r="AF17" s="141"/>
      <c r="AG17" s="141"/>
      <c r="AH17" s="141"/>
      <c r="AI17" s="149">
        <f t="shared" si="13"/>
        <v>0</v>
      </c>
      <c r="AJ17" s="141"/>
      <c r="AK17" s="141">
        <v>8318.3</v>
      </c>
      <c r="AL17" s="141">
        <v>4522.27</v>
      </c>
      <c r="AM17" s="141"/>
      <c r="AN17" s="149">
        <f t="shared" si="14"/>
        <v>12840.57</v>
      </c>
      <c r="AO17" s="141"/>
      <c r="AP17" s="141"/>
      <c r="AQ17" s="141"/>
      <c r="AR17" s="141"/>
      <c r="AS17" s="141"/>
      <c r="AT17" s="149">
        <f t="shared" si="15"/>
        <v>0</v>
      </c>
      <c r="AU17" s="145"/>
      <c r="AV17" s="141"/>
      <c r="AW17" s="141"/>
      <c r="AX17" s="141"/>
      <c r="AY17" s="141"/>
      <c r="AZ17" s="149">
        <f t="shared" si="16"/>
        <v>0</v>
      </c>
      <c r="BA17" s="145"/>
      <c r="BB17" s="141"/>
      <c r="BC17" s="141"/>
      <c r="BD17" s="141"/>
      <c r="BE17" s="141"/>
      <c r="BF17" s="149">
        <f t="shared" si="17"/>
        <v>0</v>
      </c>
      <c r="BG17" s="145"/>
      <c r="BH17" s="141"/>
      <c r="BI17" s="141"/>
      <c r="BJ17" s="141"/>
      <c r="BK17" s="141"/>
      <c r="BL17" s="149">
        <f t="shared" si="2"/>
        <v>0</v>
      </c>
      <c r="BM17" s="145"/>
      <c r="BN17" s="141"/>
      <c r="BO17" s="141"/>
      <c r="BP17" s="141"/>
      <c r="BQ17" s="141"/>
      <c r="BR17" s="149">
        <f t="shared" si="3"/>
        <v>0</v>
      </c>
      <c r="BS17" s="145"/>
      <c r="BT17" s="141">
        <v>47611.44</v>
      </c>
      <c r="BU17" s="141">
        <v>34231.84</v>
      </c>
      <c r="BV17" s="141">
        <v>61609.4</v>
      </c>
      <c r="BW17" s="141">
        <v>52098.5</v>
      </c>
      <c r="BX17" s="149">
        <f t="shared" si="4"/>
        <v>195551.18</v>
      </c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</row>
    <row r="18" spans="1:90" s="78" customFormat="1" ht="15" customHeight="1">
      <c r="A18" s="163">
        <v>13202</v>
      </c>
      <c r="B18" s="164" t="s">
        <v>102</v>
      </c>
      <c r="C18" s="85">
        <v>1436675.17</v>
      </c>
      <c r="D18" s="85">
        <v>686067.64</v>
      </c>
      <c r="E18" s="221">
        <v>686067.64</v>
      </c>
      <c r="F18" s="86"/>
      <c r="G18" s="86">
        <v>686067.64</v>
      </c>
      <c r="H18" s="87">
        <f t="shared" si="5"/>
        <v>1</v>
      </c>
      <c r="I18" s="89">
        <f t="shared" si="0"/>
        <v>0</v>
      </c>
      <c r="J18" s="216"/>
      <c r="K18" s="209"/>
      <c r="L18" s="141"/>
      <c r="M18" s="141">
        <f t="shared" si="1"/>
        <v>0</v>
      </c>
      <c r="N18" s="141">
        <f t="shared" si="6"/>
        <v>0</v>
      </c>
      <c r="O18" s="141">
        <f t="shared" si="7"/>
        <v>0</v>
      </c>
      <c r="P18" s="141">
        <f t="shared" si="8"/>
        <v>0</v>
      </c>
      <c r="Q18" s="141">
        <f t="shared" si="9"/>
        <v>0</v>
      </c>
      <c r="R18" s="145"/>
      <c r="S18" s="145"/>
      <c r="T18" s="141">
        <f t="shared" si="10"/>
        <v>0</v>
      </c>
      <c r="U18" s="141"/>
      <c r="V18" s="141"/>
      <c r="W18" s="141"/>
      <c r="X18" s="141">
        <f t="shared" si="11"/>
        <v>0</v>
      </c>
      <c r="Y18" s="145"/>
      <c r="Z18" s="141"/>
      <c r="AA18" s="141"/>
      <c r="AB18" s="141"/>
      <c r="AC18" s="141"/>
      <c r="AD18" s="141">
        <f t="shared" si="12"/>
        <v>0</v>
      </c>
      <c r="AE18" s="141"/>
      <c r="AF18" s="141"/>
      <c r="AG18" s="141"/>
      <c r="AH18" s="141"/>
      <c r="AI18" s="149">
        <f t="shared" si="13"/>
        <v>0</v>
      </c>
      <c r="AJ18" s="141"/>
      <c r="AK18" s="141"/>
      <c r="AL18" s="141"/>
      <c r="AM18" s="141"/>
      <c r="AN18" s="149">
        <f t="shared" si="14"/>
        <v>0</v>
      </c>
      <c r="AO18" s="145"/>
      <c r="AP18" s="141"/>
      <c r="AQ18" s="141"/>
      <c r="AR18" s="141"/>
      <c r="AS18" s="141"/>
      <c r="AT18" s="149">
        <f t="shared" si="15"/>
        <v>0</v>
      </c>
      <c r="AU18" s="145"/>
      <c r="AV18" s="141"/>
      <c r="AW18" s="141"/>
      <c r="AX18" s="141"/>
      <c r="AY18" s="141"/>
      <c r="AZ18" s="149">
        <f t="shared" si="16"/>
        <v>0</v>
      </c>
      <c r="BA18" s="145"/>
      <c r="BB18" s="141"/>
      <c r="BC18" s="141"/>
      <c r="BD18" s="141"/>
      <c r="BE18" s="141"/>
      <c r="BF18" s="149">
        <f t="shared" si="17"/>
        <v>0</v>
      </c>
      <c r="BG18" s="145"/>
      <c r="BH18" s="141"/>
      <c r="BI18" s="141"/>
      <c r="BJ18" s="141"/>
      <c r="BK18" s="141"/>
      <c r="BL18" s="149">
        <f t="shared" si="2"/>
        <v>0</v>
      </c>
      <c r="BM18" s="145"/>
      <c r="BN18" s="141"/>
      <c r="BO18" s="141"/>
      <c r="BP18" s="141"/>
      <c r="BQ18" s="141"/>
      <c r="BR18" s="149">
        <f t="shared" si="3"/>
        <v>0</v>
      </c>
      <c r="BS18" s="145"/>
      <c r="BT18" s="141"/>
      <c r="BU18" s="141"/>
      <c r="BV18" s="141"/>
      <c r="BW18" s="141"/>
      <c r="BX18" s="149">
        <f t="shared" si="4"/>
        <v>0</v>
      </c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</row>
    <row r="19" spans="1:90" s="78" customFormat="1" ht="15" customHeight="1">
      <c r="A19" s="163">
        <v>13403</v>
      </c>
      <c r="B19" s="164" t="s">
        <v>103</v>
      </c>
      <c r="C19" s="85">
        <v>2997726.48</v>
      </c>
      <c r="D19" s="85">
        <v>2016818.31</v>
      </c>
      <c r="E19" s="221">
        <v>675423.45</v>
      </c>
      <c r="F19" s="86"/>
      <c r="G19" s="86">
        <v>2016818.3100000003</v>
      </c>
      <c r="H19" s="87">
        <f t="shared" si="5"/>
        <v>1.0000000000000002</v>
      </c>
      <c r="I19" s="89">
        <f t="shared" si="0"/>
        <v>0</v>
      </c>
      <c r="J19" s="216"/>
      <c r="K19" s="209"/>
      <c r="L19" s="141"/>
      <c r="M19" s="141">
        <f t="shared" si="1"/>
        <v>120210.54000000001</v>
      </c>
      <c r="N19" s="141">
        <f t="shared" si="6"/>
        <v>86500</v>
      </c>
      <c r="O19" s="141">
        <f t="shared" si="7"/>
        <v>153921.08000000002</v>
      </c>
      <c r="P19" s="141">
        <f t="shared" si="8"/>
        <v>120210.54000000001</v>
      </c>
      <c r="Q19" s="141">
        <f t="shared" si="9"/>
        <v>120210.54000000001</v>
      </c>
      <c r="R19" s="145"/>
      <c r="S19" s="145"/>
      <c r="T19" s="141">
        <v>90631.62</v>
      </c>
      <c r="U19" s="141">
        <v>67500</v>
      </c>
      <c r="V19" s="141">
        <v>84500</v>
      </c>
      <c r="W19" s="141">
        <v>42000</v>
      </c>
      <c r="X19" s="141">
        <f t="shared" si="11"/>
        <v>284631.62</v>
      </c>
      <c r="Y19" s="145"/>
      <c r="Z19" s="141">
        <v>30210.54</v>
      </c>
      <c r="AA19" s="141">
        <v>22500</v>
      </c>
      <c r="AB19" s="141">
        <v>31000</v>
      </c>
      <c r="AC19" s="141">
        <v>14000</v>
      </c>
      <c r="AD19" s="141">
        <f t="shared" si="12"/>
        <v>97710.54000000001</v>
      </c>
      <c r="AE19" s="141">
        <v>31210.54</v>
      </c>
      <c r="AF19" s="141">
        <v>24500</v>
      </c>
      <c r="AG19" s="141">
        <v>35000</v>
      </c>
      <c r="AH19" s="141">
        <v>17000</v>
      </c>
      <c r="AI19" s="149">
        <f t="shared" si="13"/>
        <v>107710.54000000001</v>
      </c>
      <c r="AJ19" s="141">
        <v>33710.54</v>
      </c>
      <c r="AK19" s="141">
        <v>58500</v>
      </c>
      <c r="AL19" s="141">
        <v>52000</v>
      </c>
      <c r="AM19" s="141">
        <v>14000</v>
      </c>
      <c r="AN19" s="149">
        <f t="shared" si="14"/>
        <v>158210.54</v>
      </c>
      <c r="AO19" s="145"/>
      <c r="AP19" s="141">
        <v>33710.54</v>
      </c>
      <c r="AQ19" s="141">
        <v>34500</v>
      </c>
      <c r="AR19" s="141">
        <v>38000</v>
      </c>
      <c r="AS19" s="141">
        <v>14000</v>
      </c>
      <c r="AT19" s="149">
        <f t="shared" si="15"/>
        <v>120210.54000000001</v>
      </c>
      <c r="AU19" s="145"/>
      <c r="AV19" s="141">
        <v>33710.54</v>
      </c>
      <c r="AW19" s="141">
        <v>34500</v>
      </c>
      <c r="AX19" s="141">
        <v>38000</v>
      </c>
      <c r="AY19" s="141">
        <v>14000</v>
      </c>
      <c r="AZ19" s="149">
        <f t="shared" si="16"/>
        <v>120210.54000000001</v>
      </c>
      <c r="BA19" s="145"/>
      <c r="BB19" s="141"/>
      <c r="BC19" s="141">
        <v>14000</v>
      </c>
      <c r="BD19" s="141">
        <v>38000</v>
      </c>
      <c r="BE19" s="141">
        <v>34500</v>
      </c>
      <c r="BF19" s="149">
        <f t="shared" si="17"/>
        <v>86500</v>
      </c>
      <c r="BG19" s="145"/>
      <c r="BH19" s="141">
        <v>67421.08</v>
      </c>
      <c r="BI19" s="141">
        <v>14000</v>
      </c>
      <c r="BJ19" s="141">
        <v>38000</v>
      </c>
      <c r="BK19" s="141">
        <v>34500</v>
      </c>
      <c r="BL19" s="149">
        <f t="shared" si="2"/>
        <v>153921.08000000002</v>
      </c>
      <c r="BM19" s="145"/>
      <c r="BN19" s="141">
        <v>33710.54</v>
      </c>
      <c r="BO19" s="141">
        <v>14000</v>
      </c>
      <c r="BP19" s="141">
        <v>38000</v>
      </c>
      <c r="BQ19" s="141">
        <v>34500</v>
      </c>
      <c r="BR19" s="149">
        <f t="shared" si="3"/>
        <v>120210.54000000001</v>
      </c>
      <c r="BS19" s="145"/>
      <c r="BT19" s="141">
        <v>33710.54</v>
      </c>
      <c r="BU19" s="141">
        <v>14000</v>
      </c>
      <c r="BV19" s="141">
        <v>38000</v>
      </c>
      <c r="BW19" s="141">
        <v>34500</v>
      </c>
      <c r="BX19" s="149">
        <f t="shared" si="4"/>
        <v>120210.54000000001</v>
      </c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</row>
    <row r="20" spans="1:90" s="78" customFormat="1" ht="15" customHeight="1">
      <c r="A20" s="163">
        <v>13203</v>
      </c>
      <c r="B20" s="164" t="s">
        <v>104</v>
      </c>
      <c r="C20" s="85">
        <v>127540.54</v>
      </c>
      <c r="D20" s="85">
        <v>93521.03</v>
      </c>
      <c r="E20" s="221">
        <v>93521.03</v>
      </c>
      <c r="F20" s="86"/>
      <c r="G20" s="86">
        <v>93521.03</v>
      </c>
      <c r="H20" s="87">
        <f t="shared" si="5"/>
        <v>1</v>
      </c>
      <c r="I20" s="89">
        <f t="shared" si="0"/>
        <v>0</v>
      </c>
      <c r="J20" s="216"/>
      <c r="K20" s="209"/>
      <c r="L20" s="141"/>
      <c r="M20" s="141">
        <f t="shared" si="1"/>
        <v>0</v>
      </c>
      <c r="N20" s="141">
        <f t="shared" si="6"/>
        <v>0</v>
      </c>
      <c r="O20" s="141">
        <f t="shared" si="7"/>
        <v>0</v>
      </c>
      <c r="P20" s="141">
        <f t="shared" si="8"/>
        <v>0</v>
      </c>
      <c r="Q20" s="141">
        <f t="shared" si="9"/>
        <v>0</v>
      </c>
      <c r="R20" s="145"/>
      <c r="S20" s="145"/>
      <c r="T20" s="141">
        <f t="shared" si="10"/>
        <v>0</v>
      </c>
      <c r="U20" s="141"/>
      <c r="V20" s="141"/>
      <c r="W20" s="141"/>
      <c r="X20" s="141">
        <f t="shared" si="11"/>
        <v>0</v>
      </c>
      <c r="Y20" s="145"/>
      <c r="Z20" s="141"/>
      <c r="AA20" s="141"/>
      <c r="AB20" s="141"/>
      <c r="AC20" s="141"/>
      <c r="AD20" s="141">
        <f t="shared" si="12"/>
        <v>0</v>
      </c>
      <c r="AE20" s="141"/>
      <c r="AF20" s="141"/>
      <c r="AG20" s="141"/>
      <c r="AH20" s="141"/>
      <c r="AI20" s="149">
        <f t="shared" si="13"/>
        <v>0</v>
      </c>
      <c r="AJ20" s="141"/>
      <c r="AK20" s="141"/>
      <c r="AL20" s="141"/>
      <c r="AM20" s="141"/>
      <c r="AN20" s="149">
        <f t="shared" si="14"/>
        <v>0</v>
      </c>
      <c r="AO20" s="145"/>
      <c r="AP20" s="141"/>
      <c r="AQ20" s="141"/>
      <c r="AR20" s="141"/>
      <c r="AS20" s="141"/>
      <c r="AT20" s="149">
        <f t="shared" si="15"/>
        <v>0</v>
      </c>
      <c r="AU20" s="145"/>
      <c r="AV20" s="141"/>
      <c r="AW20" s="141"/>
      <c r="AX20" s="141"/>
      <c r="AY20" s="141"/>
      <c r="AZ20" s="149">
        <f t="shared" si="16"/>
        <v>0</v>
      </c>
      <c r="BA20" s="145"/>
      <c r="BB20" s="141"/>
      <c r="BC20" s="141"/>
      <c r="BD20" s="141"/>
      <c r="BE20" s="141"/>
      <c r="BF20" s="149">
        <f t="shared" si="17"/>
        <v>0</v>
      </c>
      <c r="BG20" s="145"/>
      <c r="BH20" s="141"/>
      <c r="BI20" s="141"/>
      <c r="BJ20" s="141"/>
      <c r="BK20" s="141"/>
      <c r="BL20" s="149">
        <f t="shared" si="2"/>
        <v>0</v>
      </c>
      <c r="BM20" s="145"/>
      <c r="BN20" s="141"/>
      <c r="BO20" s="141"/>
      <c r="BP20" s="141"/>
      <c r="BQ20" s="141"/>
      <c r="BR20" s="149">
        <f t="shared" si="3"/>
        <v>0</v>
      </c>
      <c r="BS20" s="145"/>
      <c r="BT20" s="141"/>
      <c r="BU20" s="141"/>
      <c r="BV20" s="141"/>
      <c r="BW20" s="141"/>
      <c r="BX20" s="149">
        <f t="shared" si="4"/>
        <v>0</v>
      </c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</row>
    <row r="21" spans="1:90" s="78" customFormat="1" ht="15" customHeight="1">
      <c r="A21" s="163">
        <v>13204</v>
      </c>
      <c r="B21" s="164" t="s">
        <v>105</v>
      </c>
      <c r="C21" s="85">
        <v>127540.54</v>
      </c>
      <c r="D21" s="85">
        <v>97584.74</v>
      </c>
      <c r="E21" s="221">
        <v>97584.74</v>
      </c>
      <c r="F21" s="86"/>
      <c r="G21" s="86">
        <v>97584.74</v>
      </c>
      <c r="H21" s="87">
        <f t="shared" si="5"/>
        <v>1</v>
      </c>
      <c r="I21" s="89">
        <f t="shared" si="0"/>
        <v>0</v>
      </c>
      <c r="J21" s="216"/>
      <c r="K21" s="209"/>
      <c r="L21" s="141"/>
      <c r="M21" s="141">
        <f t="shared" si="1"/>
        <v>0</v>
      </c>
      <c r="N21" s="141">
        <f t="shared" si="6"/>
        <v>0</v>
      </c>
      <c r="O21" s="141">
        <f t="shared" si="7"/>
        <v>0</v>
      </c>
      <c r="P21" s="141">
        <f t="shared" si="8"/>
        <v>0</v>
      </c>
      <c r="Q21" s="141">
        <f t="shared" si="9"/>
        <v>0</v>
      </c>
      <c r="R21" s="145"/>
      <c r="S21" s="145"/>
      <c r="T21" s="141">
        <f t="shared" si="10"/>
        <v>0</v>
      </c>
      <c r="U21" s="141"/>
      <c r="V21" s="141"/>
      <c r="W21" s="141"/>
      <c r="X21" s="141">
        <f t="shared" si="11"/>
        <v>0</v>
      </c>
      <c r="Y21" s="145"/>
      <c r="Z21" s="141"/>
      <c r="AA21" s="141"/>
      <c r="AB21" s="141"/>
      <c r="AC21" s="141"/>
      <c r="AD21" s="141">
        <f t="shared" si="12"/>
        <v>0</v>
      </c>
      <c r="AE21" s="141"/>
      <c r="AF21" s="141"/>
      <c r="AG21" s="141"/>
      <c r="AH21" s="141"/>
      <c r="AI21" s="149">
        <f t="shared" si="13"/>
        <v>0</v>
      </c>
      <c r="AJ21" s="141"/>
      <c r="AK21" s="141"/>
      <c r="AL21" s="141"/>
      <c r="AM21" s="141"/>
      <c r="AN21" s="149">
        <f t="shared" si="14"/>
        <v>0</v>
      </c>
      <c r="AO21" s="145"/>
      <c r="AP21" s="141"/>
      <c r="AQ21" s="141"/>
      <c r="AR21" s="141"/>
      <c r="AS21" s="141"/>
      <c r="AT21" s="149">
        <f t="shared" si="15"/>
        <v>0</v>
      </c>
      <c r="AU21" s="145"/>
      <c r="AV21" s="141"/>
      <c r="AW21" s="141"/>
      <c r="AX21" s="141"/>
      <c r="AY21" s="141"/>
      <c r="AZ21" s="149">
        <f t="shared" si="16"/>
        <v>0</v>
      </c>
      <c r="BA21" s="145"/>
      <c r="BB21" s="141"/>
      <c r="BC21" s="141"/>
      <c r="BD21" s="141"/>
      <c r="BE21" s="141"/>
      <c r="BF21" s="149">
        <f t="shared" si="17"/>
        <v>0</v>
      </c>
      <c r="BG21" s="145"/>
      <c r="BH21" s="141"/>
      <c r="BI21" s="141"/>
      <c r="BJ21" s="141"/>
      <c r="BK21" s="141"/>
      <c r="BL21" s="149">
        <f t="shared" si="2"/>
        <v>0</v>
      </c>
      <c r="BM21" s="145"/>
      <c r="BN21" s="141"/>
      <c r="BO21" s="141"/>
      <c r="BP21" s="141"/>
      <c r="BQ21" s="141"/>
      <c r="BR21" s="149">
        <f t="shared" si="3"/>
        <v>0</v>
      </c>
      <c r="BS21" s="145"/>
      <c r="BT21" s="141"/>
      <c r="BU21" s="141"/>
      <c r="BV21" s="141"/>
      <c r="BW21" s="141"/>
      <c r="BX21" s="149">
        <f t="shared" si="4"/>
        <v>0</v>
      </c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</row>
    <row r="22" spans="1:90" s="78" customFormat="1" ht="15" customHeight="1">
      <c r="A22" s="163">
        <v>11308</v>
      </c>
      <c r="B22" s="164" t="s">
        <v>106</v>
      </c>
      <c r="C22" s="85">
        <v>0</v>
      </c>
      <c r="D22" s="85">
        <v>0</v>
      </c>
      <c r="E22" s="221">
        <v>0</v>
      </c>
      <c r="F22" s="86"/>
      <c r="G22" s="86">
        <v>0</v>
      </c>
      <c r="H22" s="87">
        <v>0</v>
      </c>
      <c r="I22" s="89">
        <f t="shared" si="0"/>
        <v>0</v>
      </c>
      <c r="J22" s="216"/>
      <c r="K22" s="209"/>
      <c r="L22" s="141"/>
      <c r="M22" s="141">
        <f>AZ22</f>
        <v>73146.8</v>
      </c>
      <c r="N22" s="141">
        <f t="shared" si="6"/>
        <v>73146.8</v>
      </c>
      <c r="O22" s="141">
        <f t="shared" si="7"/>
        <v>73146.8</v>
      </c>
      <c r="P22" s="141">
        <f t="shared" si="8"/>
        <v>73146.8</v>
      </c>
      <c r="Q22" s="141">
        <f t="shared" si="9"/>
        <v>73146.8</v>
      </c>
      <c r="R22" s="145"/>
      <c r="S22" s="145"/>
      <c r="T22" s="141">
        <v>40587.6</v>
      </c>
      <c r="U22" s="141">
        <v>50912.66</v>
      </c>
      <c r="V22" s="141">
        <v>70188.72</v>
      </c>
      <c r="W22" s="141">
        <v>37102.8</v>
      </c>
      <c r="X22" s="141">
        <f t="shared" si="11"/>
        <v>198791.78000000003</v>
      </c>
      <c r="Y22" s="145"/>
      <c r="Z22" s="141">
        <v>12616.24</v>
      </c>
      <c r="AA22" s="141">
        <v>20341.08</v>
      </c>
      <c r="AB22" s="141">
        <v>24164.26</v>
      </c>
      <c r="AC22" s="141">
        <v>12023.2</v>
      </c>
      <c r="AD22" s="141">
        <f t="shared" si="12"/>
        <v>69144.78</v>
      </c>
      <c r="AE22" s="141">
        <v>15896.44</v>
      </c>
      <c r="AF22" s="141">
        <v>20341.08</v>
      </c>
      <c r="AG22" s="141">
        <v>24932.28</v>
      </c>
      <c r="AH22" s="141">
        <v>12023.2</v>
      </c>
      <c r="AI22" s="149">
        <f t="shared" si="13"/>
        <v>73193</v>
      </c>
      <c r="AJ22" s="141">
        <v>15850.24</v>
      </c>
      <c r="AK22" s="141">
        <v>20341.08</v>
      </c>
      <c r="AL22" s="141">
        <v>24932.28</v>
      </c>
      <c r="AM22" s="141">
        <v>12023.2</v>
      </c>
      <c r="AN22" s="149">
        <f t="shared" si="14"/>
        <v>73146.8</v>
      </c>
      <c r="AO22" s="145"/>
      <c r="AP22" s="141">
        <v>15850.24</v>
      </c>
      <c r="AQ22" s="141">
        <v>20341.08</v>
      </c>
      <c r="AR22" s="141">
        <v>24932.28</v>
      </c>
      <c r="AS22" s="141">
        <v>12023.2</v>
      </c>
      <c r="AT22" s="149">
        <f t="shared" si="15"/>
        <v>73146.8</v>
      </c>
      <c r="AU22" s="145"/>
      <c r="AV22" s="141">
        <v>15850.24</v>
      </c>
      <c r="AW22" s="141">
        <v>20341.08</v>
      </c>
      <c r="AX22" s="141">
        <v>24932.28</v>
      </c>
      <c r="AY22" s="141">
        <v>12023.2</v>
      </c>
      <c r="AZ22" s="149">
        <f t="shared" si="16"/>
        <v>73146.8</v>
      </c>
      <c r="BA22" s="145"/>
      <c r="BB22" s="141">
        <v>15850.24</v>
      </c>
      <c r="BC22" s="141">
        <v>12023.2</v>
      </c>
      <c r="BD22" s="141">
        <v>24932.28</v>
      </c>
      <c r="BE22" s="141">
        <v>20341.08</v>
      </c>
      <c r="BF22" s="149">
        <f t="shared" si="17"/>
        <v>73146.8</v>
      </c>
      <c r="BG22" s="145"/>
      <c r="BH22" s="141">
        <v>15850.24</v>
      </c>
      <c r="BI22" s="141">
        <v>12023.2</v>
      </c>
      <c r="BJ22" s="141">
        <v>24932.28</v>
      </c>
      <c r="BK22" s="141">
        <v>20341.08</v>
      </c>
      <c r="BL22" s="149">
        <f t="shared" si="2"/>
        <v>73146.8</v>
      </c>
      <c r="BM22" s="145"/>
      <c r="BN22" s="141">
        <v>15850.24</v>
      </c>
      <c r="BO22" s="141">
        <v>12023.2</v>
      </c>
      <c r="BP22" s="141">
        <v>24932.28</v>
      </c>
      <c r="BQ22" s="141">
        <v>20341.08</v>
      </c>
      <c r="BR22" s="149">
        <f t="shared" si="3"/>
        <v>73146.8</v>
      </c>
      <c r="BS22" s="145"/>
      <c r="BT22" s="141">
        <v>15850.24</v>
      </c>
      <c r="BU22" s="141">
        <v>12023.2</v>
      </c>
      <c r="BV22" s="141">
        <v>24932.28</v>
      </c>
      <c r="BW22" s="141">
        <v>20341.08</v>
      </c>
      <c r="BX22" s="149">
        <f t="shared" si="4"/>
        <v>73146.8</v>
      </c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</row>
    <row r="23" spans="1:90" s="78" customFormat="1" ht="15" customHeight="1">
      <c r="A23" s="163"/>
      <c r="B23" s="164"/>
      <c r="C23" s="85">
        <v>0</v>
      </c>
      <c r="D23" s="85">
        <v>0</v>
      </c>
      <c r="E23" s="221">
        <v>0</v>
      </c>
      <c r="F23" s="86"/>
      <c r="G23" s="86">
        <v>0</v>
      </c>
      <c r="H23" s="87">
        <v>0</v>
      </c>
      <c r="I23" s="89">
        <f t="shared" si="0"/>
        <v>0</v>
      </c>
      <c r="J23" s="216"/>
      <c r="K23" s="209"/>
      <c r="L23" s="141"/>
      <c r="M23" s="141">
        <f aca="true" t="shared" si="18" ref="M23:M86">AZ23</f>
        <v>0</v>
      </c>
      <c r="N23" s="141">
        <f t="shared" si="6"/>
        <v>0</v>
      </c>
      <c r="O23" s="141">
        <f t="shared" si="7"/>
        <v>0</v>
      </c>
      <c r="P23" s="141">
        <f t="shared" si="8"/>
        <v>0</v>
      </c>
      <c r="Q23" s="141">
        <f t="shared" si="9"/>
        <v>0</v>
      </c>
      <c r="R23" s="145"/>
      <c r="S23" s="145"/>
      <c r="T23" s="141">
        <v>0</v>
      </c>
      <c r="U23" s="141"/>
      <c r="V23" s="141"/>
      <c r="W23" s="141"/>
      <c r="X23" s="141">
        <f t="shared" si="11"/>
        <v>0</v>
      </c>
      <c r="Y23" s="145"/>
      <c r="Z23" s="141"/>
      <c r="AA23" s="141"/>
      <c r="AB23" s="141"/>
      <c r="AC23" s="141"/>
      <c r="AD23" s="141">
        <f t="shared" si="12"/>
        <v>0</v>
      </c>
      <c r="AE23" s="141"/>
      <c r="AF23" s="141"/>
      <c r="AG23" s="141"/>
      <c r="AH23" s="141"/>
      <c r="AI23" s="149">
        <f t="shared" si="13"/>
        <v>0</v>
      </c>
      <c r="AJ23" s="141"/>
      <c r="AK23" s="141"/>
      <c r="AL23" s="141"/>
      <c r="AM23" s="141"/>
      <c r="AN23" s="149">
        <f t="shared" si="14"/>
        <v>0</v>
      </c>
      <c r="AO23" s="145"/>
      <c r="AP23" s="141"/>
      <c r="AQ23" s="141"/>
      <c r="AR23" s="141"/>
      <c r="AS23" s="141"/>
      <c r="AT23" s="149">
        <f t="shared" si="15"/>
        <v>0</v>
      </c>
      <c r="AU23" s="145"/>
      <c r="AV23" s="141"/>
      <c r="AW23" s="141"/>
      <c r="AX23" s="141"/>
      <c r="AY23" s="141"/>
      <c r="AZ23" s="149">
        <f t="shared" si="16"/>
        <v>0</v>
      </c>
      <c r="BA23" s="145"/>
      <c r="BB23" s="141"/>
      <c r="BC23" s="141"/>
      <c r="BD23" s="141"/>
      <c r="BE23" s="141"/>
      <c r="BF23" s="149">
        <f t="shared" si="17"/>
        <v>0</v>
      </c>
      <c r="BG23" s="145"/>
      <c r="BH23" s="141"/>
      <c r="BI23" s="141"/>
      <c r="BJ23" s="141"/>
      <c r="BK23" s="141"/>
      <c r="BL23" s="149">
        <f t="shared" si="2"/>
        <v>0</v>
      </c>
      <c r="BM23" s="145"/>
      <c r="BN23" s="141"/>
      <c r="BO23" s="141"/>
      <c r="BP23" s="141"/>
      <c r="BQ23" s="141"/>
      <c r="BR23" s="149">
        <f t="shared" si="3"/>
        <v>0</v>
      </c>
      <c r="BS23" s="145"/>
      <c r="BT23" s="141"/>
      <c r="BU23" s="141"/>
      <c r="BV23" s="141"/>
      <c r="BW23" s="141"/>
      <c r="BX23" s="149">
        <f t="shared" si="4"/>
        <v>0</v>
      </c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</row>
    <row r="24" spans="1:90" s="78" customFormat="1" ht="15" customHeight="1">
      <c r="A24" s="163"/>
      <c r="B24" s="164"/>
      <c r="C24" s="85">
        <v>0</v>
      </c>
      <c r="D24" s="85">
        <v>0</v>
      </c>
      <c r="E24" s="221">
        <v>0</v>
      </c>
      <c r="F24" s="86"/>
      <c r="G24" s="86">
        <v>0</v>
      </c>
      <c r="H24" s="87">
        <v>0</v>
      </c>
      <c r="I24" s="89">
        <f t="shared" si="0"/>
        <v>0</v>
      </c>
      <c r="J24" s="216"/>
      <c r="K24" s="209"/>
      <c r="L24" s="141"/>
      <c r="M24" s="141">
        <f t="shared" si="18"/>
        <v>0</v>
      </c>
      <c r="N24" s="141">
        <f t="shared" si="6"/>
        <v>0</v>
      </c>
      <c r="O24" s="141">
        <f t="shared" si="7"/>
        <v>0</v>
      </c>
      <c r="P24" s="141">
        <f t="shared" si="8"/>
        <v>0</v>
      </c>
      <c r="Q24" s="141">
        <f t="shared" si="9"/>
        <v>0</v>
      </c>
      <c r="R24" s="145"/>
      <c r="S24" s="145"/>
      <c r="T24" s="141">
        <v>0</v>
      </c>
      <c r="U24" s="141"/>
      <c r="V24" s="141"/>
      <c r="W24" s="141"/>
      <c r="X24" s="141">
        <f t="shared" si="11"/>
        <v>0</v>
      </c>
      <c r="Y24" s="145"/>
      <c r="Z24" s="141"/>
      <c r="AA24" s="141"/>
      <c r="AB24" s="141"/>
      <c r="AC24" s="141"/>
      <c r="AD24" s="141">
        <f t="shared" si="12"/>
        <v>0</v>
      </c>
      <c r="AE24" s="141"/>
      <c r="AF24" s="141"/>
      <c r="AG24" s="141"/>
      <c r="AH24" s="141"/>
      <c r="AI24" s="149">
        <f t="shared" si="13"/>
        <v>0</v>
      </c>
      <c r="AJ24" s="141"/>
      <c r="AK24" s="141"/>
      <c r="AL24" s="141"/>
      <c r="AM24" s="141"/>
      <c r="AN24" s="149">
        <f t="shared" si="14"/>
        <v>0</v>
      </c>
      <c r="AO24" s="145"/>
      <c r="AP24" s="141"/>
      <c r="AQ24" s="141"/>
      <c r="AR24" s="141"/>
      <c r="AS24" s="141"/>
      <c r="AT24" s="149">
        <f t="shared" si="15"/>
        <v>0</v>
      </c>
      <c r="AU24" s="145"/>
      <c r="AV24" s="141"/>
      <c r="AW24" s="141"/>
      <c r="AX24" s="141"/>
      <c r="AY24" s="141"/>
      <c r="AZ24" s="149">
        <f t="shared" si="16"/>
        <v>0</v>
      </c>
      <c r="BA24" s="145"/>
      <c r="BB24" s="141"/>
      <c r="BC24" s="141"/>
      <c r="BD24" s="141"/>
      <c r="BE24" s="141"/>
      <c r="BF24" s="149">
        <f t="shared" si="17"/>
        <v>0</v>
      </c>
      <c r="BG24" s="145"/>
      <c r="BH24" s="141"/>
      <c r="BI24" s="141"/>
      <c r="BJ24" s="141"/>
      <c r="BK24" s="141"/>
      <c r="BL24" s="149">
        <f t="shared" si="2"/>
        <v>0</v>
      </c>
      <c r="BM24" s="145"/>
      <c r="BN24" s="141"/>
      <c r="BO24" s="141"/>
      <c r="BP24" s="141"/>
      <c r="BQ24" s="141"/>
      <c r="BR24" s="149">
        <f t="shared" si="3"/>
        <v>0</v>
      </c>
      <c r="BS24" s="145"/>
      <c r="BT24" s="141"/>
      <c r="BU24" s="141"/>
      <c r="BV24" s="141"/>
      <c r="BW24" s="141"/>
      <c r="BX24" s="149">
        <f t="shared" si="4"/>
        <v>0</v>
      </c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</row>
    <row r="25" spans="1:90" s="78" customFormat="1" ht="15" customHeight="1">
      <c r="A25" s="163">
        <v>14101</v>
      </c>
      <c r="B25" s="164" t="s">
        <v>107</v>
      </c>
      <c r="C25" s="85">
        <v>780548.06</v>
      </c>
      <c r="D25" s="85">
        <v>780548.06</v>
      </c>
      <c r="E25" s="221">
        <v>210743.82</v>
      </c>
      <c r="F25" s="86"/>
      <c r="G25" s="86">
        <v>812338.87</v>
      </c>
      <c r="H25" s="87">
        <f t="shared" si="5"/>
        <v>1.0407288309703824</v>
      </c>
      <c r="I25" s="89">
        <f t="shared" si="0"/>
        <v>-31790.80999999994</v>
      </c>
      <c r="J25" s="216"/>
      <c r="K25" s="209"/>
      <c r="L25" s="141"/>
      <c r="M25" s="141">
        <f t="shared" si="18"/>
        <v>156743.2</v>
      </c>
      <c r="N25" s="141">
        <f t="shared" si="6"/>
        <v>156743.2</v>
      </c>
      <c r="O25" s="141">
        <f t="shared" si="7"/>
        <v>156743.2</v>
      </c>
      <c r="P25" s="141">
        <f t="shared" si="8"/>
        <v>391404.49</v>
      </c>
      <c r="Q25" s="141">
        <f t="shared" si="9"/>
        <v>432335.60000000003</v>
      </c>
      <c r="R25" s="145"/>
      <c r="S25" s="145"/>
      <c r="T25" s="141">
        <v>86973.44</v>
      </c>
      <c r="U25" s="141">
        <v>109098.58</v>
      </c>
      <c r="V25" s="141">
        <v>150404.4</v>
      </c>
      <c r="W25" s="141">
        <v>79506</v>
      </c>
      <c r="X25" s="141">
        <f t="shared" si="11"/>
        <v>425982.42000000004</v>
      </c>
      <c r="Y25" s="145"/>
      <c r="Z25" s="141">
        <v>27034.8</v>
      </c>
      <c r="AA25" s="141">
        <v>43588.04</v>
      </c>
      <c r="AB25" s="141">
        <v>51780.58</v>
      </c>
      <c r="AC25" s="141">
        <v>25764</v>
      </c>
      <c r="AD25" s="141">
        <f t="shared" si="12"/>
        <v>148167.41999999998</v>
      </c>
      <c r="AE25" s="141">
        <v>34063.8</v>
      </c>
      <c r="AF25" s="141">
        <v>43588.04</v>
      </c>
      <c r="AG25" s="141">
        <v>53426.36</v>
      </c>
      <c r="AH25" s="141">
        <v>25764</v>
      </c>
      <c r="AI25" s="149">
        <f t="shared" si="13"/>
        <v>156842.2</v>
      </c>
      <c r="AJ25" s="141">
        <v>33964.8</v>
      </c>
      <c r="AK25" s="141">
        <v>43588.04</v>
      </c>
      <c r="AL25" s="141">
        <v>53426.36</v>
      </c>
      <c r="AM25" s="141">
        <v>25764</v>
      </c>
      <c r="AN25" s="149">
        <f t="shared" si="14"/>
        <v>156743.2</v>
      </c>
      <c r="AO25" s="145"/>
      <c r="AP25" s="141">
        <v>46110.64</v>
      </c>
      <c r="AQ25" s="141">
        <v>56834.24</v>
      </c>
      <c r="AR25" s="141">
        <v>74252.8</v>
      </c>
      <c r="AS25" s="141">
        <v>35456.72</v>
      </c>
      <c r="AT25" s="149">
        <f t="shared" si="15"/>
        <v>212654.4</v>
      </c>
      <c r="AU25" s="145"/>
      <c r="AV25" s="141">
        <v>33964.8</v>
      </c>
      <c r="AW25" s="141">
        <v>43588.04</v>
      </c>
      <c r="AX25" s="141">
        <v>53426.36</v>
      </c>
      <c r="AY25" s="141">
        <v>25764</v>
      </c>
      <c r="AZ25" s="149">
        <f t="shared" si="16"/>
        <v>156743.2</v>
      </c>
      <c r="BA25" s="145"/>
      <c r="BB25" s="141">
        <v>33964.8</v>
      </c>
      <c r="BC25" s="141">
        <v>25764</v>
      </c>
      <c r="BD25" s="141">
        <v>53426.36</v>
      </c>
      <c r="BE25" s="141">
        <v>43588.04</v>
      </c>
      <c r="BF25" s="149">
        <f t="shared" si="17"/>
        <v>156743.2</v>
      </c>
      <c r="BG25" s="145"/>
      <c r="BH25" s="141">
        <v>33964.8</v>
      </c>
      <c r="BI25" s="141">
        <v>25764</v>
      </c>
      <c r="BJ25" s="141">
        <v>53426.36</v>
      </c>
      <c r="BK25" s="141">
        <v>43588.04</v>
      </c>
      <c r="BL25" s="149">
        <f t="shared" si="2"/>
        <v>156743.2</v>
      </c>
      <c r="BM25" s="145"/>
      <c r="BN25" s="141">
        <v>91098.5</v>
      </c>
      <c r="BO25" s="141">
        <v>66842.2</v>
      </c>
      <c r="BP25" s="141">
        <v>127357.61</v>
      </c>
      <c r="BQ25" s="141">
        <v>106106.18</v>
      </c>
      <c r="BR25" s="149">
        <f t="shared" si="3"/>
        <v>391404.49</v>
      </c>
      <c r="BS25" s="145"/>
      <c r="BT25" s="141">
        <v>107593.05</v>
      </c>
      <c r="BU25" s="141">
        <v>99427.71</v>
      </c>
      <c r="BV25" s="141">
        <v>127814.13</v>
      </c>
      <c r="BW25" s="141">
        <v>97500.71</v>
      </c>
      <c r="BX25" s="149">
        <f t="shared" si="4"/>
        <v>432335.60000000003</v>
      </c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</row>
    <row r="26" spans="1:90" s="78" customFormat="1" ht="15" customHeight="1">
      <c r="A26" s="163">
        <v>14201</v>
      </c>
      <c r="B26" s="164" t="s">
        <v>53</v>
      </c>
      <c r="C26" s="85">
        <v>367316.74</v>
      </c>
      <c r="D26" s="85">
        <v>367316.74</v>
      </c>
      <c r="E26" s="221">
        <v>99172.62</v>
      </c>
      <c r="F26" s="86"/>
      <c r="G26" s="86">
        <v>382273.5399999999</v>
      </c>
      <c r="H26" s="87">
        <f t="shared" si="5"/>
        <v>1.0407190807584754</v>
      </c>
      <c r="I26" s="89">
        <f t="shared" si="0"/>
        <v>-14956.79999999993</v>
      </c>
      <c r="J26" s="216"/>
      <c r="K26" s="209"/>
      <c r="L26" s="141"/>
      <c r="M26" s="141">
        <f t="shared" si="18"/>
        <v>109720.22</v>
      </c>
      <c r="N26" s="141">
        <f t="shared" si="6"/>
        <v>109720.22</v>
      </c>
      <c r="O26" s="141">
        <f t="shared" si="7"/>
        <v>109720.22</v>
      </c>
      <c r="P26" s="141">
        <f t="shared" si="8"/>
        <v>109720.22</v>
      </c>
      <c r="Q26" s="141">
        <f t="shared" si="9"/>
        <v>109720.22</v>
      </c>
      <c r="R26" s="145"/>
      <c r="S26" s="145"/>
      <c r="T26" s="141">
        <v>60881.4</v>
      </c>
      <c r="U26" s="141">
        <v>76368.99</v>
      </c>
      <c r="V26" s="141">
        <v>105283.08</v>
      </c>
      <c r="W26" s="141">
        <v>55654.2</v>
      </c>
      <c r="X26" s="141">
        <f t="shared" si="11"/>
        <v>298187.67000000004</v>
      </c>
      <c r="Y26" s="145"/>
      <c r="Z26" s="141">
        <v>18924.36</v>
      </c>
      <c r="AA26" s="141">
        <v>30511.62</v>
      </c>
      <c r="AB26" s="141">
        <v>36246.4</v>
      </c>
      <c r="AC26" s="141">
        <v>18034.8</v>
      </c>
      <c r="AD26" s="141">
        <f t="shared" si="12"/>
        <v>103717.18000000001</v>
      </c>
      <c r="AE26" s="141">
        <v>23844.66</v>
      </c>
      <c r="AF26" s="141">
        <v>30511.62</v>
      </c>
      <c r="AG26" s="141">
        <v>37398.44</v>
      </c>
      <c r="AH26" s="141">
        <v>18034.8</v>
      </c>
      <c r="AI26" s="149">
        <f t="shared" si="13"/>
        <v>109789.52</v>
      </c>
      <c r="AJ26" s="141">
        <v>23775.36</v>
      </c>
      <c r="AK26" s="141">
        <v>30516.62</v>
      </c>
      <c r="AL26" s="141">
        <v>37400.94</v>
      </c>
      <c r="AM26" s="141">
        <v>18034.8</v>
      </c>
      <c r="AN26" s="149">
        <f t="shared" si="14"/>
        <v>109727.72</v>
      </c>
      <c r="AO26" s="145"/>
      <c r="AP26" s="141">
        <v>23775.36</v>
      </c>
      <c r="AQ26" s="141">
        <v>30511.62</v>
      </c>
      <c r="AR26" s="141">
        <v>37398.44</v>
      </c>
      <c r="AS26" s="141">
        <v>18034.8</v>
      </c>
      <c r="AT26" s="149">
        <f t="shared" si="15"/>
        <v>109720.22</v>
      </c>
      <c r="AU26" s="145"/>
      <c r="AV26" s="141">
        <v>23775.36</v>
      </c>
      <c r="AW26" s="141">
        <v>30511.62</v>
      </c>
      <c r="AX26" s="141">
        <v>37398.44</v>
      </c>
      <c r="AY26" s="141">
        <v>18034.8</v>
      </c>
      <c r="AZ26" s="149">
        <f t="shared" si="16"/>
        <v>109720.22</v>
      </c>
      <c r="BA26" s="145"/>
      <c r="BB26" s="141">
        <v>23775.36</v>
      </c>
      <c r="BC26" s="141">
        <v>18034.8</v>
      </c>
      <c r="BD26" s="141">
        <v>37398.44</v>
      </c>
      <c r="BE26" s="141">
        <v>30511.62</v>
      </c>
      <c r="BF26" s="149">
        <f t="shared" si="17"/>
        <v>109720.22</v>
      </c>
      <c r="BG26" s="145"/>
      <c r="BH26" s="141">
        <v>23775.36</v>
      </c>
      <c r="BI26" s="141">
        <v>18034.8</v>
      </c>
      <c r="BJ26" s="141">
        <v>37398.44</v>
      </c>
      <c r="BK26" s="141">
        <v>30511.62</v>
      </c>
      <c r="BL26" s="149">
        <f t="shared" si="2"/>
        <v>109720.22</v>
      </c>
      <c r="BM26" s="145"/>
      <c r="BN26" s="141">
        <v>23775.36</v>
      </c>
      <c r="BO26" s="141">
        <v>18034.8</v>
      </c>
      <c r="BP26" s="141">
        <v>37398.44</v>
      </c>
      <c r="BQ26" s="141">
        <v>30511.62</v>
      </c>
      <c r="BR26" s="149">
        <f t="shared" si="3"/>
        <v>109720.22</v>
      </c>
      <c r="BS26" s="145"/>
      <c r="BT26" s="141">
        <v>23775.36</v>
      </c>
      <c r="BU26" s="141">
        <v>18034.8</v>
      </c>
      <c r="BV26" s="141">
        <v>37398.44</v>
      </c>
      <c r="BW26" s="141">
        <v>30511.62</v>
      </c>
      <c r="BX26" s="149">
        <f t="shared" si="4"/>
        <v>109720.22</v>
      </c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</row>
    <row r="27" spans="1:90" s="78" customFormat="1" ht="15" customHeight="1">
      <c r="A27" s="163">
        <v>14102</v>
      </c>
      <c r="B27" s="164" t="s">
        <v>108</v>
      </c>
      <c r="C27" s="85">
        <v>117.6</v>
      </c>
      <c r="D27" s="85">
        <v>117.6</v>
      </c>
      <c r="E27" s="221">
        <v>29.700000000000003</v>
      </c>
      <c r="F27" s="86"/>
      <c r="G27" s="86">
        <v>114.20000000000002</v>
      </c>
      <c r="H27" s="87">
        <f t="shared" si="5"/>
        <v>0.9710884353741499</v>
      </c>
      <c r="I27" s="89">
        <f t="shared" si="0"/>
        <v>3.3999999999999773</v>
      </c>
      <c r="J27" s="216"/>
      <c r="K27" s="209"/>
      <c r="L27" s="141"/>
      <c r="M27" s="141">
        <f t="shared" si="18"/>
        <v>0</v>
      </c>
      <c r="N27" s="141">
        <f t="shared" si="6"/>
        <v>0</v>
      </c>
      <c r="O27" s="141">
        <f t="shared" si="7"/>
        <v>0</v>
      </c>
      <c r="P27" s="141">
        <f t="shared" si="8"/>
        <v>0</v>
      </c>
      <c r="Q27" s="141">
        <f t="shared" si="9"/>
        <v>0</v>
      </c>
      <c r="R27" s="145"/>
      <c r="S27" s="145"/>
      <c r="T27" s="141">
        <v>0</v>
      </c>
      <c r="U27" s="141"/>
      <c r="V27" s="141"/>
      <c r="W27" s="141"/>
      <c r="X27" s="141">
        <f t="shared" si="11"/>
        <v>0</v>
      </c>
      <c r="Y27" s="145"/>
      <c r="Z27" s="141"/>
      <c r="AA27" s="141"/>
      <c r="AB27" s="141"/>
      <c r="AC27" s="141"/>
      <c r="AD27" s="141">
        <f t="shared" si="12"/>
        <v>0</v>
      </c>
      <c r="AE27" s="141"/>
      <c r="AF27" s="141"/>
      <c r="AG27" s="141"/>
      <c r="AH27" s="141"/>
      <c r="AI27" s="149">
        <f t="shared" si="13"/>
        <v>0</v>
      </c>
      <c r="AJ27" s="141"/>
      <c r="AK27" s="141"/>
      <c r="AL27" s="141"/>
      <c r="AM27" s="141"/>
      <c r="AN27" s="149">
        <f t="shared" si="14"/>
        <v>0</v>
      </c>
      <c r="AO27" s="145"/>
      <c r="AP27" s="141"/>
      <c r="AQ27" s="141"/>
      <c r="AR27" s="141"/>
      <c r="AS27" s="141"/>
      <c r="AT27" s="149">
        <f t="shared" si="15"/>
        <v>0</v>
      </c>
      <c r="AU27" s="145"/>
      <c r="AV27" s="141"/>
      <c r="AW27" s="141"/>
      <c r="AX27" s="141"/>
      <c r="AY27" s="141"/>
      <c r="AZ27" s="149">
        <f t="shared" si="16"/>
        <v>0</v>
      </c>
      <c r="BA27" s="145"/>
      <c r="BB27" s="141"/>
      <c r="BC27" s="141"/>
      <c r="BD27" s="141"/>
      <c r="BE27" s="141"/>
      <c r="BF27" s="149">
        <f t="shared" si="17"/>
        <v>0</v>
      </c>
      <c r="BG27" s="145"/>
      <c r="BH27" s="141"/>
      <c r="BI27" s="141"/>
      <c r="BJ27" s="141"/>
      <c r="BK27" s="141"/>
      <c r="BL27" s="149">
        <f t="shared" si="2"/>
        <v>0</v>
      </c>
      <c r="BM27" s="145"/>
      <c r="BN27" s="141"/>
      <c r="BO27" s="141"/>
      <c r="BP27" s="141"/>
      <c r="BQ27" s="141"/>
      <c r="BR27" s="149">
        <f t="shared" si="3"/>
        <v>0</v>
      </c>
      <c r="BS27" s="145"/>
      <c r="BT27" s="141"/>
      <c r="BU27" s="141"/>
      <c r="BV27" s="141"/>
      <c r="BW27" s="141"/>
      <c r="BX27" s="149">
        <f t="shared" si="4"/>
        <v>0</v>
      </c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</row>
    <row r="28" spans="1:90" s="78" customFormat="1" ht="15" customHeight="1">
      <c r="A28" s="163">
        <v>14103</v>
      </c>
      <c r="B28" s="164" t="s">
        <v>109</v>
      </c>
      <c r="C28" s="85">
        <v>1470</v>
      </c>
      <c r="D28" s="85">
        <v>1470</v>
      </c>
      <c r="E28" s="221">
        <v>395.01</v>
      </c>
      <c r="F28" s="86"/>
      <c r="G28" s="86">
        <v>1511.3400000000001</v>
      </c>
      <c r="H28" s="87">
        <f t="shared" si="5"/>
        <v>1.028122448979592</v>
      </c>
      <c r="I28" s="89">
        <f t="shared" si="0"/>
        <v>-41.340000000000146</v>
      </c>
      <c r="J28" s="216"/>
      <c r="K28" s="209"/>
      <c r="L28" s="141"/>
      <c r="M28" s="141">
        <f t="shared" si="18"/>
        <v>62172.32</v>
      </c>
      <c r="N28" s="141">
        <f t="shared" si="6"/>
        <v>62172.32</v>
      </c>
      <c r="O28" s="141">
        <f t="shared" si="7"/>
        <v>63459.68</v>
      </c>
      <c r="P28" s="141">
        <f t="shared" si="8"/>
        <v>62172.32</v>
      </c>
      <c r="Q28" s="141">
        <f t="shared" si="9"/>
        <v>62172.32</v>
      </c>
      <c r="R28" s="145"/>
      <c r="S28" s="145"/>
      <c r="T28" s="141">
        <v>24906.04</v>
      </c>
      <c r="U28" s="141">
        <v>45422.29</v>
      </c>
      <c r="V28" s="141">
        <v>55021.9</v>
      </c>
      <c r="W28" s="141">
        <v>45070.54</v>
      </c>
      <c r="X28" s="141">
        <f t="shared" si="11"/>
        <v>170420.77000000002</v>
      </c>
      <c r="Y28" s="145"/>
      <c r="Z28" s="141">
        <v>7706.36</v>
      </c>
      <c r="AA28" s="141">
        <v>14821.35</v>
      </c>
      <c r="AB28" s="141">
        <v>19678.82</v>
      </c>
      <c r="AC28" s="141">
        <v>16863.9</v>
      </c>
      <c r="AD28" s="141">
        <f t="shared" si="12"/>
        <v>59070.43</v>
      </c>
      <c r="AE28" s="141">
        <v>14314.94</v>
      </c>
      <c r="AF28" s="141">
        <v>14286.54</v>
      </c>
      <c r="AG28" s="141">
        <v>20056.54</v>
      </c>
      <c r="AH28" s="141">
        <v>16236.6</v>
      </c>
      <c r="AI28" s="149">
        <f t="shared" si="13"/>
        <v>64894.62</v>
      </c>
      <c r="AJ28" s="141">
        <v>11992.4</v>
      </c>
      <c r="AK28" s="141">
        <v>14286.54</v>
      </c>
      <c r="AL28" s="141">
        <v>19608.21</v>
      </c>
      <c r="AM28" s="141">
        <v>16236.6</v>
      </c>
      <c r="AN28" s="149">
        <f t="shared" si="14"/>
        <v>62123.75</v>
      </c>
      <c r="AO28" s="145"/>
      <c r="AP28" s="141">
        <v>11992.4</v>
      </c>
      <c r="AQ28" s="141">
        <v>14286.54</v>
      </c>
      <c r="AR28" s="141">
        <v>19656.78</v>
      </c>
      <c r="AS28" s="141">
        <v>16236.6</v>
      </c>
      <c r="AT28" s="149">
        <f t="shared" si="15"/>
        <v>62172.32</v>
      </c>
      <c r="AU28" s="145"/>
      <c r="AV28" s="141">
        <v>11992.4</v>
      </c>
      <c r="AW28" s="141">
        <v>14286.54</v>
      </c>
      <c r="AX28" s="141">
        <v>19656.78</v>
      </c>
      <c r="AY28" s="141">
        <v>16236.6</v>
      </c>
      <c r="AZ28" s="149">
        <f t="shared" si="16"/>
        <v>62172.32</v>
      </c>
      <c r="BA28" s="145"/>
      <c r="BB28" s="141">
        <v>11992.4</v>
      </c>
      <c r="BC28" s="141">
        <v>16236.6</v>
      </c>
      <c r="BD28" s="141">
        <v>19656.78</v>
      </c>
      <c r="BE28" s="141">
        <v>14286.54</v>
      </c>
      <c r="BF28" s="149">
        <f t="shared" si="17"/>
        <v>62172.32</v>
      </c>
      <c r="BG28" s="145"/>
      <c r="BH28" s="141">
        <v>11992.4</v>
      </c>
      <c r="BI28" s="141">
        <v>16989.36</v>
      </c>
      <c r="BJ28" s="141">
        <f>20672.98-481.6</f>
        <v>20191.38</v>
      </c>
      <c r="BK28" s="141">
        <v>14286.54</v>
      </c>
      <c r="BL28" s="149">
        <f t="shared" si="2"/>
        <v>63459.68</v>
      </c>
      <c r="BM28" s="145"/>
      <c r="BN28" s="141">
        <v>11992.4</v>
      </c>
      <c r="BO28" s="141">
        <v>16236.6</v>
      </c>
      <c r="BP28" s="141">
        <v>19656.78</v>
      </c>
      <c r="BQ28" s="141">
        <v>14286.54</v>
      </c>
      <c r="BR28" s="149">
        <f t="shared" si="3"/>
        <v>62172.32</v>
      </c>
      <c r="BS28" s="145"/>
      <c r="BT28" s="141">
        <v>11992.4</v>
      </c>
      <c r="BU28" s="141">
        <v>16236.6</v>
      </c>
      <c r="BV28" s="141">
        <v>19656.78</v>
      </c>
      <c r="BW28" s="141">
        <v>14286.54</v>
      </c>
      <c r="BX28" s="149">
        <f t="shared" si="4"/>
        <v>62172.32</v>
      </c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</row>
    <row r="29" spans="1:90" s="78" customFormat="1" ht="24.75" customHeight="1">
      <c r="A29" s="163">
        <v>14301</v>
      </c>
      <c r="B29" s="164" t="s">
        <v>110</v>
      </c>
      <c r="C29" s="85">
        <v>1561096.13</v>
      </c>
      <c r="D29" s="85">
        <v>1561096.13</v>
      </c>
      <c r="E29" s="221">
        <v>421488.18</v>
      </c>
      <c r="F29" s="86"/>
      <c r="G29" s="86">
        <v>1624679.9999999998</v>
      </c>
      <c r="H29" s="87">
        <f t="shared" si="5"/>
        <v>1.0407302720044536</v>
      </c>
      <c r="I29" s="89">
        <f t="shared" si="0"/>
        <v>-63583.86999999988</v>
      </c>
      <c r="J29" s="216"/>
      <c r="K29" s="209"/>
      <c r="L29" s="141"/>
      <c r="M29" s="141">
        <f t="shared" si="18"/>
        <v>29257.42</v>
      </c>
      <c r="N29" s="141">
        <f t="shared" si="6"/>
        <v>29257.42</v>
      </c>
      <c r="O29" s="141">
        <f t="shared" si="7"/>
        <v>29863.24</v>
      </c>
      <c r="P29" s="141">
        <f t="shared" si="8"/>
        <v>29257.42</v>
      </c>
      <c r="Q29" s="141">
        <f t="shared" si="9"/>
        <v>29257.42</v>
      </c>
      <c r="R29" s="145"/>
      <c r="S29" s="145"/>
      <c r="T29" s="141">
        <v>11720.36</v>
      </c>
      <c r="U29" s="141">
        <v>21375.1</v>
      </c>
      <c r="V29" s="141">
        <v>25892.62</v>
      </c>
      <c r="W29" s="141">
        <v>21209.59</v>
      </c>
      <c r="X29" s="141">
        <f t="shared" si="11"/>
        <v>80197.67</v>
      </c>
      <c r="Y29" s="145"/>
      <c r="Z29" s="141">
        <v>3626.48</v>
      </c>
      <c r="AA29" s="141">
        <v>6974.72</v>
      </c>
      <c r="AB29" s="141">
        <v>9260.6</v>
      </c>
      <c r="AC29" s="141">
        <v>7935.92</v>
      </c>
      <c r="AD29" s="141">
        <f t="shared" si="12"/>
        <v>27797.72</v>
      </c>
      <c r="AE29" s="141">
        <v>6736.4</v>
      </c>
      <c r="AF29" s="141">
        <v>6723.04</v>
      </c>
      <c r="AG29" s="141">
        <v>9438.34</v>
      </c>
      <c r="AH29" s="141">
        <v>7640.72</v>
      </c>
      <c r="AI29" s="149">
        <f t="shared" si="13"/>
        <v>30538.5</v>
      </c>
      <c r="AJ29" s="141">
        <v>5643.44</v>
      </c>
      <c r="AK29" s="141">
        <v>6723.04</v>
      </c>
      <c r="AL29" s="141">
        <v>9227.36</v>
      </c>
      <c r="AM29" s="141">
        <v>7640.72</v>
      </c>
      <c r="AN29" s="149">
        <f t="shared" si="14"/>
        <v>29234.56</v>
      </c>
      <c r="AO29" s="145"/>
      <c r="AP29" s="141">
        <v>5643.44</v>
      </c>
      <c r="AQ29" s="141">
        <v>6723.04</v>
      </c>
      <c r="AR29" s="141">
        <v>9250.22</v>
      </c>
      <c r="AS29" s="141">
        <v>7640.72</v>
      </c>
      <c r="AT29" s="149">
        <f t="shared" si="15"/>
        <v>29257.42</v>
      </c>
      <c r="AU29" s="145"/>
      <c r="AV29" s="141">
        <v>5643.44</v>
      </c>
      <c r="AW29" s="141">
        <v>6723.04</v>
      </c>
      <c r="AX29" s="141">
        <v>9250.22</v>
      </c>
      <c r="AY29" s="141">
        <v>7640.72</v>
      </c>
      <c r="AZ29" s="149">
        <f t="shared" si="16"/>
        <v>29257.42</v>
      </c>
      <c r="BA29" s="145"/>
      <c r="BB29" s="141">
        <v>5643.44</v>
      </c>
      <c r="BC29" s="141">
        <v>7640.72</v>
      </c>
      <c r="BD29" s="141">
        <v>9250.22</v>
      </c>
      <c r="BE29" s="141">
        <v>6723.04</v>
      </c>
      <c r="BF29" s="149">
        <f t="shared" si="17"/>
        <v>29257.42</v>
      </c>
      <c r="BG29" s="145"/>
      <c r="BH29" s="141">
        <v>5643.44</v>
      </c>
      <c r="BI29" s="141">
        <v>7994.96</v>
      </c>
      <c r="BJ29" s="141">
        <f>9728.43-226.63</f>
        <v>9501.800000000001</v>
      </c>
      <c r="BK29" s="141">
        <v>6723.04</v>
      </c>
      <c r="BL29" s="149">
        <f t="shared" si="2"/>
        <v>29863.24</v>
      </c>
      <c r="BM29" s="145"/>
      <c r="BN29" s="141">
        <v>5643.44</v>
      </c>
      <c r="BO29" s="141">
        <v>7640.72</v>
      </c>
      <c r="BP29" s="141">
        <v>9250.22</v>
      </c>
      <c r="BQ29" s="141">
        <v>6723.04</v>
      </c>
      <c r="BR29" s="149">
        <f t="shared" si="3"/>
        <v>29257.42</v>
      </c>
      <c r="BS29" s="145"/>
      <c r="BT29" s="141">
        <v>5643.44</v>
      </c>
      <c r="BU29" s="141">
        <v>7640.72</v>
      </c>
      <c r="BV29" s="141">
        <v>9250.22</v>
      </c>
      <c r="BW29" s="141">
        <v>6723.04</v>
      </c>
      <c r="BX29" s="149">
        <f t="shared" si="4"/>
        <v>29257.42</v>
      </c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</row>
    <row r="30" spans="1:90" s="78" customFormat="1" ht="27.75" customHeight="1">
      <c r="A30" s="163">
        <v>14104</v>
      </c>
      <c r="B30" s="164" t="s">
        <v>111</v>
      </c>
      <c r="C30" s="85">
        <v>45914.58</v>
      </c>
      <c r="D30" s="85">
        <v>45914.58</v>
      </c>
      <c r="E30" s="221">
        <v>12394.99</v>
      </c>
      <c r="F30" s="86"/>
      <c r="G30" s="86">
        <v>47778.380000000005</v>
      </c>
      <c r="H30" s="87">
        <f t="shared" si="5"/>
        <v>1.0405927703139177</v>
      </c>
      <c r="I30" s="89">
        <f t="shared" si="0"/>
        <v>-1863.800000000003</v>
      </c>
      <c r="J30" s="216"/>
      <c r="K30" s="209"/>
      <c r="L30" s="141"/>
      <c r="M30" s="141">
        <f t="shared" si="18"/>
        <v>9.2</v>
      </c>
      <c r="N30" s="141">
        <f t="shared" si="6"/>
        <v>9.2</v>
      </c>
      <c r="O30" s="141">
        <f t="shared" si="7"/>
        <v>9.3</v>
      </c>
      <c r="P30" s="141">
        <f t="shared" si="8"/>
        <v>9.2</v>
      </c>
      <c r="Q30" s="141">
        <f t="shared" si="9"/>
        <v>9.2</v>
      </c>
      <c r="R30" s="145"/>
      <c r="S30" s="145"/>
      <c r="T30" s="141">
        <v>3.4</v>
      </c>
      <c r="U30" s="141">
        <v>6.9</v>
      </c>
      <c r="V30" s="141">
        <v>7.6</v>
      </c>
      <c r="W30" s="141">
        <v>7.1</v>
      </c>
      <c r="X30" s="141">
        <f t="shared" si="11"/>
        <v>25</v>
      </c>
      <c r="Y30" s="145"/>
      <c r="Z30" s="141">
        <v>1</v>
      </c>
      <c r="AA30" s="141">
        <v>2.3</v>
      </c>
      <c r="AB30" s="141">
        <v>2.8</v>
      </c>
      <c r="AC30" s="141">
        <v>2.6</v>
      </c>
      <c r="AD30" s="141">
        <f t="shared" si="12"/>
        <v>8.7</v>
      </c>
      <c r="AE30" s="141">
        <v>1.2</v>
      </c>
      <c r="AF30" s="141">
        <v>2.2</v>
      </c>
      <c r="AG30" s="141">
        <v>3</v>
      </c>
      <c r="AH30" s="141">
        <v>2.6</v>
      </c>
      <c r="AI30" s="149">
        <f t="shared" si="13"/>
        <v>9</v>
      </c>
      <c r="AJ30" s="141">
        <v>1.4</v>
      </c>
      <c r="AK30" s="141">
        <v>2.2</v>
      </c>
      <c r="AL30" s="141">
        <v>3</v>
      </c>
      <c r="AM30" s="141">
        <v>2.6</v>
      </c>
      <c r="AN30" s="149">
        <f t="shared" si="14"/>
        <v>9.2</v>
      </c>
      <c r="AO30" s="145"/>
      <c r="AP30" s="141">
        <v>1.4</v>
      </c>
      <c r="AQ30" s="141">
        <v>2.2</v>
      </c>
      <c r="AR30" s="141">
        <v>3</v>
      </c>
      <c r="AS30" s="141">
        <v>2.6</v>
      </c>
      <c r="AT30" s="149">
        <f t="shared" si="15"/>
        <v>9.2</v>
      </c>
      <c r="AU30" s="145"/>
      <c r="AV30" s="141">
        <v>1.4</v>
      </c>
      <c r="AW30" s="141">
        <v>2.2</v>
      </c>
      <c r="AX30" s="141">
        <v>3</v>
      </c>
      <c r="AY30" s="141">
        <v>2.6</v>
      </c>
      <c r="AZ30" s="149">
        <f t="shared" si="16"/>
        <v>9.2</v>
      </c>
      <c r="BA30" s="145"/>
      <c r="BB30" s="141">
        <v>1.4</v>
      </c>
      <c r="BC30" s="141">
        <v>2.6</v>
      </c>
      <c r="BD30" s="141">
        <v>3</v>
      </c>
      <c r="BE30" s="141">
        <v>2.2</v>
      </c>
      <c r="BF30" s="149">
        <f t="shared" si="17"/>
        <v>9.2</v>
      </c>
      <c r="BG30" s="145"/>
      <c r="BH30" s="141">
        <v>1.4</v>
      </c>
      <c r="BI30" s="141">
        <v>2.7</v>
      </c>
      <c r="BJ30" s="141">
        <f>3.1-0.1</f>
        <v>3</v>
      </c>
      <c r="BK30" s="141">
        <v>2.2</v>
      </c>
      <c r="BL30" s="149">
        <f t="shared" si="2"/>
        <v>9.3</v>
      </c>
      <c r="BM30" s="145"/>
      <c r="BN30" s="141">
        <v>1.4</v>
      </c>
      <c r="BO30" s="141">
        <v>2.6</v>
      </c>
      <c r="BP30" s="141">
        <v>3</v>
      </c>
      <c r="BQ30" s="141">
        <v>2.2</v>
      </c>
      <c r="BR30" s="149">
        <f t="shared" si="3"/>
        <v>9.2</v>
      </c>
      <c r="BS30" s="145"/>
      <c r="BT30" s="141">
        <v>1.4</v>
      </c>
      <c r="BU30" s="141">
        <v>2.6</v>
      </c>
      <c r="BV30" s="141">
        <v>3</v>
      </c>
      <c r="BW30" s="141">
        <v>2.2</v>
      </c>
      <c r="BX30" s="149">
        <f t="shared" si="4"/>
        <v>9.2</v>
      </c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</row>
    <row r="31" spans="1:90" s="78" customFormat="1" ht="15" customHeight="1">
      <c r="A31" s="163">
        <v>14105</v>
      </c>
      <c r="B31" s="164" t="s">
        <v>112</v>
      </c>
      <c r="C31" s="85">
        <v>45914.58</v>
      </c>
      <c r="D31" s="85">
        <v>45914.58</v>
      </c>
      <c r="E31" s="221">
        <v>12394.99</v>
      </c>
      <c r="F31" s="86"/>
      <c r="G31" s="86">
        <v>47778.380000000005</v>
      </c>
      <c r="H31" s="87">
        <f t="shared" si="5"/>
        <v>1.0405927703139177</v>
      </c>
      <c r="I31" s="89">
        <f t="shared" si="0"/>
        <v>-1863.800000000003</v>
      </c>
      <c r="J31" s="216"/>
      <c r="K31" s="209"/>
      <c r="L31" s="141"/>
      <c r="M31" s="141">
        <f t="shared" si="18"/>
        <v>115</v>
      </c>
      <c r="N31" s="141">
        <f t="shared" si="6"/>
        <v>115</v>
      </c>
      <c r="O31" s="141">
        <f t="shared" si="7"/>
        <v>116.25</v>
      </c>
      <c r="P31" s="141">
        <f t="shared" si="8"/>
        <v>115</v>
      </c>
      <c r="Q31" s="141">
        <f t="shared" si="9"/>
        <v>115</v>
      </c>
      <c r="R31" s="145"/>
      <c r="S31" s="145"/>
      <c r="T31" s="141">
        <v>42.5</v>
      </c>
      <c r="U31" s="141">
        <v>86.25</v>
      </c>
      <c r="V31" s="141">
        <v>95</v>
      </c>
      <c r="W31" s="141">
        <v>88.75</v>
      </c>
      <c r="X31" s="141">
        <f t="shared" si="11"/>
        <v>312.5</v>
      </c>
      <c r="Y31" s="145"/>
      <c r="Z31" s="141">
        <v>12.5</v>
      </c>
      <c r="AA31" s="141">
        <v>28.75</v>
      </c>
      <c r="AB31" s="141">
        <v>35</v>
      </c>
      <c r="AC31" s="141">
        <v>32.5</v>
      </c>
      <c r="AD31" s="141">
        <f t="shared" si="12"/>
        <v>108.75</v>
      </c>
      <c r="AE31" s="141">
        <v>15</v>
      </c>
      <c r="AF31" s="141">
        <v>27.5</v>
      </c>
      <c r="AG31" s="141">
        <v>37.5</v>
      </c>
      <c r="AH31" s="141">
        <v>32.5</v>
      </c>
      <c r="AI31" s="149">
        <f t="shared" si="13"/>
        <v>112.5</v>
      </c>
      <c r="AJ31" s="141">
        <v>17.5</v>
      </c>
      <c r="AK31" s="141">
        <v>27.5</v>
      </c>
      <c r="AL31" s="141">
        <v>37.5</v>
      </c>
      <c r="AM31" s="141">
        <v>32.5</v>
      </c>
      <c r="AN31" s="149">
        <f t="shared" si="14"/>
        <v>115</v>
      </c>
      <c r="AO31" s="145"/>
      <c r="AP31" s="141">
        <v>17.5</v>
      </c>
      <c r="AQ31" s="141">
        <v>27.5</v>
      </c>
      <c r="AR31" s="141">
        <v>37.5</v>
      </c>
      <c r="AS31" s="141">
        <v>32.5</v>
      </c>
      <c r="AT31" s="149">
        <f t="shared" si="15"/>
        <v>115</v>
      </c>
      <c r="AU31" s="145"/>
      <c r="AV31" s="141">
        <v>17.5</v>
      </c>
      <c r="AW31" s="141">
        <v>27.5</v>
      </c>
      <c r="AX31" s="141">
        <v>37.5</v>
      </c>
      <c r="AY31" s="141">
        <v>32.5</v>
      </c>
      <c r="AZ31" s="149">
        <f t="shared" si="16"/>
        <v>115</v>
      </c>
      <c r="BA31" s="145"/>
      <c r="BB31" s="141">
        <v>17.5</v>
      </c>
      <c r="BC31" s="141">
        <v>32.5</v>
      </c>
      <c r="BD31" s="141">
        <v>37.5</v>
      </c>
      <c r="BE31" s="141">
        <v>27.5</v>
      </c>
      <c r="BF31" s="149">
        <f t="shared" si="17"/>
        <v>115</v>
      </c>
      <c r="BG31" s="145"/>
      <c r="BH31" s="141">
        <v>17.5</v>
      </c>
      <c r="BI31" s="141">
        <v>33.75</v>
      </c>
      <c r="BJ31" s="141">
        <f>38.75-1.25</f>
        <v>37.5</v>
      </c>
      <c r="BK31" s="141">
        <v>27.5</v>
      </c>
      <c r="BL31" s="149">
        <f t="shared" si="2"/>
        <v>116.25</v>
      </c>
      <c r="BM31" s="145"/>
      <c r="BN31" s="141">
        <v>17.5</v>
      </c>
      <c r="BO31" s="141">
        <v>32.5</v>
      </c>
      <c r="BP31" s="141">
        <v>37.5</v>
      </c>
      <c r="BQ31" s="141">
        <v>27.5</v>
      </c>
      <c r="BR31" s="149">
        <f t="shared" si="3"/>
        <v>115</v>
      </c>
      <c r="BS31" s="145"/>
      <c r="BT31" s="141">
        <v>17.5</v>
      </c>
      <c r="BU31" s="141">
        <v>32.5</v>
      </c>
      <c r="BV31" s="141">
        <v>37.5</v>
      </c>
      <c r="BW31" s="141">
        <v>27.5</v>
      </c>
      <c r="BX31" s="149">
        <f t="shared" si="4"/>
        <v>115</v>
      </c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</row>
    <row r="32" spans="1:90" s="78" customFormat="1" ht="15" customHeight="1">
      <c r="A32" s="163">
        <v>14106</v>
      </c>
      <c r="B32" s="164" t="s">
        <v>113</v>
      </c>
      <c r="C32" s="85">
        <v>275487.55</v>
      </c>
      <c r="D32" s="85">
        <v>275487.55</v>
      </c>
      <c r="E32" s="221">
        <v>74376.61</v>
      </c>
      <c r="F32" s="86"/>
      <c r="G32" s="86">
        <v>294926.36</v>
      </c>
      <c r="H32" s="87">
        <f t="shared" si="5"/>
        <v>1.0705614827239924</v>
      </c>
      <c r="I32" s="89">
        <f t="shared" si="0"/>
        <v>-19438.809999999998</v>
      </c>
      <c r="J32" s="216"/>
      <c r="K32" s="209"/>
      <c r="L32" s="141"/>
      <c r="M32" s="141">
        <f t="shared" si="18"/>
        <v>124344.98</v>
      </c>
      <c r="N32" s="141">
        <f t="shared" si="6"/>
        <v>124344.98000000001</v>
      </c>
      <c r="O32" s="141">
        <f t="shared" si="7"/>
        <v>126919.71</v>
      </c>
      <c r="P32" s="141">
        <f t="shared" si="8"/>
        <v>124344.98000000001</v>
      </c>
      <c r="Q32" s="141">
        <f t="shared" si="9"/>
        <v>124344.98000000001</v>
      </c>
      <c r="R32" s="145"/>
      <c r="S32" s="145"/>
      <c r="T32" s="141">
        <v>49812.18</v>
      </c>
      <c r="U32" s="141">
        <v>90844.78</v>
      </c>
      <c r="V32" s="141">
        <v>110014.48</v>
      </c>
      <c r="W32" s="141">
        <v>90141.2</v>
      </c>
      <c r="X32" s="141">
        <f t="shared" si="11"/>
        <v>340812.64</v>
      </c>
      <c r="Y32" s="145"/>
      <c r="Z32" s="141">
        <v>15412.74</v>
      </c>
      <c r="AA32" s="141">
        <v>29642.78</v>
      </c>
      <c r="AB32" s="141">
        <v>39357.82</v>
      </c>
      <c r="AC32" s="141">
        <v>33727.84</v>
      </c>
      <c r="AD32" s="141">
        <f t="shared" si="12"/>
        <v>118141.18</v>
      </c>
      <c r="AE32" s="141">
        <v>28629.9</v>
      </c>
      <c r="AF32" s="141">
        <v>28573.16</v>
      </c>
      <c r="AG32" s="141">
        <v>40113.28</v>
      </c>
      <c r="AH32" s="141">
        <v>32473.24</v>
      </c>
      <c r="AI32" s="149">
        <f t="shared" si="13"/>
        <v>129789.58</v>
      </c>
      <c r="AJ32" s="141">
        <v>23984.82</v>
      </c>
      <c r="AK32" s="141">
        <v>28573.16</v>
      </c>
      <c r="AL32" s="141">
        <v>39216.61</v>
      </c>
      <c r="AM32" s="141">
        <v>32473.24</v>
      </c>
      <c r="AN32" s="149">
        <f t="shared" si="14"/>
        <v>124247.83</v>
      </c>
      <c r="AO32" s="145"/>
      <c r="AP32" s="141">
        <v>23984.82</v>
      </c>
      <c r="AQ32" s="141">
        <v>28573.16</v>
      </c>
      <c r="AR32" s="141">
        <v>39313.76</v>
      </c>
      <c r="AS32" s="141">
        <v>32473.24</v>
      </c>
      <c r="AT32" s="149">
        <f t="shared" si="15"/>
        <v>124344.98</v>
      </c>
      <c r="AU32" s="145"/>
      <c r="AV32" s="141">
        <v>23984.82</v>
      </c>
      <c r="AW32" s="141">
        <v>28573.16</v>
      </c>
      <c r="AX32" s="141">
        <v>39313.76</v>
      </c>
      <c r="AY32" s="141">
        <v>32473.24</v>
      </c>
      <c r="AZ32" s="149">
        <f t="shared" si="16"/>
        <v>124344.98</v>
      </c>
      <c r="BA32" s="145"/>
      <c r="BB32" s="141">
        <v>23984.82</v>
      </c>
      <c r="BC32" s="141">
        <v>32473.24</v>
      </c>
      <c r="BD32" s="141">
        <v>39313.76</v>
      </c>
      <c r="BE32" s="141">
        <v>28573.16</v>
      </c>
      <c r="BF32" s="149">
        <f t="shared" si="17"/>
        <v>124344.98000000001</v>
      </c>
      <c r="BG32" s="145"/>
      <c r="BH32" s="141">
        <v>23984.82</v>
      </c>
      <c r="BI32" s="141">
        <v>33978.76</v>
      </c>
      <c r="BJ32" s="141">
        <f>41346.18-963.21</f>
        <v>40382.97</v>
      </c>
      <c r="BK32" s="141">
        <v>28573.16</v>
      </c>
      <c r="BL32" s="149">
        <f t="shared" si="2"/>
        <v>126919.71</v>
      </c>
      <c r="BM32" s="145"/>
      <c r="BN32" s="141">
        <v>23984.82</v>
      </c>
      <c r="BO32" s="141">
        <v>32473.24</v>
      </c>
      <c r="BP32" s="141">
        <v>39313.76</v>
      </c>
      <c r="BQ32" s="141">
        <v>28573.16</v>
      </c>
      <c r="BR32" s="149">
        <f t="shared" si="3"/>
        <v>124344.98000000001</v>
      </c>
      <c r="BS32" s="145"/>
      <c r="BT32" s="141">
        <v>23984.82</v>
      </c>
      <c r="BU32" s="141">
        <v>32473.24</v>
      </c>
      <c r="BV32" s="141">
        <v>39313.76</v>
      </c>
      <c r="BW32" s="141">
        <v>28573.16</v>
      </c>
      <c r="BX32" s="149">
        <f t="shared" si="4"/>
        <v>124344.98000000001</v>
      </c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</row>
    <row r="33" spans="1:90" s="78" customFormat="1" ht="15" customHeight="1">
      <c r="A33" s="163">
        <v>14107</v>
      </c>
      <c r="B33" s="165" t="s">
        <v>114</v>
      </c>
      <c r="C33" s="85">
        <v>91829.19</v>
      </c>
      <c r="D33" s="85">
        <v>91829.19</v>
      </c>
      <c r="E33" s="221">
        <v>24791.71</v>
      </c>
      <c r="F33" s="86"/>
      <c r="G33" s="86">
        <v>95563.01000000001</v>
      </c>
      <c r="H33" s="87">
        <f t="shared" si="5"/>
        <v>1.0406604915060234</v>
      </c>
      <c r="I33" s="89">
        <f t="shared" si="0"/>
        <v>-3733.820000000007</v>
      </c>
      <c r="J33" s="216"/>
      <c r="K33" s="209"/>
      <c r="L33" s="141"/>
      <c r="M33" s="141">
        <f t="shared" si="18"/>
        <v>3656.84</v>
      </c>
      <c r="N33" s="141">
        <f t="shared" si="6"/>
        <v>3656.8400000000006</v>
      </c>
      <c r="O33" s="141">
        <f t="shared" si="7"/>
        <v>3732.57</v>
      </c>
      <c r="P33" s="141">
        <f t="shared" si="8"/>
        <v>3656.8400000000006</v>
      </c>
      <c r="Q33" s="141">
        <f t="shared" si="9"/>
        <v>3656.8400000000006</v>
      </c>
      <c r="R33" s="145"/>
      <c r="S33" s="145"/>
      <c r="T33" s="141">
        <v>1464.92</v>
      </c>
      <c r="U33" s="141">
        <v>2671.73</v>
      </c>
      <c r="V33" s="141">
        <v>3236.36</v>
      </c>
      <c r="W33" s="141">
        <v>2650.82</v>
      </c>
      <c r="X33" s="141">
        <f t="shared" si="11"/>
        <v>10023.83</v>
      </c>
      <c r="Y33" s="145"/>
      <c r="Z33" s="141">
        <v>453.28</v>
      </c>
      <c r="AA33" s="141">
        <v>871.78</v>
      </c>
      <c r="AB33" s="141">
        <v>1157.48</v>
      </c>
      <c r="AC33" s="141">
        <v>991.86</v>
      </c>
      <c r="AD33" s="141">
        <f t="shared" si="12"/>
        <v>3474.4</v>
      </c>
      <c r="AE33" s="141">
        <v>842.02</v>
      </c>
      <c r="AF33" s="141">
        <v>840.32</v>
      </c>
      <c r="AG33" s="141">
        <v>1179.68</v>
      </c>
      <c r="AH33" s="141">
        <v>954.96</v>
      </c>
      <c r="AI33" s="149">
        <f t="shared" si="13"/>
        <v>3816.9800000000005</v>
      </c>
      <c r="AJ33" s="141">
        <v>705.4</v>
      </c>
      <c r="AK33" s="141">
        <v>840.32</v>
      </c>
      <c r="AL33" s="141">
        <v>1153.31</v>
      </c>
      <c r="AM33" s="141">
        <v>954.96</v>
      </c>
      <c r="AN33" s="149">
        <f t="shared" si="14"/>
        <v>3653.99</v>
      </c>
      <c r="AO33" s="145"/>
      <c r="AP33" s="141">
        <v>705.4</v>
      </c>
      <c r="AQ33" s="141">
        <v>840.32</v>
      </c>
      <c r="AR33" s="141">
        <v>1156.16</v>
      </c>
      <c r="AS33" s="141">
        <v>954.96</v>
      </c>
      <c r="AT33" s="149">
        <f t="shared" si="15"/>
        <v>3656.84</v>
      </c>
      <c r="AU33" s="145"/>
      <c r="AV33" s="141">
        <v>705.4</v>
      </c>
      <c r="AW33" s="141">
        <v>840.32</v>
      </c>
      <c r="AX33" s="141">
        <v>1156.16</v>
      </c>
      <c r="AY33" s="141">
        <v>954.96</v>
      </c>
      <c r="AZ33" s="149">
        <f t="shared" si="16"/>
        <v>3656.84</v>
      </c>
      <c r="BA33" s="145"/>
      <c r="BB33" s="141">
        <v>705.4</v>
      </c>
      <c r="BC33" s="141">
        <v>954.96</v>
      </c>
      <c r="BD33" s="141">
        <v>1156.16</v>
      </c>
      <c r="BE33" s="141">
        <v>840.32</v>
      </c>
      <c r="BF33" s="149">
        <f t="shared" si="17"/>
        <v>3656.8400000000006</v>
      </c>
      <c r="BG33" s="145"/>
      <c r="BH33" s="141">
        <v>705.4</v>
      </c>
      <c r="BI33" s="141">
        <v>999.24</v>
      </c>
      <c r="BJ33" s="141">
        <f>1215.93-28.32</f>
        <v>1187.6100000000001</v>
      </c>
      <c r="BK33" s="141">
        <v>840.32</v>
      </c>
      <c r="BL33" s="149">
        <f t="shared" si="2"/>
        <v>3732.57</v>
      </c>
      <c r="BM33" s="145"/>
      <c r="BN33" s="141">
        <v>705.4</v>
      </c>
      <c r="BO33" s="141">
        <v>954.96</v>
      </c>
      <c r="BP33" s="141">
        <v>1156.16</v>
      </c>
      <c r="BQ33" s="141">
        <v>840.32</v>
      </c>
      <c r="BR33" s="149">
        <f t="shared" si="3"/>
        <v>3656.8400000000006</v>
      </c>
      <c r="BS33" s="145"/>
      <c r="BT33" s="141">
        <v>705.4</v>
      </c>
      <c r="BU33" s="141">
        <v>954.96</v>
      </c>
      <c r="BV33" s="141">
        <v>1156.16</v>
      </c>
      <c r="BW33" s="141">
        <v>840.32</v>
      </c>
      <c r="BX33" s="149">
        <f t="shared" si="4"/>
        <v>3656.8400000000006</v>
      </c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</row>
    <row r="34" spans="1:90" s="78" customFormat="1" ht="15" customHeight="1">
      <c r="A34" s="166"/>
      <c r="B34" s="167"/>
      <c r="C34" s="85"/>
      <c r="D34" s="85"/>
      <c r="E34" s="86">
        <v>0</v>
      </c>
      <c r="F34" s="86"/>
      <c r="G34" s="86">
        <v>0</v>
      </c>
      <c r="H34" s="87"/>
      <c r="I34" s="89"/>
      <c r="J34" s="216"/>
      <c r="K34" s="209"/>
      <c r="L34" s="141"/>
      <c r="M34" s="141">
        <f t="shared" si="18"/>
        <v>3656.84</v>
      </c>
      <c r="N34" s="141">
        <f t="shared" si="6"/>
        <v>3656.8400000000006</v>
      </c>
      <c r="O34" s="141">
        <f t="shared" si="7"/>
        <v>3732.57</v>
      </c>
      <c r="P34" s="141">
        <f t="shared" si="8"/>
        <v>3656.8400000000006</v>
      </c>
      <c r="Q34" s="141">
        <f t="shared" si="9"/>
        <v>3656.8400000000006</v>
      </c>
      <c r="R34" s="145"/>
      <c r="S34" s="145"/>
      <c r="T34" s="141">
        <v>1464.92</v>
      </c>
      <c r="U34" s="141">
        <v>2671.73</v>
      </c>
      <c r="V34" s="141">
        <v>3236.36</v>
      </c>
      <c r="W34" s="141">
        <v>2650.82</v>
      </c>
      <c r="X34" s="141">
        <f t="shared" si="11"/>
        <v>10023.83</v>
      </c>
      <c r="Y34" s="145"/>
      <c r="Z34" s="141">
        <v>453.28</v>
      </c>
      <c r="AA34" s="141">
        <v>871.78</v>
      </c>
      <c r="AB34" s="141">
        <v>1157.48</v>
      </c>
      <c r="AC34" s="141">
        <v>991.86</v>
      </c>
      <c r="AD34" s="141">
        <f t="shared" si="12"/>
        <v>3474.4</v>
      </c>
      <c r="AE34" s="141">
        <v>842.02</v>
      </c>
      <c r="AF34" s="141">
        <v>840.32</v>
      </c>
      <c r="AG34" s="141">
        <v>1179.68</v>
      </c>
      <c r="AH34" s="141">
        <v>954.96</v>
      </c>
      <c r="AI34" s="149">
        <f t="shared" si="13"/>
        <v>3816.9800000000005</v>
      </c>
      <c r="AJ34" s="141">
        <v>705.4</v>
      </c>
      <c r="AK34" s="141">
        <v>840.32</v>
      </c>
      <c r="AL34" s="141">
        <v>1153.31</v>
      </c>
      <c r="AM34" s="141">
        <v>954.96</v>
      </c>
      <c r="AN34" s="149">
        <f t="shared" si="14"/>
        <v>3653.99</v>
      </c>
      <c r="AO34" s="145"/>
      <c r="AP34" s="141">
        <v>705.4</v>
      </c>
      <c r="AQ34" s="141">
        <v>840.32</v>
      </c>
      <c r="AR34" s="141">
        <v>1156.16</v>
      </c>
      <c r="AS34" s="141">
        <v>954.96</v>
      </c>
      <c r="AT34" s="149">
        <f t="shared" si="15"/>
        <v>3656.84</v>
      </c>
      <c r="AU34" s="145"/>
      <c r="AV34" s="141">
        <v>705.4</v>
      </c>
      <c r="AW34" s="141">
        <v>840.32</v>
      </c>
      <c r="AX34" s="141">
        <v>1156.16</v>
      </c>
      <c r="AY34" s="141">
        <v>954.96</v>
      </c>
      <c r="AZ34" s="149">
        <f t="shared" si="16"/>
        <v>3656.84</v>
      </c>
      <c r="BA34" s="145"/>
      <c r="BB34" s="141">
        <v>705.4</v>
      </c>
      <c r="BC34" s="141">
        <v>954.96</v>
      </c>
      <c r="BD34" s="141">
        <v>1156.16</v>
      </c>
      <c r="BE34" s="141">
        <v>840.32</v>
      </c>
      <c r="BF34" s="149">
        <f t="shared" si="17"/>
        <v>3656.8400000000006</v>
      </c>
      <c r="BG34" s="145"/>
      <c r="BH34" s="141">
        <v>705.4</v>
      </c>
      <c r="BI34" s="141">
        <v>999.24</v>
      </c>
      <c r="BJ34" s="141">
        <f>1215.93-28.32</f>
        <v>1187.6100000000001</v>
      </c>
      <c r="BK34" s="141">
        <v>840.32</v>
      </c>
      <c r="BL34" s="149">
        <f t="shared" si="2"/>
        <v>3732.57</v>
      </c>
      <c r="BM34" s="145"/>
      <c r="BN34" s="141">
        <v>705.4</v>
      </c>
      <c r="BO34" s="141">
        <v>954.96</v>
      </c>
      <c r="BP34" s="141">
        <v>1156.16</v>
      </c>
      <c r="BQ34" s="141">
        <v>840.32</v>
      </c>
      <c r="BR34" s="149">
        <f t="shared" si="3"/>
        <v>3656.8400000000006</v>
      </c>
      <c r="BS34" s="145"/>
      <c r="BT34" s="141">
        <v>705.4</v>
      </c>
      <c r="BU34" s="141">
        <v>954.96</v>
      </c>
      <c r="BV34" s="141">
        <v>1156.16</v>
      </c>
      <c r="BW34" s="141">
        <v>840.32</v>
      </c>
      <c r="BX34" s="149">
        <f t="shared" si="4"/>
        <v>3656.8400000000006</v>
      </c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</row>
    <row r="35" spans="1:90" s="78" customFormat="1" ht="15" customHeight="1">
      <c r="A35" s="166"/>
      <c r="B35" s="167"/>
      <c r="C35" s="85"/>
      <c r="D35" s="85"/>
      <c r="E35" s="86">
        <v>0</v>
      </c>
      <c r="F35" s="86"/>
      <c r="G35" s="86">
        <v>0</v>
      </c>
      <c r="H35" s="87"/>
      <c r="I35" s="89"/>
      <c r="J35" s="216"/>
      <c r="K35" s="209"/>
      <c r="L35" s="141"/>
      <c r="M35" s="141">
        <f t="shared" si="18"/>
        <v>29256.32</v>
      </c>
      <c r="N35" s="141">
        <f t="shared" si="6"/>
        <v>29256.32</v>
      </c>
      <c r="O35" s="141">
        <f t="shared" si="7"/>
        <v>29862.12</v>
      </c>
      <c r="P35" s="141">
        <f t="shared" si="8"/>
        <v>29256.32</v>
      </c>
      <c r="Q35" s="141">
        <f t="shared" si="9"/>
        <v>29256.32</v>
      </c>
      <c r="R35" s="145"/>
      <c r="S35" s="145"/>
      <c r="T35" s="141">
        <v>11719.92</v>
      </c>
      <c r="U35" s="141">
        <v>21374.45</v>
      </c>
      <c r="V35" s="141">
        <v>25891.9</v>
      </c>
      <c r="W35" s="141">
        <v>21208.59</v>
      </c>
      <c r="X35" s="141">
        <f t="shared" si="11"/>
        <v>80194.86</v>
      </c>
      <c r="Y35" s="145"/>
      <c r="Z35" s="141">
        <v>3626.36</v>
      </c>
      <c r="AA35" s="141">
        <v>6974.48</v>
      </c>
      <c r="AB35" s="141">
        <v>9260.3</v>
      </c>
      <c r="AC35" s="141">
        <v>7935.56</v>
      </c>
      <c r="AD35" s="141">
        <f t="shared" si="12"/>
        <v>27796.7</v>
      </c>
      <c r="AE35" s="141">
        <v>6736.27</v>
      </c>
      <c r="AF35" s="141">
        <v>6722.8</v>
      </c>
      <c r="AG35" s="141">
        <v>9438</v>
      </c>
      <c r="AH35" s="141">
        <v>7640.36</v>
      </c>
      <c r="AI35" s="149">
        <f t="shared" si="13"/>
        <v>30537.43</v>
      </c>
      <c r="AJ35" s="141">
        <v>5643.3</v>
      </c>
      <c r="AK35" s="141">
        <v>6722.8</v>
      </c>
      <c r="AL35" s="141">
        <v>9227.02</v>
      </c>
      <c r="AM35" s="141">
        <v>7640.36</v>
      </c>
      <c r="AN35" s="149">
        <f t="shared" si="14"/>
        <v>29233.480000000003</v>
      </c>
      <c r="AO35" s="145"/>
      <c r="AP35" s="141">
        <v>5643.3</v>
      </c>
      <c r="AQ35" s="141">
        <v>6722.8</v>
      </c>
      <c r="AR35" s="141">
        <v>9249.86</v>
      </c>
      <c r="AS35" s="141">
        <v>7640.36</v>
      </c>
      <c r="AT35" s="149">
        <f t="shared" si="15"/>
        <v>29256.32</v>
      </c>
      <c r="AU35" s="145"/>
      <c r="AV35" s="141">
        <v>5643.3</v>
      </c>
      <c r="AW35" s="141">
        <v>6722.8</v>
      </c>
      <c r="AX35" s="141">
        <v>9249.86</v>
      </c>
      <c r="AY35" s="141">
        <v>7640.36</v>
      </c>
      <c r="AZ35" s="149">
        <f t="shared" si="16"/>
        <v>29256.32</v>
      </c>
      <c r="BA35" s="145"/>
      <c r="BB35" s="141">
        <v>5643.3</v>
      </c>
      <c r="BC35" s="141">
        <v>7640.36</v>
      </c>
      <c r="BD35" s="141">
        <v>9249.86</v>
      </c>
      <c r="BE35" s="141">
        <v>6722.8</v>
      </c>
      <c r="BF35" s="149">
        <f t="shared" si="17"/>
        <v>29256.32</v>
      </c>
      <c r="BG35" s="145"/>
      <c r="BH35" s="141">
        <v>5643.3</v>
      </c>
      <c r="BI35" s="141">
        <v>7994.59</v>
      </c>
      <c r="BJ35" s="141">
        <f>9728.04-226.61</f>
        <v>9501.43</v>
      </c>
      <c r="BK35" s="141">
        <v>6722.8</v>
      </c>
      <c r="BL35" s="149">
        <f t="shared" si="2"/>
        <v>29862.12</v>
      </c>
      <c r="BM35" s="145"/>
      <c r="BN35" s="141">
        <v>5643.3</v>
      </c>
      <c r="BO35" s="141">
        <v>7640.36</v>
      </c>
      <c r="BP35" s="141">
        <v>9249.86</v>
      </c>
      <c r="BQ35" s="141">
        <v>6722.8</v>
      </c>
      <c r="BR35" s="149">
        <f t="shared" si="3"/>
        <v>29256.32</v>
      </c>
      <c r="BS35" s="145"/>
      <c r="BT35" s="141">
        <v>5643.3</v>
      </c>
      <c r="BU35" s="141">
        <v>7640.36</v>
      </c>
      <c r="BV35" s="141">
        <v>9249.86</v>
      </c>
      <c r="BW35" s="141">
        <v>6722.8</v>
      </c>
      <c r="BX35" s="149">
        <f t="shared" si="4"/>
        <v>29256.32</v>
      </c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</row>
    <row r="36" spans="1:90" s="199" customFormat="1" ht="15" customHeight="1">
      <c r="A36" s="194"/>
      <c r="B36" s="195" t="s">
        <v>54</v>
      </c>
      <c r="C36" s="187">
        <f>SUM(C11:C35)</f>
        <v>17552257.7</v>
      </c>
      <c r="D36" s="187">
        <f>SUM(D11:D35)</f>
        <v>17552257.7</v>
      </c>
      <c r="E36" s="187">
        <f>SUM(E11:E35)</f>
        <v>6640381.990000001</v>
      </c>
      <c r="F36" s="90"/>
      <c r="G36" s="187">
        <f>SUM(G11:G35)</f>
        <v>19399427.229999997</v>
      </c>
      <c r="H36" s="95" t="s">
        <v>52</v>
      </c>
      <c r="I36" s="187">
        <f>SUM(I11:I35)</f>
        <v>-1847169.53</v>
      </c>
      <c r="J36" s="217"/>
      <c r="K36" s="210"/>
      <c r="L36" s="196"/>
      <c r="M36" s="196">
        <f t="shared" si="18"/>
        <v>0</v>
      </c>
      <c r="N36" s="196">
        <f t="shared" si="6"/>
        <v>0</v>
      </c>
      <c r="O36" s="196">
        <f t="shared" si="7"/>
        <v>0</v>
      </c>
      <c r="P36" s="196">
        <f t="shared" si="8"/>
        <v>0</v>
      </c>
      <c r="Q36" s="196">
        <f t="shared" si="9"/>
        <v>0</v>
      </c>
      <c r="R36" s="197"/>
      <c r="S36" s="197"/>
      <c r="T36" s="196"/>
      <c r="U36" s="196"/>
      <c r="V36" s="196"/>
      <c r="W36" s="196"/>
      <c r="X36" s="196">
        <f t="shared" si="11"/>
        <v>0</v>
      </c>
      <c r="Y36" s="197"/>
      <c r="Z36" s="196"/>
      <c r="AA36" s="196"/>
      <c r="AB36" s="196"/>
      <c r="AC36" s="196"/>
      <c r="AD36" s="196">
        <f t="shared" si="12"/>
        <v>0</v>
      </c>
      <c r="AE36" s="196"/>
      <c r="AF36" s="196"/>
      <c r="AG36" s="196"/>
      <c r="AH36" s="196"/>
      <c r="AI36" s="196">
        <f t="shared" si="13"/>
        <v>0</v>
      </c>
      <c r="AJ36" s="196"/>
      <c r="AK36" s="196"/>
      <c r="AL36" s="196"/>
      <c r="AM36" s="196"/>
      <c r="AN36" s="196">
        <f t="shared" si="14"/>
        <v>0</v>
      </c>
      <c r="AO36" s="197"/>
      <c r="AP36" s="196"/>
      <c r="AQ36" s="196"/>
      <c r="AR36" s="196"/>
      <c r="AS36" s="196"/>
      <c r="AT36" s="196">
        <f t="shared" si="15"/>
        <v>0</v>
      </c>
      <c r="AU36" s="197"/>
      <c r="AV36" s="196"/>
      <c r="AW36" s="196"/>
      <c r="AX36" s="196"/>
      <c r="AY36" s="196"/>
      <c r="AZ36" s="196">
        <f t="shared" si="16"/>
        <v>0</v>
      </c>
      <c r="BA36" s="197"/>
      <c r="BB36" s="196"/>
      <c r="BC36" s="196"/>
      <c r="BD36" s="196"/>
      <c r="BE36" s="196"/>
      <c r="BF36" s="196">
        <f t="shared" si="17"/>
        <v>0</v>
      </c>
      <c r="BG36" s="197"/>
      <c r="BH36" s="196"/>
      <c r="BI36" s="196"/>
      <c r="BJ36" s="196"/>
      <c r="BK36" s="196"/>
      <c r="BL36" s="196">
        <f t="shared" si="2"/>
        <v>0</v>
      </c>
      <c r="BM36" s="197"/>
      <c r="BN36" s="196"/>
      <c r="BO36" s="196"/>
      <c r="BP36" s="196"/>
      <c r="BQ36" s="196"/>
      <c r="BR36" s="196">
        <f t="shared" si="3"/>
        <v>0</v>
      </c>
      <c r="BS36" s="197"/>
      <c r="BT36" s="196"/>
      <c r="BU36" s="196"/>
      <c r="BV36" s="196"/>
      <c r="BW36" s="196"/>
      <c r="BX36" s="196">
        <f t="shared" si="4"/>
        <v>0</v>
      </c>
      <c r="BY36" s="198"/>
      <c r="BZ36" s="198"/>
      <c r="CA36" s="198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</row>
    <row r="37" spans="1:90" s="78" customFormat="1" ht="27" customHeight="1">
      <c r="A37" s="166">
        <v>21101</v>
      </c>
      <c r="B37" s="164" t="s">
        <v>115</v>
      </c>
      <c r="C37" s="85">
        <v>500000</v>
      </c>
      <c r="D37" s="85">
        <v>619689.42</v>
      </c>
      <c r="E37" s="86">
        <v>134236.77000000002</v>
      </c>
      <c r="F37" s="86"/>
      <c r="G37" s="86">
        <v>619689.4199999999</v>
      </c>
      <c r="H37" s="87">
        <f aca="true" t="shared" si="19" ref="H37:H48">G37/D37</f>
        <v>0.9999999999999998</v>
      </c>
      <c r="I37" s="89">
        <f aca="true" t="shared" si="20" ref="I37:I48">D37-G37</f>
        <v>0</v>
      </c>
      <c r="J37" s="216"/>
      <c r="K37" s="209"/>
      <c r="L37" s="141"/>
      <c r="M37" s="141">
        <f t="shared" si="18"/>
        <v>0</v>
      </c>
      <c r="N37" s="141">
        <f t="shared" si="6"/>
        <v>0</v>
      </c>
      <c r="O37" s="141">
        <f t="shared" si="7"/>
        <v>0</v>
      </c>
      <c r="P37" s="141">
        <f t="shared" si="8"/>
        <v>0</v>
      </c>
      <c r="Q37" s="141">
        <f t="shared" si="9"/>
        <v>0</v>
      </c>
      <c r="R37" s="145"/>
      <c r="S37" s="145"/>
      <c r="T37" s="141"/>
      <c r="U37" s="141"/>
      <c r="V37" s="141"/>
      <c r="W37" s="141"/>
      <c r="X37" s="141">
        <f t="shared" si="11"/>
        <v>0</v>
      </c>
      <c r="Y37" s="145"/>
      <c r="Z37" s="141"/>
      <c r="AA37" s="141"/>
      <c r="AB37" s="141"/>
      <c r="AC37" s="141"/>
      <c r="AD37" s="141">
        <f t="shared" si="12"/>
        <v>0</v>
      </c>
      <c r="AE37" s="141"/>
      <c r="AF37" s="141"/>
      <c r="AG37" s="141"/>
      <c r="AH37" s="141"/>
      <c r="AI37" s="149">
        <f t="shared" si="13"/>
        <v>0</v>
      </c>
      <c r="AJ37" s="141"/>
      <c r="AK37" s="141"/>
      <c r="AL37" s="141"/>
      <c r="AM37" s="141"/>
      <c r="AN37" s="149">
        <f t="shared" si="14"/>
        <v>0</v>
      </c>
      <c r="AO37" s="145"/>
      <c r="AP37" s="141"/>
      <c r="AQ37" s="141"/>
      <c r="AR37" s="141"/>
      <c r="AS37" s="141"/>
      <c r="AT37" s="149">
        <f t="shared" si="15"/>
        <v>0</v>
      </c>
      <c r="AU37" s="145"/>
      <c r="AV37" s="141"/>
      <c r="AW37" s="141"/>
      <c r="AX37" s="141"/>
      <c r="AY37" s="141"/>
      <c r="AZ37" s="149">
        <f t="shared" si="16"/>
        <v>0</v>
      </c>
      <c r="BA37" s="145"/>
      <c r="BB37" s="141"/>
      <c r="BC37" s="141"/>
      <c r="BD37" s="141"/>
      <c r="BE37" s="141"/>
      <c r="BF37" s="149">
        <f t="shared" si="17"/>
        <v>0</v>
      </c>
      <c r="BG37" s="145"/>
      <c r="BH37" s="141"/>
      <c r="BI37" s="141"/>
      <c r="BJ37" s="141"/>
      <c r="BK37" s="141"/>
      <c r="BL37" s="149">
        <f t="shared" si="2"/>
        <v>0</v>
      </c>
      <c r="BM37" s="145"/>
      <c r="BN37" s="141"/>
      <c r="BO37" s="141"/>
      <c r="BP37" s="141"/>
      <c r="BQ37" s="141"/>
      <c r="BR37" s="149">
        <f t="shared" si="3"/>
        <v>0</v>
      </c>
      <c r="BS37" s="145"/>
      <c r="BT37" s="141"/>
      <c r="BU37" s="141"/>
      <c r="BV37" s="141"/>
      <c r="BW37" s="141"/>
      <c r="BX37" s="149">
        <f t="shared" si="4"/>
        <v>0</v>
      </c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</row>
    <row r="38" spans="1:90" s="78" customFormat="1" ht="15" customHeight="1">
      <c r="A38" s="166">
        <v>21601</v>
      </c>
      <c r="B38" s="164" t="s">
        <v>116</v>
      </c>
      <c r="C38" s="85">
        <v>100000</v>
      </c>
      <c r="D38" s="85">
        <v>66549.44</v>
      </c>
      <c r="E38" s="86">
        <v>28559.22</v>
      </c>
      <c r="F38" s="86"/>
      <c r="G38" s="86">
        <v>66744.44</v>
      </c>
      <c r="H38" s="87">
        <f t="shared" si="19"/>
        <v>1.002930152379945</v>
      </c>
      <c r="I38" s="89">
        <f t="shared" si="20"/>
        <v>-195</v>
      </c>
      <c r="J38" s="216"/>
      <c r="K38" s="209"/>
      <c r="L38" s="141"/>
      <c r="M38" s="141">
        <f t="shared" si="18"/>
        <v>0</v>
      </c>
      <c r="N38" s="141">
        <f t="shared" si="6"/>
        <v>0</v>
      </c>
      <c r="O38" s="141"/>
      <c r="P38" s="141">
        <f t="shared" si="8"/>
        <v>0</v>
      </c>
      <c r="Q38" s="141">
        <f t="shared" si="9"/>
        <v>0</v>
      </c>
      <c r="R38" s="145"/>
      <c r="S38" s="145"/>
      <c r="T38" s="141"/>
      <c r="U38" s="141"/>
      <c r="V38" s="141"/>
      <c r="W38" s="141"/>
      <c r="X38" s="141">
        <f t="shared" si="11"/>
        <v>0</v>
      </c>
      <c r="Y38" s="145"/>
      <c r="Z38" s="141"/>
      <c r="AA38" s="141"/>
      <c r="AB38" s="141"/>
      <c r="AC38" s="141"/>
      <c r="AD38" s="141">
        <f t="shared" si="12"/>
        <v>0</v>
      </c>
      <c r="AE38" s="141"/>
      <c r="AF38" s="141"/>
      <c r="AG38" s="141"/>
      <c r="AH38" s="141"/>
      <c r="AI38" s="149">
        <f t="shared" si="13"/>
        <v>0</v>
      </c>
      <c r="AJ38" s="141"/>
      <c r="AK38" s="141"/>
      <c r="AL38" s="141"/>
      <c r="AM38" s="141"/>
      <c r="AN38" s="149">
        <f t="shared" si="14"/>
        <v>0</v>
      </c>
      <c r="AO38" s="145"/>
      <c r="AP38" s="141"/>
      <c r="AQ38" s="141"/>
      <c r="AR38" s="141"/>
      <c r="AS38" s="141"/>
      <c r="AT38" s="149">
        <f t="shared" si="15"/>
        <v>0</v>
      </c>
      <c r="AU38" s="145"/>
      <c r="AV38" s="141"/>
      <c r="AW38" s="141"/>
      <c r="AX38" s="141"/>
      <c r="AY38" s="141"/>
      <c r="AZ38" s="149">
        <f t="shared" si="16"/>
        <v>0</v>
      </c>
      <c r="BA38" s="145"/>
      <c r="BB38" s="141"/>
      <c r="BC38" s="141"/>
      <c r="BD38" s="141"/>
      <c r="BE38" s="141"/>
      <c r="BF38" s="149">
        <f t="shared" si="17"/>
        <v>0</v>
      </c>
      <c r="BG38" s="145"/>
      <c r="BH38" s="141"/>
      <c r="BI38" s="141"/>
      <c r="BJ38" s="141"/>
      <c r="BK38" s="141"/>
      <c r="BL38" s="149">
        <f t="shared" si="2"/>
        <v>0</v>
      </c>
      <c r="BM38" s="145"/>
      <c r="BN38" s="141"/>
      <c r="BO38" s="141"/>
      <c r="BP38" s="141"/>
      <c r="BQ38" s="141"/>
      <c r="BR38" s="149">
        <f t="shared" si="3"/>
        <v>0</v>
      </c>
      <c r="BS38" s="145"/>
      <c r="BT38" s="141"/>
      <c r="BU38" s="141"/>
      <c r="BV38" s="141"/>
      <c r="BW38" s="141"/>
      <c r="BX38" s="149">
        <f t="shared" si="4"/>
        <v>0</v>
      </c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</row>
    <row r="39" spans="1:90" s="78" customFormat="1" ht="22.5">
      <c r="A39" s="166">
        <v>21201</v>
      </c>
      <c r="B39" s="164" t="s">
        <v>117</v>
      </c>
      <c r="C39" s="85">
        <v>120000</v>
      </c>
      <c r="D39" s="85">
        <v>79747.95</v>
      </c>
      <c r="E39" s="86">
        <v>0</v>
      </c>
      <c r="F39" s="185"/>
      <c r="G39" s="86">
        <v>79747.95000000001</v>
      </c>
      <c r="H39" s="87">
        <f t="shared" si="19"/>
        <v>1.0000000000000002</v>
      </c>
      <c r="I39" s="89">
        <f t="shared" si="20"/>
        <v>0</v>
      </c>
      <c r="J39" s="218"/>
      <c r="K39" s="210"/>
      <c r="L39" s="149"/>
      <c r="M39" s="149">
        <f>SUM(M11:M38)</f>
        <v>1315766.3000000003</v>
      </c>
      <c r="N39" s="149">
        <f>SUM(N11:N38)</f>
        <v>1297766.3000000003</v>
      </c>
      <c r="O39" s="149">
        <f>SUM(O11:O38)</f>
        <v>1330799.52</v>
      </c>
      <c r="P39" s="149">
        <f>SUM(P11:P38)</f>
        <v>2159987.2899999996</v>
      </c>
      <c r="Q39" s="149">
        <f>SUM(Q11:Q38)</f>
        <v>2091506.4800000002</v>
      </c>
      <c r="R39" s="145"/>
      <c r="S39" s="145"/>
      <c r="T39" s="149">
        <f>SUM(T11:T38)</f>
        <v>673538.4600000002</v>
      </c>
      <c r="U39" s="149">
        <f>SUM(U11:U38)</f>
        <v>716612.2200000001</v>
      </c>
      <c r="V39" s="149">
        <f>SUM(V11:V38)</f>
        <v>1013751.57</v>
      </c>
      <c r="W39" s="149">
        <f>SUM(W11:W38)</f>
        <v>1088700.1300000001</v>
      </c>
      <c r="X39" s="141">
        <f t="shared" si="11"/>
        <v>3492602.38</v>
      </c>
      <c r="Y39" s="145"/>
      <c r="Z39" s="149">
        <f>SUM(Z11:Z38)</f>
        <v>214305.57999999993</v>
      </c>
      <c r="AA39" s="149">
        <f>SUM(AA11:AA38)</f>
        <v>256064.31</v>
      </c>
      <c r="AB39" s="149">
        <f>SUM(AB11:AB38)</f>
        <v>363742.00999999995</v>
      </c>
      <c r="AC39" s="149">
        <f>SUM(AC11:AC38)</f>
        <v>379764.06</v>
      </c>
      <c r="AD39" s="149">
        <f t="shared" si="12"/>
        <v>1213875.96</v>
      </c>
      <c r="AE39" s="149">
        <f>SUM(AE11:AE38)</f>
        <v>368714.4800000001</v>
      </c>
      <c r="AF39" s="149">
        <f>SUM(AF11:AF38)</f>
        <v>320079.76</v>
      </c>
      <c r="AG39" s="149">
        <f>SUM(AG11:AG38)</f>
        <v>353622.82999999996</v>
      </c>
      <c r="AH39" s="149">
        <f>SUM(AH11:AH38)</f>
        <v>373480.31999999995</v>
      </c>
      <c r="AI39" s="149">
        <f t="shared" si="13"/>
        <v>1415897.3900000001</v>
      </c>
      <c r="AJ39" s="149">
        <f>SUM(AJ11:AJ38)</f>
        <v>308501.5800000001</v>
      </c>
      <c r="AK39" s="149">
        <f>SUM(AK11:AK38)</f>
        <v>446378.61999999994</v>
      </c>
      <c r="AL39" s="149">
        <f>SUM(AL11:AL38)</f>
        <v>475843.69999999995</v>
      </c>
      <c r="AM39" s="149">
        <f>SUM(AM11:AM38)</f>
        <v>370480.31999999995</v>
      </c>
      <c r="AN39" s="149">
        <f t="shared" si="14"/>
        <v>1601204.2199999997</v>
      </c>
      <c r="AO39" s="145"/>
      <c r="AP39" s="149">
        <f>SUM(AP11:AP38)</f>
        <v>357686.79000000004</v>
      </c>
      <c r="AQ39" s="149">
        <f>SUM(AQ11:AQ38)</f>
        <v>321908.6699999999</v>
      </c>
      <c r="AR39" s="149">
        <f>SUM(AR11:AR38)</f>
        <v>408112.8899999999</v>
      </c>
      <c r="AS39" s="149">
        <f>SUM(AS11:AS38)</f>
        <v>422861.6899999999</v>
      </c>
      <c r="AT39" s="149">
        <f t="shared" si="15"/>
        <v>1510570.0399999998</v>
      </c>
      <c r="AU39" s="145"/>
      <c r="AV39" s="149">
        <f>SUM(AV11:AV38)</f>
        <v>325735.4000000001</v>
      </c>
      <c r="AW39" s="149">
        <f>SUM(AW11:AW38)</f>
        <v>330802.88</v>
      </c>
      <c r="AX39" s="149">
        <f>SUM(AX11:AX38)</f>
        <v>372223.3799999999</v>
      </c>
      <c r="AY39" s="149">
        <f>SUM(AY11:AY38)</f>
        <v>287004.6400000001</v>
      </c>
      <c r="AZ39" s="149">
        <f t="shared" si="16"/>
        <v>1315766.3</v>
      </c>
      <c r="BA39" s="145"/>
      <c r="BB39" s="149">
        <f>SUM(BB11:BB38)</f>
        <v>307735.4000000001</v>
      </c>
      <c r="BC39" s="149">
        <f>SUM(BC11:BC38)</f>
        <v>287004.6400000001</v>
      </c>
      <c r="BD39" s="149">
        <f>SUM(BD11:BD38)</f>
        <v>372223.3799999999</v>
      </c>
      <c r="BE39" s="149">
        <f>SUM(BE11:BE38)</f>
        <v>330802.88</v>
      </c>
      <c r="BF39" s="149">
        <f t="shared" si="17"/>
        <v>1297766.3</v>
      </c>
      <c r="BG39" s="145"/>
      <c r="BH39" s="149">
        <f>SUM(BH11:BH38)</f>
        <v>325735.4</v>
      </c>
      <c r="BI39" s="149">
        <f>SUM(BI11:BI38)</f>
        <v>290061.3</v>
      </c>
      <c r="BJ39" s="149">
        <f>SUM(BJ11:BJ38)</f>
        <v>384199.9399999999</v>
      </c>
      <c r="BK39" s="149">
        <f>SUM(BK11:BK38)</f>
        <v>330802.88</v>
      </c>
      <c r="BL39" s="149">
        <f t="shared" si="2"/>
        <v>1330799.52</v>
      </c>
      <c r="BM39" s="145"/>
      <c r="BN39" s="149">
        <f>SUM(BN11:BN38)</f>
        <v>532376.3500000001</v>
      </c>
      <c r="BO39" s="149">
        <f>SUM(BO11:BO38)</f>
        <v>476374.74999999994</v>
      </c>
      <c r="BP39" s="149">
        <f>SUM(BP11:BP38)</f>
        <v>593197.03</v>
      </c>
      <c r="BQ39" s="149">
        <f>SUM(BQ11:BQ38)</f>
        <v>558039.1599999999</v>
      </c>
      <c r="BR39" s="149">
        <f t="shared" si="3"/>
        <v>2159987.29</v>
      </c>
      <c r="BS39" s="145"/>
      <c r="BT39" s="149">
        <f>SUM(BT11:BT38)</f>
        <v>492545.1500000001</v>
      </c>
      <c r="BU39" s="149">
        <f>SUM(BU11:BU38)</f>
        <v>495060.02999999997</v>
      </c>
      <c r="BV39" s="149">
        <f>SUM(BV11:BV38)</f>
        <v>572370.91</v>
      </c>
      <c r="BW39" s="149">
        <f>SUM(BW11:BW38)</f>
        <v>531530.39</v>
      </c>
      <c r="BX39" s="149">
        <f t="shared" si="4"/>
        <v>2091506.48</v>
      </c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</row>
    <row r="40" spans="1:90" s="78" customFormat="1" ht="22.5">
      <c r="A40" s="166">
        <v>21401</v>
      </c>
      <c r="B40" s="164" t="s">
        <v>118</v>
      </c>
      <c r="C40" s="85">
        <v>25000</v>
      </c>
      <c r="D40" s="85">
        <v>27305.52</v>
      </c>
      <c r="E40" s="86">
        <v>0</v>
      </c>
      <c r="F40" s="86"/>
      <c r="G40" s="86">
        <v>27305.52</v>
      </c>
      <c r="H40" s="87">
        <f t="shared" si="19"/>
        <v>1</v>
      </c>
      <c r="I40" s="89">
        <f t="shared" si="20"/>
        <v>0</v>
      </c>
      <c r="J40" s="216"/>
      <c r="K40" s="209"/>
      <c r="L40" s="141"/>
      <c r="M40" s="141">
        <f>AZ40-7900</f>
        <v>6605.5999999999985</v>
      </c>
      <c r="N40" s="141">
        <f t="shared" si="6"/>
        <v>8012.51</v>
      </c>
      <c r="O40" s="141">
        <f aca="true" t="shared" si="21" ref="O40:O88">BL40</f>
        <v>75635.66</v>
      </c>
      <c r="P40" s="141">
        <f t="shared" si="8"/>
        <v>5600.67</v>
      </c>
      <c r="Q40" s="141">
        <f t="shared" si="9"/>
        <v>18418.800000000003</v>
      </c>
      <c r="R40" s="145"/>
      <c r="S40" s="145"/>
      <c r="T40" s="141">
        <f>15575.25-6597.87-5624.34</f>
        <v>3353.040000000001</v>
      </c>
      <c r="U40" s="141">
        <f>20910.52-6597.87-5624.34</f>
        <v>8688.310000000001</v>
      </c>
      <c r="V40" s="141">
        <f>43094.78-6597.87-8133.92-5624.34-9662.8</f>
        <v>13075.849999999999</v>
      </c>
      <c r="W40" s="141">
        <f>15265.78-6597.87-5624.36</f>
        <v>3043.55</v>
      </c>
      <c r="X40" s="141">
        <f t="shared" si="11"/>
        <v>28160.75</v>
      </c>
      <c r="Y40" s="145"/>
      <c r="Z40" s="141">
        <f>10668.81-7651.61</f>
        <v>3017.2</v>
      </c>
      <c r="AA40" s="141">
        <f>9467.01-7651.61</f>
        <v>1815.4000000000005</v>
      </c>
      <c r="AB40" s="141">
        <f>22382.41-7651.61</f>
        <v>14730.8</v>
      </c>
      <c r="AC40" s="141">
        <f>10337.79-7651.59</f>
        <v>2686.2000000000007</v>
      </c>
      <c r="AD40" s="141">
        <f t="shared" si="12"/>
        <v>22249.600000000002</v>
      </c>
      <c r="AE40" s="141">
        <v>9396.53</v>
      </c>
      <c r="AF40" s="141"/>
      <c r="AG40" s="141">
        <v>272.9</v>
      </c>
      <c r="AH40" s="141"/>
      <c r="AI40" s="149">
        <f t="shared" si="13"/>
        <v>9669.43</v>
      </c>
      <c r="AJ40" s="141">
        <f>20777.88-3757.5-2919.37</f>
        <v>14101.010000000002</v>
      </c>
      <c r="AK40" s="141">
        <f>20224.82-2919.37-3757.48</f>
        <v>13547.970000000001</v>
      </c>
      <c r="AL40" s="141">
        <f>36835.92-11258.96-3757.5-2919.37</f>
        <v>18900.09</v>
      </c>
      <c r="AM40" s="141">
        <f>7962.85-3757.5-2919.37</f>
        <v>1285.9800000000005</v>
      </c>
      <c r="AN40" s="149">
        <f t="shared" si="14"/>
        <v>47835.05000000001</v>
      </c>
      <c r="AO40" s="145"/>
      <c r="AP40" s="141">
        <f>6999.04-6999.04</f>
        <v>0</v>
      </c>
      <c r="AQ40" s="141">
        <f>17268.64-6999.04-9164</f>
        <v>1105.5999999999985</v>
      </c>
      <c r="AR40" s="141">
        <f>8391.04-6999.04</f>
        <v>1392.000000000001</v>
      </c>
      <c r="AS40" s="141">
        <f>16163.04-6999.04</f>
        <v>9164</v>
      </c>
      <c r="AT40" s="149">
        <f t="shared" si="15"/>
        <v>11661.599999999999</v>
      </c>
      <c r="AU40" s="145"/>
      <c r="AV40" s="141">
        <f>13255.18-12497.18</f>
        <v>758</v>
      </c>
      <c r="AW40" s="141">
        <f>20212.36-12497.18</f>
        <v>7715.18</v>
      </c>
      <c r="AX40" s="141">
        <f>18529.6-12497.18</f>
        <v>6032.419999999998</v>
      </c>
      <c r="AY40" s="141">
        <f>12497.18-12497.18</f>
        <v>0</v>
      </c>
      <c r="AZ40" s="149">
        <f t="shared" si="16"/>
        <v>14505.599999999999</v>
      </c>
      <c r="BA40" s="145"/>
      <c r="BB40" s="141">
        <v>854.63</v>
      </c>
      <c r="BC40" s="141"/>
      <c r="BD40" s="141">
        <v>5397.76</v>
      </c>
      <c r="BE40" s="141">
        <v>1760.12</v>
      </c>
      <c r="BF40" s="149">
        <f t="shared" si="17"/>
        <v>8012.51</v>
      </c>
      <c r="BG40" s="145"/>
      <c r="BH40" s="141">
        <v>27412.37</v>
      </c>
      <c r="BI40" s="141">
        <v>11248.83</v>
      </c>
      <c r="BJ40" s="141">
        <v>25725.63</v>
      </c>
      <c r="BK40" s="141">
        <v>11248.83</v>
      </c>
      <c r="BL40" s="149">
        <f t="shared" si="2"/>
        <v>75635.66</v>
      </c>
      <c r="BM40" s="145"/>
      <c r="BN40" s="141">
        <v>2766.6</v>
      </c>
      <c r="BO40" s="141">
        <v>232</v>
      </c>
      <c r="BP40" s="141">
        <v>2602.07</v>
      </c>
      <c r="BQ40" s="141"/>
      <c r="BR40" s="149">
        <f t="shared" si="3"/>
        <v>5600.67</v>
      </c>
      <c r="BS40" s="145"/>
      <c r="BT40" s="141"/>
      <c r="BU40" s="141">
        <v>9233.6</v>
      </c>
      <c r="BV40" s="141">
        <v>9185.2</v>
      </c>
      <c r="BW40" s="141"/>
      <c r="BX40" s="149">
        <f t="shared" si="4"/>
        <v>18418.800000000003</v>
      </c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</row>
    <row r="41" spans="1:90" s="78" customFormat="1" ht="12.75">
      <c r="A41" s="166">
        <v>21501</v>
      </c>
      <c r="B41" s="164" t="s">
        <v>119</v>
      </c>
      <c r="C41" s="85">
        <v>63875</v>
      </c>
      <c r="D41" s="85">
        <v>3852</v>
      </c>
      <c r="E41" s="86">
        <v>0</v>
      </c>
      <c r="F41" s="86"/>
      <c r="G41" s="86">
        <v>3852</v>
      </c>
      <c r="H41" s="87">
        <f t="shared" si="19"/>
        <v>1</v>
      </c>
      <c r="I41" s="89">
        <f t="shared" si="20"/>
        <v>0</v>
      </c>
      <c r="J41" s="216"/>
      <c r="K41" s="209"/>
      <c r="L41" s="141"/>
      <c r="M41" s="141">
        <f t="shared" si="18"/>
        <v>566.43</v>
      </c>
      <c r="N41" s="141">
        <f t="shared" si="6"/>
        <v>365.9</v>
      </c>
      <c r="O41" s="141">
        <f t="shared" si="21"/>
        <v>3880.45</v>
      </c>
      <c r="P41" s="141">
        <f t="shared" si="8"/>
        <v>373.29</v>
      </c>
      <c r="Q41" s="141">
        <f t="shared" si="9"/>
        <v>12813.8</v>
      </c>
      <c r="R41" s="145"/>
      <c r="S41" s="145"/>
      <c r="T41" s="141"/>
      <c r="U41" s="141"/>
      <c r="V41" s="141">
        <v>3932.73</v>
      </c>
      <c r="W41" s="141"/>
      <c r="X41" s="141">
        <f t="shared" si="11"/>
        <v>3932.73</v>
      </c>
      <c r="Y41" s="145"/>
      <c r="Z41" s="141"/>
      <c r="AA41" s="141"/>
      <c r="AB41" s="141">
        <v>10217.58</v>
      </c>
      <c r="AC41" s="141"/>
      <c r="AD41" s="141">
        <f t="shared" si="12"/>
        <v>10217.58</v>
      </c>
      <c r="AE41" s="141"/>
      <c r="AF41" s="141"/>
      <c r="AG41" s="141">
        <v>3815.53</v>
      </c>
      <c r="AH41" s="141"/>
      <c r="AI41" s="149">
        <f t="shared" si="13"/>
        <v>3815.53</v>
      </c>
      <c r="AJ41" s="141"/>
      <c r="AK41" s="141"/>
      <c r="AL41" s="141">
        <v>2346.44</v>
      </c>
      <c r="AM41" s="141"/>
      <c r="AN41" s="149">
        <f t="shared" si="14"/>
        <v>2346.44</v>
      </c>
      <c r="AO41" s="145"/>
      <c r="AP41" s="141"/>
      <c r="AQ41" s="141"/>
      <c r="AR41" s="141">
        <v>3586.37</v>
      </c>
      <c r="AS41" s="141"/>
      <c r="AT41" s="149">
        <f t="shared" si="15"/>
        <v>3586.37</v>
      </c>
      <c r="AU41" s="145"/>
      <c r="AV41" s="141"/>
      <c r="AW41" s="141"/>
      <c r="AX41" s="141">
        <v>566.43</v>
      </c>
      <c r="AY41" s="141"/>
      <c r="AZ41" s="149">
        <f t="shared" si="16"/>
        <v>566.43</v>
      </c>
      <c r="BA41" s="145"/>
      <c r="BB41" s="141"/>
      <c r="BC41" s="141"/>
      <c r="BD41" s="141">
        <v>365.9</v>
      </c>
      <c r="BE41" s="141"/>
      <c r="BF41" s="149">
        <f t="shared" si="17"/>
        <v>365.9</v>
      </c>
      <c r="BG41" s="145"/>
      <c r="BH41" s="141"/>
      <c r="BI41" s="141"/>
      <c r="BJ41" s="141">
        <v>3880.45</v>
      </c>
      <c r="BK41" s="141"/>
      <c r="BL41" s="149">
        <f t="shared" si="2"/>
        <v>3880.45</v>
      </c>
      <c r="BM41" s="145"/>
      <c r="BN41" s="141"/>
      <c r="BO41" s="141"/>
      <c r="BP41" s="141">
        <v>373.29</v>
      </c>
      <c r="BQ41" s="141"/>
      <c r="BR41" s="149">
        <f t="shared" si="3"/>
        <v>373.29</v>
      </c>
      <c r="BS41" s="145"/>
      <c r="BT41" s="141"/>
      <c r="BU41" s="141"/>
      <c r="BV41" s="141">
        <v>12813.8</v>
      </c>
      <c r="BW41" s="141"/>
      <c r="BX41" s="149">
        <f t="shared" si="4"/>
        <v>12813.8</v>
      </c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</row>
    <row r="42" spans="1:90" s="78" customFormat="1" ht="22.5">
      <c r="A42" s="96">
        <v>22101</v>
      </c>
      <c r="B42" s="170" t="s">
        <v>120</v>
      </c>
      <c r="C42" s="85">
        <v>125000</v>
      </c>
      <c r="D42" s="85">
        <v>66704.12</v>
      </c>
      <c r="E42" s="86">
        <v>8064.280000000001</v>
      </c>
      <c r="F42" s="86"/>
      <c r="G42" s="86">
        <v>66704.12</v>
      </c>
      <c r="H42" s="87">
        <f t="shared" si="19"/>
        <v>1</v>
      </c>
      <c r="I42" s="89">
        <f t="shared" si="20"/>
        <v>0</v>
      </c>
      <c r="J42" s="216"/>
      <c r="K42" s="209"/>
      <c r="L42" s="141"/>
      <c r="M42" s="141">
        <f t="shared" si="18"/>
        <v>0</v>
      </c>
      <c r="N42" s="141">
        <f t="shared" si="6"/>
        <v>0</v>
      </c>
      <c r="O42" s="141">
        <f t="shared" si="21"/>
        <v>0</v>
      </c>
      <c r="P42" s="141">
        <f t="shared" si="8"/>
        <v>0</v>
      </c>
      <c r="Q42" s="141">
        <f t="shared" si="9"/>
        <v>0</v>
      </c>
      <c r="R42" s="145"/>
      <c r="S42" s="145"/>
      <c r="T42" s="141">
        <v>13136.26</v>
      </c>
      <c r="U42" s="141"/>
      <c r="V42" s="141"/>
      <c r="W42" s="141"/>
      <c r="X42" s="141">
        <f t="shared" si="11"/>
        <v>13136.26</v>
      </c>
      <c r="Y42" s="145"/>
      <c r="Z42" s="141"/>
      <c r="AA42" s="141"/>
      <c r="AB42" s="141">
        <v>12235.04</v>
      </c>
      <c r="AC42" s="141"/>
      <c r="AD42" s="141">
        <f t="shared" si="12"/>
        <v>12235.04</v>
      </c>
      <c r="AE42" s="141"/>
      <c r="AF42" s="141">
        <v>556.8</v>
      </c>
      <c r="AG42" s="141"/>
      <c r="AH42" s="141"/>
      <c r="AI42" s="149">
        <f t="shared" si="13"/>
        <v>556.8</v>
      </c>
      <c r="AJ42" s="141"/>
      <c r="AK42" s="141"/>
      <c r="AL42" s="141"/>
      <c r="AM42" s="141"/>
      <c r="AN42" s="149">
        <f t="shared" si="14"/>
        <v>0</v>
      </c>
      <c r="AO42" s="145"/>
      <c r="AP42" s="141"/>
      <c r="AQ42" s="141"/>
      <c r="AR42" s="141"/>
      <c r="AS42" s="141"/>
      <c r="AT42" s="149">
        <f t="shared" si="15"/>
        <v>0</v>
      </c>
      <c r="AU42" s="145"/>
      <c r="AV42" s="141"/>
      <c r="AW42" s="141"/>
      <c r="AX42" s="141"/>
      <c r="AY42" s="141"/>
      <c r="AZ42" s="149">
        <f t="shared" si="16"/>
        <v>0</v>
      </c>
      <c r="BA42" s="145"/>
      <c r="BB42" s="141"/>
      <c r="BC42" s="141"/>
      <c r="BD42" s="141"/>
      <c r="BE42" s="141"/>
      <c r="BF42" s="149">
        <f t="shared" si="17"/>
        <v>0</v>
      </c>
      <c r="BG42" s="145"/>
      <c r="BH42" s="141"/>
      <c r="BI42" s="141"/>
      <c r="BJ42" s="141"/>
      <c r="BK42" s="141"/>
      <c r="BL42" s="149">
        <f t="shared" si="2"/>
        <v>0</v>
      </c>
      <c r="BM42" s="145"/>
      <c r="BN42" s="141"/>
      <c r="BO42" s="141"/>
      <c r="BP42" s="141"/>
      <c r="BQ42" s="141"/>
      <c r="BR42" s="149">
        <f t="shared" si="3"/>
        <v>0</v>
      </c>
      <c r="BS42" s="145"/>
      <c r="BT42" s="141"/>
      <c r="BU42" s="141"/>
      <c r="BV42" s="141"/>
      <c r="BW42" s="141"/>
      <c r="BX42" s="149">
        <f t="shared" si="4"/>
        <v>0</v>
      </c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</row>
    <row r="43" spans="1:90" s="78" customFormat="1" ht="22.5">
      <c r="A43" s="96">
        <v>22301</v>
      </c>
      <c r="B43" s="170" t="s">
        <v>121</v>
      </c>
      <c r="C43" s="85">
        <v>15000</v>
      </c>
      <c r="D43" s="85">
        <v>4669.41</v>
      </c>
      <c r="E43" s="86">
        <v>829.69</v>
      </c>
      <c r="F43" s="86"/>
      <c r="G43" s="86">
        <v>4669.41</v>
      </c>
      <c r="H43" s="87">
        <f t="shared" si="19"/>
        <v>1</v>
      </c>
      <c r="I43" s="89">
        <f t="shared" si="20"/>
        <v>0</v>
      </c>
      <c r="J43" s="216"/>
      <c r="K43" s="209"/>
      <c r="L43" s="141"/>
      <c r="M43" s="141">
        <f t="shared" si="18"/>
        <v>0</v>
      </c>
      <c r="N43" s="141">
        <f t="shared" si="6"/>
        <v>0</v>
      </c>
      <c r="O43" s="141">
        <f t="shared" si="21"/>
        <v>0</v>
      </c>
      <c r="P43" s="141">
        <f t="shared" si="8"/>
        <v>0</v>
      </c>
      <c r="Q43" s="141">
        <f t="shared" si="9"/>
        <v>0</v>
      </c>
      <c r="R43" s="145"/>
      <c r="S43" s="145"/>
      <c r="T43" s="141"/>
      <c r="U43" s="141"/>
      <c r="V43" s="141"/>
      <c r="W43" s="141"/>
      <c r="X43" s="141">
        <f t="shared" si="11"/>
        <v>0</v>
      </c>
      <c r="Y43" s="145"/>
      <c r="Z43" s="141"/>
      <c r="AA43" s="141"/>
      <c r="AB43" s="141"/>
      <c r="AC43" s="141"/>
      <c r="AD43" s="141">
        <f t="shared" si="12"/>
        <v>0</v>
      </c>
      <c r="AE43" s="141"/>
      <c r="AF43" s="141"/>
      <c r="AG43" s="141"/>
      <c r="AH43" s="141"/>
      <c r="AI43" s="149">
        <f t="shared" si="13"/>
        <v>0</v>
      </c>
      <c r="AJ43" s="141"/>
      <c r="AK43" s="141"/>
      <c r="AL43" s="141"/>
      <c r="AM43" s="141"/>
      <c r="AN43" s="149">
        <f t="shared" si="14"/>
        <v>0</v>
      </c>
      <c r="AO43" s="145"/>
      <c r="AP43" s="141"/>
      <c r="AQ43" s="141"/>
      <c r="AR43" s="141"/>
      <c r="AS43" s="141"/>
      <c r="AT43" s="149">
        <f t="shared" si="15"/>
        <v>0</v>
      </c>
      <c r="AU43" s="145"/>
      <c r="AV43" s="141"/>
      <c r="AW43" s="141"/>
      <c r="AX43" s="141"/>
      <c r="AY43" s="141"/>
      <c r="AZ43" s="149">
        <f t="shared" si="16"/>
        <v>0</v>
      </c>
      <c r="BA43" s="145"/>
      <c r="BB43" s="141"/>
      <c r="BC43" s="141"/>
      <c r="BD43" s="141"/>
      <c r="BE43" s="141"/>
      <c r="BF43" s="149">
        <f t="shared" si="17"/>
        <v>0</v>
      </c>
      <c r="BG43" s="145"/>
      <c r="BH43" s="141"/>
      <c r="BI43" s="141"/>
      <c r="BJ43" s="141"/>
      <c r="BK43" s="141"/>
      <c r="BL43" s="149">
        <f t="shared" si="2"/>
        <v>0</v>
      </c>
      <c r="BM43" s="145"/>
      <c r="BN43" s="141"/>
      <c r="BO43" s="141"/>
      <c r="BP43" s="141"/>
      <c r="BQ43" s="141"/>
      <c r="BR43" s="149">
        <f t="shared" si="3"/>
        <v>0</v>
      </c>
      <c r="BS43" s="145"/>
      <c r="BT43" s="141"/>
      <c r="BU43" s="141"/>
      <c r="BV43" s="141"/>
      <c r="BW43" s="141"/>
      <c r="BX43" s="149">
        <f t="shared" si="4"/>
        <v>0</v>
      </c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</row>
    <row r="44" spans="1:90" s="78" customFormat="1" ht="12.75">
      <c r="A44" s="96">
        <v>22106</v>
      </c>
      <c r="B44" s="170" t="s">
        <v>122</v>
      </c>
      <c r="C44" s="85">
        <v>26000</v>
      </c>
      <c r="D44" s="85">
        <v>66506</v>
      </c>
      <c r="E44" s="86">
        <v>2876.8</v>
      </c>
      <c r="F44" s="86"/>
      <c r="G44" s="86">
        <v>66506</v>
      </c>
      <c r="H44" s="87">
        <f t="shared" si="19"/>
        <v>1</v>
      </c>
      <c r="I44" s="89">
        <f t="shared" si="20"/>
        <v>0</v>
      </c>
      <c r="J44" s="216"/>
      <c r="K44" s="209"/>
      <c r="L44" s="141"/>
      <c r="M44" s="141">
        <f t="shared" si="18"/>
        <v>0</v>
      </c>
      <c r="N44" s="141">
        <f t="shared" si="6"/>
        <v>0</v>
      </c>
      <c r="O44" s="141">
        <f t="shared" si="21"/>
        <v>0</v>
      </c>
      <c r="P44" s="141">
        <f t="shared" si="8"/>
        <v>0</v>
      </c>
      <c r="Q44" s="141">
        <f t="shared" si="9"/>
        <v>0</v>
      </c>
      <c r="R44" s="145"/>
      <c r="S44" s="145"/>
      <c r="T44" s="141"/>
      <c r="U44" s="141"/>
      <c r="V44" s="141"/>
      <c r="W44" s="141"/>
      <c r="X44" s="141">
        <f t="shared" si="11"/>
        <v>0</v>
      </c>
      <c r="Y44" s="145"/>
      <c r="Z44" s="141"/>
      <c r="AA44" s="141"/>
      <c r="AB44" s="141"/>
      <c r="AC44" s="141"/>
      <c r="AD44" s="141">
        <f t="shared" si="12"/>
        <v>0</v>
      </c>
      <c r="AE44" s="141"/>
      <c r="AF44" s="141"/>
      <c r="AG44" s="141"/>
      <c r="AH44" s="141"/>
      <c r="AI44" s="149">
        <f t="shared" si="13"/>
        <v>0</v>
      </c>
      <c r="AJ44" s="141"/>
      <c r="AK44" s="141"/>
      <c r="AL44" s="141"/>
      <c r="AM44" s="141"/>
      <c r="AN44" s="149">
        <f t="shared" si="14"/>
        <v>0</v>
      </c>
      <c r="AO44" s="145"/>
      <c r="AP44" s="141"/>
      <c r="AQ44" s="141"/>
      <c r="AR44" s="141"/>
      <c r="AS44" s="141"/>
      <c r="AT44" s="149">
        <f t="shared" si="15"/>
        <v>0</v>
      </c>
      <c r="AU44" s="145"/>
      <c r="AV44" s="141"/>
      <c r="AW44" s="141"/>
      <c r="AX44" s="141"/>
      <c r="AY44" s="141"/>
      <c r="AZ44" s="149">
        <f t="shared" si="16"/>
        <v>0</v>
      </c>
      <c r="BA44" s="145"/>
      <c r="BB44" s="141"/>
      <c r="BC44" s="141"/>
      <c r="BD44" s="141"/>
      <c r="BE44" s="141"/>
      <c r="BF44" s="149">
        <f t="shared" si="17"/>
        <v>0</v>
      </c>
      <c r="BG44" s="145"/>
      <c r="BH44" s="141"/>
      <c r="BI44" s="141"/>
      <c r="BJ44" s="141"/>
      <c r="BK44" s="141"/>
      <c r="BL44" s="149">
        <f t="shared" si="2"/>
        <v>0</v>
      </c>
      <c r="BM44" s="145"/>
      <c r="BN44" s="141"/>
      <c r="BO44" s="141"/>
      <c r="BP44" s="141"/>
      <c r="BQ44" s="141"/>
      <c r="BR44" s="149">
        <f t="shared" si="3"/>
        <v>0</v>
      </c>
      <c r="BS44" s="145"/>
      <c r="BT44" s="141"/>
      <c r="BU44" s="141"/>
      <c r="BV44" s="141"/>
      <c r="BW44" s="141"/>
      <c r="BX44" s="149">
        <f t="shared" si="4"/>
        <v>0</v>
      </c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</row>
    <row r="45" spans="1:90" s="78" customFormat="1" ht="12.75">
      <c r="A45" s="171">
        <v>29101</v>
      </c>
      <c r="B45" s="170" t="s">
        <v>123</v>
      </c>
      <c r="C45" s="85">
        <v>50000</v>
      </c>
      <c r="D45" s="85">
        <v>9705.8</v>
      </c>
      <c r="E45" s="86">
        <v>889.3</v>
      </c>
      <c r="F45" s="86"/>
      <c r="G45" s="86">
        <v>9705.800000000001</v>
      </c>
      <c r="H45" s="87">
        <f t="shared" si="19"/>
        <v>1.0000000000000002</v>
      </c>
      <c r="I45" s="89">
        <f t="shared" si="20"/>
        <v>0</v>
      </c>
      <c r="J45" s="216"/>
      <c r="K45" s="209"/>
      <c r="L45" s="141"/>
      <c r="M45" s="141">
        <f t="shared" si="18"/>
        <v>5486.619999999999</v>
      </c>
      <c r="N45" s="141">
        <f t="shared" si="6"/>
        <v>5545.04</v>
      </c>
      <c r="O45" s="141">
        <f t="shared" si="21"/>
        <v>5689.700000000001</v>
      </c>
      <c r="P45" s="141">
        <f t="shared" si="8"/>
        <v>5812.14</v>
      </c>
      <c r="Q45" s="141">
        <f t="shared" si="9"/>
        <v>1183.04</v>
      </c>
      <c r="R45" s="145"/>
      <c r="S45" s="145"/>
      <c r="T45" s="141">
        <f>21790.28-7960-7375-4767.6</f>
        <v>1687.6799999999985</v>
      </c>
      <c r="U45" s="141">
        <v>1285</v>
      </c>
      <c r="V45" s="141">
        <v>870</v>
      </c>
      <c r="W45" s="141"/>
      <c r="X45" s="141">
        <f t="shared" si="11"/>
        <v>3842.6799999999985</v>
      </c>
      <c r="Y45" s="145"/>
      <c r="Z45" s="141">
        <f>9226-6032</f>
        <v>3194</v>
      </c>
      <c r="AA45" s="141"/>
      <c r="AB45" s="141">
        <v>3187.4</v>
      </c>
      <c r="AC45" s="141"/>
      <c r="AD45" s="141">
        <f t="shared" si="12"/>
        <v>6381.4</v>
      </c>
      <c r="AE45" s="141">
        <f>6389.3-5660.8</f>
        <v>728.5</v>
      </c>
      <c r="AF45" s="141">
        <v>1105.88</v>
      </c>
      <c r="AG45" s="141">
        <f>11410.52-6039.76-4566.06</f>
        <v>804.6999999999998</v>
      </c>
      <c r="AH45" s="141"/>
      <c r="AI45" s="149">
        <f t="shared" si="13"/>
        <v>2639.08</v>
      </c>
      <c r="AJ45" s="151">
        <v>2813.59</v>
      </c>
      <c r="AK45" s="141">
        <v>371.2</v>
      </c>
      <c r="AL45" s="141">
        <v>2304.41</v>
      </c>
      <c r="AM45" s="141">
        <v>980.8</v>
      </c>
      <c r="AN45" s="149">
        <f t="shared" si="14"/>
        <v>6470</v>
      </c>
      <c r="AO45" s="145"/>
      <c r="AP45" s="141">
        <v>680</v>
      </c>
      <c r="AQ45" s="141"/>
      <c r="AR45" s="141">
        <f>1222.94-1222.94</f>
        <v>0</v>
      </c>
      <c r="AS45" s="141"/>
      <c r="AT45" s="149">
        <f t="shared" si="15"/>
        <v>680</v>
      </c>
      <c r="AU45" s="145"/>
      <c r="AV45" s="141">
        <f>9122.63-730.01-6786</f>
        <v>1606.619999999999</v>
      </c>
      <c r="AW45" s="141">
        <f>730-730</f>
        <v>0</v>
      </c>
      <c r="AX45" s="141">
        <f>7789.56-3649.56-730-730</f>
        <v>2680</v>
      </c>
      <c r="AY45" s="141">
        <v>1200</v>
      </c>
      <c r="AZ45" s="149">
        <f t="shared" si="16"/>
        <v>5486.619999999999</v>
      </c>
      <c r="BA45" s="145"/>
      <c r="BB45" s="141"/>
      <c r="BC45" s="141"/>
      <c r="BD45" s="141">
        <v>5115.04</v>
      </c>
      <c r="BE45" s="141">
        <v>430</v>
      </c>
      <c r="BF45" s="149">
        <f t="shared" si="17"/>
        <v>5545.04</v>
      </c>
      <c r="BG45" s="145"/>
      <c r="BH45" s="141">
        <v>999.6</v>
      </c>
      <c r="BI45" s="141">
        <v>999.59</v>
      </c>
      <c r="BJ45" s="141">
        <v>2690.91</v>
      </c>
      <c r="BK45" s="141">
        <v>999.6</v>
      </c>
      <c r="BL45" s="149">
        <f t="shared" si="2"/>
        <v>5689.700000000001</v>
      </c>
      <c r="BM45" s="145"/>
      <c r="BN45" s="141"/>
      <c r="BO45" s="141"/>
      <c r="BP45" s="141">
        <v>4465.14</v>
      </c>
      <c r="BQ45" s="141">
        <v>1347</v>
      </c>
      <c r="BR45" s="149">
        <f t="shared" si="3"/>
        <v>5812.14</v>
      </c>
      <c r="BS45" s="145"/>
      <c r="BT45" s="141"/>
      <c r="BU45" s="141"/>
      <c r="BV45" s="141">
        <v>1183.04</v>
      </c>
      <c r="BW45" s="141"/>
      <c r="BX45" s="149">
        <f t="shared" si="4"/>
        <v>1183.04</v>
      </c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</row>
    <row r="46" spans="1:90" s="78" customFormat="1" ht="23.25" customHeight="1">
      <c r="A46" s="171">
        <v>21801</v>
      </c>
      <c r="B46" s="170" t="s">
        <v>124</v>
      </c>
      <c r="C46" s="85">
        <v>66600</v>
      </c>
      <c r="D46" s="85">
        <v>46040</v>
      </c>
      <c r="E46" s="86">
        <v>0</v>
      </c>
      <c r="F46" s="86"/>
      <c r="G46" s="86">
        <v>46040</v>
      </c>
      <c r="H46" s="87">
        <f t="shared" si="19"/>
        <v>1</v>
      </c>
      <c r="I46" s="89">
        <f t="shared" si="20"/>
        <v>0</v>
      </c>
      <c r="J46" s="216"/>
      <c r="K46" s="209"/>
      <c r="L46" s="141"/>
      <c r="M46" s="141">
        <f t="shared" si="18"/>
        <v>452</v>
      </c>
      <c r="N46" s="141">
        <f t="shared" si="6"/>
        <v>0</v>
      </c>
      <c r="O46" s="141">
        <f t="shared" si="21"/>
        <v>0</v>
      </c>
      <c r="P46" s="141">
        <f t="shared" si="8"/>
        <v>523.91</v>
      </c>
      <c r="Q46" s="141">
        <f t="shared" si="9"/>
        <v>0</v>
      </c>
      <c r="R46" s="145"/>
      <c r="S46" s="145"/>
      <c r="T46" s="141"/>
      <c r="U46" s="141"/>
      <c r="V46" s="141">
        <v>949.33</v>
      </c>
      <c r="W46" s="141"/>
      <c r="X46" s="141">
        <f t="shared" si="11"/>
        <v>949.33</v>
      </c>
      <c r="Y46" s="145"/>
      <c r="Z46" s="141"/>
      <c r="AA46" s="141"/>
      <c r="AB46" s="141"/>
      <c r="AC46" s="141"/>
      <c r="AD46" s="141">
        <f t="shared" si="12"/>
        <v>0</v>
      </c>
      <c r="AE46" s="141">
        <v>3810.13</v>
      </c>
      <c r="AF46" s="141"/>
      <c r="AG46" s="141">
        <v>25</v>
      </c>
      <c r="AH46" s="141"/>
      <c r="AI46" s="149">
        <f t="shared" si="13"/>
        <v>3835.13</v>
      </c>
      <c r="AJ46" s="141"/>
      <c r="AK46" s="141"/>
      <c r="AL46" s="141">
        <v>397.4</v>
      </c>
      <c r="AM46" s="141"/>
      <c r="AN46" s="149">
        <f t="shared" si="14"/>
        <v>397.4</v>
      </c>
      <c r="AO46" s="145"/>
      <c r="AP46" s="141"/>
      <c r="AQ46" s="141"/>
      <c r="AR46" s="141"/>
      <c r="AS46" s="141"/>
      <c r="AT46" s="149">
        <f t="shared" si="15"/>
        <v>0</v>
      </c>
      <c r="AU46" s="145"/>
      <c r="AV46" s="141">
        <v>452</v>
      </c>
      <c r="AW46" s="141"/>
      <c r="AX46" s="141"/>
      <c r="AY46" s="141"/>
      <c r="AZ46" s="149">
        <f t="shared" si="16"/>
        <v>452</v>
      </c>
      <c r="BA46" s="145"/>
      <c r="BB46" s="141"/>
      <c r="BC46" s="141"/>
      <c r="BD46" s="141"/>
      <c r="BE46" s="141"/>
      <c r="BF46" s="149">
        <f t="shared" si="17"/>
        <v>0</v>
      </c>
      <c r="BG46" s="145"/>
      <c r="BH46" s="141"/>
      <c r="BI46" s="141"/>
      <c r="BJ46" s="141"/>
      <c r="BK46" s="141"/>
      <c r="BL46" s="149">
        <f t="shared" si="2"/>
        <v>0</v>
      </c>
      <c r="BM46" s="145"/>
      <c r="BN46" s="141"/>
      <c r="BO46" s="141"/>
      <c r="BP46" s="141">
        <v>523.91</v>
      </c>
      <c r="BQ46" s="141"/>
      <c r="BR46" s="149">
        <f t="shared" si="3"/>
        <v>523.91</v>
      </c>
      <c r="BS46" s="145"/>
      <c r="BT46" s="141"/>
      <c r="BU46" s="141"/>
      <c r="BV46" s="141"/>
      <c r="BW46" s="141"/>
      <c r="BX46" s="149">
        <f t="shared" si="4"/>
        <v>0</v>
      </c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</row>
    <row r="47" spans="1:90" s="78" customFormat="1" ht="15" customHeight="1">
      <c r="A47" s="96">
        <v>25301</v>
      </c>
      <c r="B47" s="170" t="s">
        <v>125</v>
      </c>
      <c r="C47" s="85">
        <v>1387.5</v>
      </c>
      <c r="D47" s="85">
        <v>0</v>
      </c>
      <c r="E47" s="86">
        <v>0</v>
      </c>
      <c r="F47" s="86"/>
      <c r="G47" s="86">
        <v>0</v>
      </c>
      <c r="H47" s="87">
        <v>0</v>
      </c>
      <c r="I47" s="89">
        <f t="shared" si="20"/>
        <v>0</v>
      </c>
      <c r="J47" s="216"/>
      <c r="K47" s="209"/>
      <c r="L47" s="141"/>
      <c r="M47" s="141">
        <f t="shared" si="18"/>
        <v>0</v>
      </c>
      <c r="N47" s="141">
        <f t="shared" si="6"/>
        <v>0</v>
      </c>
      <c r="O47" s="141">
        <f t="shared" si="21"/>
        <v>3179</v>
      </c>
      <c r="P47" s="141">
        <f t="shared" si="8"/>
        <v>0</v>
      </c>
      <c r="Q47" s="141">
        <f t="shared" si="9"/>
        <v>3061.36</v>
      </c>
      <c r="R47" s="145"/>
      <c r="S47" s="145"/>
      <c r="T47" s="141"/>
      <c r="U47" s="141"/>
      <c r="V47" s="141">
        <f>27577.4-3126.64-6145.16-8913.44-9392.16</f>
        <v>0</v>
      </c>
      <c r="W47" s="141"/>
      <c r="X47" s="141">
        <f t="shared" si="11"/>
        <v>0</v>
      </c>
      <c r="Y47" s="145"/>
      <c r="Z47" s="141"/>
      <c r="AA47" s="141"/>
      <c r="AB47" s="141"/>
      <c r="AC47" s="141"/>
      <c r="AD47" s="141">
        <f t="shared" si="12"/>
        <v>0</v>
      </c>
      <c r="AE47" s="141"/>
      <c r="AF47" s="141"/>
      <c r="AG47" s="141">
        <f>5246.2-5246.2</f>
        <v>0</v>
      </c>
      <c r="AH47" s="141"/>
      <c r="AI47" s="149">
        <f t="shared" si="13"/>
        <v>0</v>
      </c>
      <c r="AJ47" s="141"/>
      <c r="AK47" s="141"/>
      <c r="AL47" s="141">
        <f>12234.56-6106.4-6128.16</f>
        <v>0</v>
      </c>
      <c r="AM47" s="141"/>
      <c r="AN47" s="149">
        <f t="shared" si="14"/>
        <v>0</v>
      </c>
      <c r="AO47" s="145"/>
      <c r="AP47" s="141"/>
      <c r="AQ47" s="141"/>
      <c r="AR47" s="141">
        <f>5913-5913</f>
        <v>0</v>
      </c>
      <c r="AS47" s="141"/>
      <c r="AT47" s="149">
        <f t="shared" si="15"/>
        <v>0</v>
      </c>
      <c r="AU47" s="145"/>
      <c r="AV47" s="141"/>
      <c r="AW47" s="141"/>
      <c r="AX47" s="141">
        <f>4839.56-4839.56</f>
        <v>0</v>
      </c>
      <c r="AY47" s="141"/>
      <c r="AZ47" s="149">
        <f t="shared" si="16"/>
        <v>0</v>
      </c>
      <c r="BA47" s="145"/>
      <c r="BB47" s="141"/>
      <c r="BC47" s="141"/>
      <c r="BD47" s="141"/>
      <c r="BE47" s="141"/>
      <c r="BF47" s="149">
        <f t="shared" si="17"/>
        <v>0</v>
      </c>
      <c r="BG47" s="145"/>
      <c r="BH47" s="141"/>
      <c r="BI47" s="141"/>
      <c r="BJ47" s="141">
        <v>3179</v>
      </c>
      <c r="BK47" s="141"/>
      <c r="BL47" s="149">
        <f t="shared" si="2"/>
        <v>3179</v>
      </c>
      <c r="BM47" s="145"/>
      <c r="BN47" s="141"/>
      <c r="BO47" s="141"/>
      <c r="BP47" s="141"/>
      <c r="BQ47" s="141"/>
      <c r="BR47" s="149">
        <f t="shared" si="3"/>
        <v>0</v>
      </c>
      <c r="BS47" s="145"/>
      <c r="BT47" s="141"/>
      <c r="BU47" s="141"/>
      <c r="BV47" s="141">
        <v>3061.36</v>
      </c>
      <c r="BW47" s="141"/>
      <c r="BX47" s="149">
        <f t="shared" si="4"/>
        <v>3061.36</v>
      </c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</row>
    <row r="48" spans="1:90" s="94" customFormat="1" ht="12.75">
      <c r="A48" s="166">
        <v>26101</v>
      </c>
      <c r="B48" s="164" t="s">
        <v>126</v>
      </c>
      <c r="C48" s="85">
        <v>1069500</v>
      </c>
      <c r="D48" s="85">
        <v>1049783.21</v>
      </c>
      <c r="E48" s="86">
        <v>410197.56999999995</v>
      </c>
      <c r="F48" s="93"/>
      <c r="G48" s="86">
        <v>1186134.2400000002</v>
      </c>
      <c r="H48" s="87">
        <f t="shared" si="19"/>
        <v>1.1298849407202847</v>
      </c>
      <c r="I48" s="89">
        <f t="shared" si="20"/>
        <v>-136351.03000000026</v>
      </c>
      <c r="J48" s="216"/>
      <c r="K48" s="209"/>
      <c r="L48" s="141"/>
      <c r="M48" s="141">
        <f t="shared" si="18"/>
        <v>23881</v>
      </c>
      <c r="N48" s="141">
        <f t="shared" si="6"/>
        <v>0</v>
      </c>
      <c r="O48" s="141">
        <f t="shared" si="21"/>
        <v>0</v>
      </c>
      <c r="P48" s="141">
        <f t="shared" si="8"/>
        <v>0</v>
      </c>
      <c r="Q48" s="141">
        <f t="shared" si="9"/>
        <v>599.8</v>
      </c>
      <c r="R48" s="145"/>
      <c r="S48" s="145"/>
      <c r="T48" s="141">
        <v>879</v>
      </c>
      <c r="U48" s="141">
        <f>3798+453.75</f>
        <v>4251.75</v>
      </c>
      <c r="V48" s="141"/>
      <c r="W48" s="141"/>
      <c r="X48" s="141">
        <f t="shared" si="11"/>
        <v>5130.75</v>
      </c>
      <c r="Y48" s="145"/>
      <c r="Z48" s="141"/>
      <c r="AA48" s="141"/>
      <c r="AB48" s="141"/>
      <c r="AC48" s="141"/>
      <c r="AD48" s="141">
        <f t="shared" si="12"/>
        <v>0</v>
      </c>
      <c r="AE48" s="141">
        <v>560</v>
      </c>
      <c r="AF48" s="141"/>
      <c r="AG48" s="141"/>
      <c r="AH48" s="141"/>
      <c r="AI48" s="149">
        <f t="shared" si="13"/>
        <v>560</v>
      </c>
      <c r="AJ48" s="141"/>
      <c r="AK48" s="141">
        <v>855.31</v>
      </c>
      <c r="AL48" s="141"/>
      <c r="AM48" s="141"/>
      <c r="AN48" s="149">
        <f t="shared" si="14"/>
        <v>855.31</v>
      </c>
      <c r="AO48" s="145"/>
      <c r="AP48" s="141"/>
      <c r="AQ48" s="141"/>
      <c r="AR48" s="141"/>
      <c r="AS48" s="141"/>
      <c r="AT48" s="149">
        <f t="shared" si="15"/>
        <v>0</v>
      </c>
      <c r="AU48" s="145"/>
      <c r="AV48" s="141"/>
      <c r="AW48" s="141">
        <v>23861</v>
      </c>
      <c r="AX48" s="141"/>
      <c r="AY48" s="141">
        <v>20</v>
      </c>
      <c r="AZ48" s="149">
        <f t="shared" si="16"/>
        <v>23881</v>
      </c>
      <c r="BA48" s="145"/>
      <c r="BB48" s="141"/>
      <c r="BC48" s="141"/>
      <c r="BD48" s="141"/>
      <c r="BE48" s="141"/>
      <c r="BF48" s="149">
        <f t="shared" si="17"/>
        <v>0</v>
      </c>
      <c r="BG48" s="145"/>
      <c r="BH48" s="141"/>
      <c r="BI48" s="141"/>
      <c r="BJ48" s="141"/>
      <c r="BK48" s="141"/>
      <c r="BL48" s="149">
        <f t="shared" si="2"/>
        <v>0</v>
      </c>
      <c r="BM48" s="145"/>
      <c r="BN48" s="141"/>
      <c r="BO48" s="141"/>
      <c r="BP48" s="141"/>
      <c r="BQ48" s="141"/>
      <c r="BR48" s="149">
        <f t="shared" si="3"/>
        <v>0</v>
      </c>
      <c r="BS48" s="145"/>
      <c r="BT48" s="141"/>
      <c r="BU48" s="141">
        <v>599.8</v>
      </c>
      <c r="BV48" s="141"/>
      <c r="BW48" s="141"/>
      <c r="BX48" s="149">
        <f t="shared" si="4"/>
        <v>599.8</v>
      </c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39"/>
      <c r="CL48" s="139"/>
    </row>
    <row r="49" spans="1:90" s="78" customFormat="1" ht="24" customHeight="1">
      <c r="A49" s="166"/>
      <c r="B49" s="167"/>
      <c r="C49" s="85"/>
      <c r="D49" s="85"/>
      <c r="E49" s="86">
        <v>0</v>
      </c>
      <c r="F49" s="86"/>
      <c r="G49" s="89"/>
      <c r="H49" s="87"/>
      <c r="I49" s="89"/>
      <c r="J49" s="216"/>
      <c r="K49" s="209"/>
      <c r="L49" s="141"/>
      <c r="M49" s="141">
        <f t="shared" si="18"/>
        <v>0</v>
      </c>
      <c r="N49" s="141">
        <f t="shared" si="6"/>
        <v>0</v>
      </c>
      <c r="O49" s="141">
        <f t="shared" si="21"/>
        <v>708</v>
      </c>
      <c r="P49" s="141">
        <f t="shared" si="8"/>
        <v>0</v>
      </c>
      <c r="Q49" s="141">
        <f t="shared" si="9"/>
        <v>3498</v>
      </c>
      <c r="R49" s="145"/>
      <c r="S49" s="145"/>
      <c r="T49" s="141">
        <v>13529</v>
      </c>
      <c r="U49" s="141"/>
      <c r="V49" s="141">
        <v>31625</v>
      </c>
      <c r="W49" s="141"/>
      <c r="X49" s="141">
        <f t="shared" si="11"/>
        <v>45154</v>
      </c>
      <c r="Y49" s="145"/>
      <c r="Z49" s="141"/>
      <c r="AA49" s="141"/>
      <c r="AB49" s="141"/>
      <c r="AC49" s="141"/>
      <c r="AD49" s="141">
        <f t="shared" si="12"/>
        <v>0</v>
      </c>
      <c r="AE49" s="141"/>
      <c r="AF49" s="141"/>
      <c r="AG49" s="141"/>
      <c r="AH49" s="141"/>
      <c r="AI49" s="149">
        <f t="shared" si="13"/>
        <v>0</v>
      </c>
      <c r="AJ49" s="141"/>
      <c r="AK49" s="141"/>
      <c r="AL49" s="141">
        <v>7266</v>
      </c>
      <c r="AM49" s="141"/>
      <c r="AN49" s="149">
        <f t="shared" si="14"/>
        <v>7266</v>
      </c>
      <c r="AO49" s="145"/>
      <c r="AP49" s="141"/>
      <c r="AQ49" s="141"/>
      <c r="AR49" s="141"/>
      <c r="AS49" s="141"/>
      <c r="AT49" s="149">
        <f t="shared" si="15"/>
        <v>0</v>
      </c>
      <c r="AU49" s="145"/>
      <c r="AV49" s="141"/>
      <c r="AW49" s="141"/>
      <c r="AX49" s="141"/>
      <c r="AY49" s="141"/>
      <c r="AZ49" s="149">
        <f t="shared" si="16"/>
        <v>0</v>
      </c>
      <c r="BA49" s="145"/>
      <c r="BB49" s="141"/>
      <c r="BC49" s="141"/>
      <c r="BD49" s="141"/>
      <c r="BE49" s="141"/>
      <c r="BF49" s="149">
        <f t="shared" si="17"/>
        <v>0</v>
      </c>
      <c r="BG49" s="145"/>
      <c r="BH49" s="141"/>
      <c r="BI49" s="141">
        <v>708</v>
      </c>
      <c r="BJ49" s="141"/>
      <c r="BK49" s="141"/>
      <c r="BL49" s="149">
        <f t="shared" si="2"/>
        <v>708</v>
      </c>
      <c r="BM49" s="145"/>
      <c r="BN49" s="141"/>
      <c r="BO49" s="141"/>
      <c r="BP49" s="141"/>
      <c r="BQ49" s="141"/>
      <c r="BR49" s="149">
        <f t="shared" si="3"/>
        <v>0</v>
      </c>
      <c r="BS49" s="145"/>
      <c r="BT49" s="141"/>
      <c r="BU49" s="141"/>
      <c r="BV49" s="141">
        <v>3498</v>
      </c>
      <c r="BW49" s="141"/>
      <c r="BX49" s="149">
        <f t="shared" si="4"/>
        <v>3498</v>
      </c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</row>
    <row r="50" spans="1:90" s="78" customFormat="1" ht="24" customHeight="1">
      <c r="A50" s="166"/>
      <c r="B50" s="167"/>
      <c r="C50" s="85"/>
      <c r="D50" s="85"/>
      <c r="E50" s="86">
        <v>0</v>
      </c>
      <c r="F50" s="86"/>
      <c r="G50" s="89"/>
      <c r="H50" s="87"/>
      <c r="I50" s="89"/>
      <c r="J50" s="216"/>
      <c r="K50" s="209"/>
      <c r="L50" s="141"/>
      <c r="M50" s="141">
        <f t="shared" si="18"/>
        <v>0</v>
      </c>
      <c r="N50" s="141">
        <f t="shared" si="6"/>
        <v>0</v>
      </c>
      <c r="O50" s="141">
        <f t="shared" si="21"/>
        <v>0</v>
      </c>
      <c r="P50" s="141">
        <f t="shared" si="8"/>
        <v>0</v>
      </c>
      <c r="Q50" s="141">
        <f t="shared" si="9"/>
        <v>70.33</v>
      </c>
      <c r="R50" s="145"/>
      <c r="S50" s="145"/>
      <c r="T50" s="141"/>
      <c r="U50" s="141">
        <v>453.75</v>
      </c>
      <c r="V50" s="141"/>
      <c r="W50" s="141"/>
      <c r="X50" s="141"/>
      <c r="Y50" s="145"/>
      <c r="Z50" s="141"/>
      <c r="AA50" s="141"/>
      <c r="AB50" s="141"/>
      <c r="AC50" s="141"/>
      <c r="AD50" s="141"/>
      <c r="AE50" s="141"/>
      <c r="AF50" s="141"/>
      <c r="AG50" s="141">
        <v>204.88</v>
      </c>
      <c r="AH50" s="141"/>
      <c r="AI50" s="149">
        <f t="shared" si="13"/>
        <v>204.88</v>
      </c>
      <c r="AJ50" s="141"/>
      <c r="AK50" s="141"/>
      <c r="AL50" s="141"/>
      <c r="AM50" s="141"/>
      <c r="AN50" s="149">
        <f t="shared" si="14"/>
        <v>0</v>
      </c>
      <c r="AO50" s="145"/>
      <c r="AP50" s="141"/>
      <c r="AQ50" s="141"/>
      <c r="AR50" s="141"/>
      <c r="AS50" s="141"/>
      <c r="AT50" s="149">
        <f t="shared" si="15"/>
        <v>0</v>
      </c>
      <c r="AU50" s="145"/>
      <c r="AV50" s="141"/>
      <c r="AW50" s="141"/>
      <c r="AX50" s="141"/>
      <c r="AY50" s="141"/>
      <c r="AZ50" s="149">
        <f t="shared" si="16"/>
        <v>0</v>
      </c>
      <c r="BA50" s="145"/>
      <c r="BB50" s="141"/>
      <c r="BC50" s="141"/>
      <c r="BD50" s="141"/>
      <c r="BE50" s="141"/>
      <c r="BF50" s="149">
        <f t="shared" si="17"/>
        <v>0</v>
      </c>
      <c r="BG50" s="145"/>
      <c r="BH50" s="141"/>
      <c r="BI50" s="141"/>
      <c r="BJ50" s="141"/>
      <c r="BK50" s="141"/>
      <c r="BL50" s="149">
        <f t="shared" si="2"/>
        <v>0</v>
      </c>
      <c r="BM50" s="145"/>
      <c r="BN50" s="141"/>
      <c r="BO50" s="141"/>
      <c r="BP50" s="141"/>
      <c r="BQ50" s="141"/>
      <c r="BR50" s="149">
        <f t="shared" si="3"/>
        <v>0</v>
      </c>
      <c r="BS50" s="145"/>
      <c r="BT50" s="141"/>
      <c r="BU50" s="141">
        <v>70.33</v>
      </c>
      <c r="BV50" s="141"/>
      <c r="BW50" s="141"/>
      <c r="BX50" s="149">
        <f t="shared" si="4"/>
        <v>70.33</v>
      </c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</row>
    <row r="51" spans="1:90" s="78" customFormat="1" ht="15" customHeight="1">
      <c r="A51" s="166"/>
      <c r="B51" s="167"/>
      <c r="C51" s="85"/>
      <c r="D51" s="85"/>
      <c r="E51" s="86">
        <v>0</v>
      </c>
      <c r="F51" s="86"/>
      <c r="G51" s="89"/>
      <c r="H51" s="87"/>
      <c r="I51" s="89"/>
      <c r="J51" s="216"/>
      <c r="K51" s="209"/>
      <c r="L51" s="141"/>
      <c r="M51" s="141">
        <f t="shared" si="18"/>
        <v>0</v>
      </c>
      <c r="N51" s="141">
        <f t="shared" si="6"/>
        <v>0</v>
      </c>
      <c r="O51" s="141">
        <f t="shared" si="21"/>
        <v>0</v>
      </c>
      <c r="P51" s="141">
        <f t="shared" si="8"/>
        <v>0</v>
      </c>
      <c r="Q51" s="141">
        <f t="shared" si="9"/>
        <v>0</v>
      </c>
      <c r="R51" s="145"/>
      <c r="S51" s="145"/>
      <c r="T51" s="141"/>
      <c r="U51" s="141"/>
      <c r="V51" s="141"/>
      <c r="W51" s="141"/>
      <c r="X51" s="141">
        <f t="shared" si="11"/>
        <v>0</v>
      </c>
      <c r="Y51" s="145"/>
      <c r="Z51" s="141"/>
      <c r="AA51" s="141"/>
      <c r="AB51" s="141"/>
      <c r="AC51" s="141"/>
      <c r="AD51" s="141">
        <f t="shared" si="12"/>
        <v>0</v>
      </c>
      <c r="AE51" s="141"/>
      <c r="AF51" s="141"/>
      <c r="AG51" s="141"/>
      <c r="AH51" s="141"/>
      <c r="AI51" s="149">
        <f t="shared" si="13"/>
        <v>0</v>
      </c>
      <c r="AJ51" s="141"/>
      <c r="AK51" s="141"/>
      <c r="AL51" s="141"/>
      <c r="AM51" s="141"/>
      <c r="AN51" s="149">
        <f t="shared" si="14"/>
        <v>0</v>
      </c>
      <c r="AO51" s="145"/>
      <c r="AP51" s="141"/>
      <c r="AQ51" s="141"/>
      <c r="AR51" s="141"/>
      <c r="AS51" s="141"/>
      <c r="AT51" s="149">
        <f t="shared" si="15"/>
        <v>0</v>
      </c>
      <c r="AU51" s="145"/>
      <c r="AV51" s="141"/>
      <c r="AW51" s="141"/>
      <c r="AX51" s="141"/>
      <c r="AY51" s="141"/>
      <c r="AZ51" s="149">
        <f t="shared" si="16"/>
        <v>0</v>
      </c>
      <c r="BA51" s="145"/>
      <c r="BB51" s="141"/>
      <c r="BC51" s="141"/>
      <c r="BD51" s="141"/>
      <c r="BE51" s="141"/>
      <c r="BF51" s="149">
        <f t="shared" si="17"/>
        <v>0</v>
      </c>
      <c r="BG51" s="145"/>
      <c r="BH51" s="141"/>
      <c r="BI51" s="141"/>
      <c r="BJ51" s="141"/>
      <c r="BK51" s="141"/>
      <c r="BL51" s="149">
        <f t="shared" si="2"/>
        <v>0</v>
      </c>
      <c r="BM51" s="145"/>
      <c r="BN51" s="141"/>
      <c r="BO51" s="141"/>
      <c r="BP51" s="141"/>
      <c r="BQ51" s="141"/>
      <c r="BR51" s="149">
        <f t="shared" si="3"/>
        <v>0</v>
      </c>
      <c r="BS51" s="145"/>
      <c r="BT51" s="141"/>
      <c r="BU51" s="141"/>
      <c r="BV51" s="141"/>
      <c r="BW51" s="141"/>
      <c r="BX51" s="149">
        <f t="shared" si="4"/>
        <v>0</v>
      </c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</row>
    <row r="52" spans="1:90" s="78" customFormat="1" ht="15" customHeight="1">
      <c r="A52" s="168"/>
      <c r="B52" s="169" t="s">
        <v>55</v>
      </c>
      <c r="C52" s="187">
        <f>SUM(C37:C51)</f>
        <v>2162362.5</v>
      </c>
      <c r="D52" s="224">
        <f>SUM(D37:D51)</f>
        <v>2040552.87</v>
      </c>
      <c r="E52" s="187">
        <f>SUM(E37:E51)</f>
        <v>585653.6299999999</v>
      </c>
      <c r="F52" s="90"/>
      <c r="G52" s="187">
        <f>SUM(G37:G51)</f>
        <v>2177098.9000000004</v>
      </c>
      <c r="H52" s="95">
        <f>G52/C52</f>
        <v>1.0068149535519602</v>
      </c>
      <c r="I52" s="187">
        <f>SUM(I37:I51)</f>
        <v>-136546.03000000026</v>
      </c>
      <c r="J52" s="216"/>
      <c r="K52" s="209"/>
      <c r="L52" s="141"/>
      <c r="M52" s="141">
        <f t="shared" si="18"/>
        <v>0</v>
      </c>
      <c r="N52" s="141">
        <f t="shared" si="6"/>
        <v>0</v>
      </c>
      <c r="O52" s="141">
        <f t="shared" si="21"/>
        <v>0</v>
      </c>
      <c r="P52" s="141">
        <f t="shared" si="8"/>
        <v>0</v>
      </c>
      <c r="Q52" s="141">
        <f t="shared" si="9"/>
        <v>0</v>
      </c>
      <c r="R52" s="145"/>
      <c r="S52" s="145"/>
      <c r="T52" s="141"/>
      <c r="U52" s="141"/>
      <c r="V52" s="141"/>
      <c r="W52" s="141"/>
      <c r="X52" s="141">
        <f t="shared" si="11"/>
        <v>0</v>
      </c>
      <c r="Y52" s="145"/>
      <c r="Z52" s="141"/>
      <c r="AA52" s="141"/>
      <c r="AB52" s="141"/>
      <c r="AC52" s="141"/>
      <c r="AD52" s="141">
        <f t="shared" si="12"/>
        <v>0</v>
      </c>
      <c r="AE52" s="141"/>
      <c r="AF52" s="141"/>
      <c r="AG52" s="141"/>
      <c r="AH52" s="141"/>
      <c r="AI52" s="149">
        <f t="shared" si="13"/>
        <v>0</v>
      </c>
      <c r="AJ52" s="141"/>
      <c r="AK52" s="141"/>
      <c r="AL52" s="141"/>
      <c r="AM52" s="141"/>
      <c r="AN52" s="149">
        <f t="shared" si="14"/>
        <v>0</v>
      </c>
      <c r="AO52" s="145"/>
      <c r="AP52" s="141"/>
      <c r="AQ52" s="141"/>
      <c r="AR52" s="141"/>
      <c r="AS52" s="141"/>
      <c r="AT52" s="149">
        <f t="shared" si="15"/>
        <v>0</v>
      </c>
      <c r="AU52" s="145"/>
      <c r="AV52" s="141"/>
      <c r="AW52" s="141"/>
      <c r="AX52" s="141"/>
      <c r="AY52" s="141"/>
      <c r="AZ52" s="149">
        <f t="shared" si="16"/>
        <v>0</v>
      </c>
      <c r="BA52" s="145"/>
      <c r="BB52" s="141"/>
      <c r="BC52" s="141"/>
      <c r="BD52" s="141"/>
      <c r="BE52" s="141"/>
      <c r="BF52" s="149">
        <f t="shared" si="17"/>
        <v>0</v>
      </c>
      <c r="BG52" s="145"/>
      <c r="BH52" s="141"/>
      <c r="BI52" s="141"/>
      <c r="BJ52" s="141"/>
      <c r="BK52" s="141"/>
      <c r="BL52" s="149">
        <f t="shared" si="2"/>
        <v>0</v>
      </c>
      <c r="BM52" s="145"/>
      <c r="BN52" s="141"/>
      <c r="BO52" s="141"/>
      <c r="BP52" s="141"/>
      <c r="BQ52" s="141"/>
      <c r="BR52" s="149">
        <f t="shared" si="3"/>
        <v>0</v>
      </c>
      <c r="BS52" s="145"/>
      <c r="BT52" s="141"/>
      <c r="BU52" s="141"/>
      <c r="BV52" s="141"/>
      <c r="BW52" s="141"/>
      <c r="BX52" s="149">
        <f t="shared" si="4"/>
        <v>0</v>
      </c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</row>
    <row r="53" spans="1:90" s="78" customFormat="1" ht="15" customHeight="1">
      <c r="A53" s="166">
        <v>31801</v>
      </c>
      <c r="B53" s="164" t="s">
        <v>127</v>
      </c>
      <c r="C53" s="85">
        <v>13875</v>
      </c>
      <c r="D53" s="85">
        <v>6250.43</v>
      </c>
      <c r="E53" s="86">
        <v>4012.37</v>
      </c>
      <c r="F53" s="86"/>
      <c r="G53" s="89">
        <v>6250.43</v>
      </c>
      <c r="H53" s="87">
        <f aca="true" t="shared" si="22" ref="H53:H83">G53/D53</f>
        <v>1</v>
      </c>
      <c r="I53" s="89">
        <f aca="true" t="shared" si="23" ref="I53:I83">D53-G53</f>
        <v>0</v>
      </c>
      <c r="J53" s="216"/>
      <c r="K53" s="209"/>
      <c r="L53" s="141"/>
      <c r="M53" s="141">
        <f t="shared" si="18"/>
        <v>24997.14</v>
      </c>
      <c r="N53" s="141">
        <f t="shared" si="6"/>
        <v>41724.57000000001</v>
      </c>
      <c r="O53" s="141">
        <f t="shared" si="21"/>
        <v>50416.34</v>
      </c>
      <c r="P53" s="141">
        <f t="shared" si="8"/>
        <v>24976.62</v>
      </c>
      <c r="Q53" s="141">
        <f t="shared" si="9"/>
        <v>139345.59999999998</v>
      </c>
      <c r="R53" s="145"/>
      <c r="S53" s="145"/>
      <c r="T53" s="141">
        <f>60429.72-2933.92-3292.87-16153.46-3912.39-5173.97</f>
        <v>28963.11</v>
      </c>
      <c r="U53" s="141">
        <f>34299.84-579.76-2276.17-2653.26-3576.45-1623.52</f>
        <v>23590.679999999993</v>
      </c>
      <c r="V53" s="141">
        <f>37522.33-1115.84-2973.71-7608.47-6158.97-1353.96</f>
        <v>18311.380000000005</v>
      </c>
      <c r="W53" s="141">
        <f>53160.08-3035.31-8315.69-2275.13-3732.88</f>
        <v>35801.07000000001</v>
      </c>
      <c r="X53" s="141">
        <f t="shared" si="11"/>
        <v>106666.24</v>
      </c>
      <c r="Y53" s="145"/>
      <c r="Z53" s="141">
        <f>20355.57-4382.97-2908.56-4089.84</f>
        <v>8974.199999999999</v>
      </c>
      <c r="AA53" s="141">
        <f>9100.59-1806.63-520.09-958.74</f>
        <v>5815.13</v>
      </c>
      <c r="AB53" s="141">
        <f>24212.6-4783.13-5553.51-2803.34</f>
        <v>11072.619999999997</v>
      </c>
      <c r="AC53" s="141">
        <f>23525-2352.27-680.01-4937.07</f>
        <v>15555.650000000001</v>
      </c>
      <c r="AD53" s="141">
        <f t="shared" si="12"/>
        <v>41417.6</v>
      </c>
      <c r="AE53" s="141">
        <f>36910.16-11788.74</f>
        <v>25121.420000000006</v>
      </c>
      <c r="AF53" s="141">
        <f>25882.34-2445.91-2649.36</f>
        <v>20787.07</v>
      </c>
      <c r="AG53" s="141">
        <f>21359.69-4778.74</f>
        <v>16580.949999999997</v>
      </c>
      <c r="AH53" s="141">
        <v>25322.8</v>
      </c>
      <c r="AI53" s="149">
        <f t="shared" si="13"/>
        <v>87812.24</v>
      </c>
      <c r="AJ53" s="141">
        <f>22004.15-7182.18</f>
        <v>14821.970000000001</v>
      </c>
      <c r="AK53" s="141">
        <f>17863.5-4153.81-2385.8</f>
        <v>11323.89</v>
      </c>
      <c r="AL53" s="141">
        <v>16786.14</v>
      </c>
      <c r="AM53" s="141">
        <v>21474.28</v>
      </c>
      <c r="AN53" s="149">
        <f t="shared" si="14"/>
        <v>64406.28</v>
      </c>
      <c r="AO53" s="145"/>
      <c r="AP53" s="141">
        <f>24004.78-2364.54-3955.48-850.13-388.01</f>
        <v>16446.62</v>
      </c>
      <c r="AQ53" s="141">
        <f>4589.65-1235.14-794.51-320</f>
        <v>2239.999999999999</v>
      </c>
      <c r="AR53" s="141">
        <f>14107.73-197.06-5596.27-394.4</f>
        <v>7920</v>
      </c>
      <c r="AS53" s="141">
        <f>30601.05-2754.75-3203.19-466.85-460.04</f>
        <v>23716.22</v>
      </c>
      <c r="AT53" s="149">
        <f t="shared" si="15"/>
        <v>50322.84</v>
      </c>
      <c r="AU53" s="145"/>
      <c r="AV53" s="141">
        <f>3508.36-2518.36-990</f>
        <v>0</v>
      </c>
      <c r="AW53" s="141">
        <f>13321.68-970.73-300.16</f>
        <v>12050.79</v>
      </c>
      <c r="AX53" s="141">
        <f>1800.49-860.2-740.29</f>
        <v>200</v>
      </c>
      <c r="AY53" s="141">
        <f>15484.73-1188.25-1550.13</f>
        <v>12746.349999999999</v>
      </c>
      <c r="AZ53" s="149">
        <f t="shared" si="16"/>
        <v>24997.14</v>
      </c>
      <c r="BA53" s="145"/>
      <c r="BB53" s="141">
        <v>7719.89</v>
      </c>
      <c r="BC53" s="141">
        <v>9124.33</v>
      </c>
      <c r="BD53" s="141">
        <v>7325.38</v>
      </c>
      <c r="BE53" s="141">
        <v>17554.97</v>
      </c>
      <c r="BF53" s="149">
        <f t="shared" si="17"/>
        <v>41724.57000000001</v>
      </c>
      <c r="BG53" s="145"/>
      <c r="BH53" s="141">
        <v>10427.41</v>
      </c>
      <c r="BI53" s="141">
        <v>16674.52</v>
      </c>
      <c r="BJ53" s="141">
        <v>12848.5</v>
      </c>
      <c r="BK53" s="141">
        <v>10465.91</v>
      </c>
      <c r="BL53" s="149">
        <f t="shared" si="2"/>
        <v>50416.34</v>
      </c>
      <c r="BM53" s="145"/>
      <c r="BN53" s="141">
        <v>6119.98</v>
      </c>
      <c r="BO53" s="141">
        <v>5573.23</v>
      </c>
      <c r="BP53" s="141">
        <v>9504.89</v>
      </c>
      <c r="BQ53" s="141">
        <v>3778.52</v>
      </c>
      <c r="BR53" s="149">
        <f t="shared" si="3"/>
        <v>24976.62</v>
      </c>
      <c r="BS53" s="145"/>
      <c r="BT53" s="141">
        <v>45216.26</v>
      </c>
      <c r="BU53" s="141">
        <v>24165.71</v>
      </c>
      <c r="BV53" s="141">
        <v>33699.99</v>
      </c>
      <c r="BW53" s="141">
        <v>36263.64</v>
      </c>
      <c r="BX53" s="149">
        <f t="shared" si="4"/>
        <v>139345.59999999998</v>
      </c>
      <c r="BY53" s="139"/>
      <c r="BZ53" s="139"/>
      <c r="CA53" s="139"/>
      <c r="CB53" s="139"/>
      <c r="CC53" s="139"/>
      <c r="CD53" s="139"/>
      <c r="CE53" s="139"/>
      <c r="CF53" s="139"/>
      <c r="CG53" s="139"/>
      <c r="CH53" s="139"/>
      <c r="CI53" s="139"/>
      <c r="CJ53" s="139"/>
      <c r="CK53" s="139"/>
      <c r="CL53" s="139"/>
    </row>
    <row r="54" spans="1:90" s="78" customFormat="1" ht="15" customHeight="1">
      <c r="A54" s="166">
        <v>31401</v>
      </c>
      <c r="B54" s="164" t="s">
        <v>128</v>
      </c>
      <c r="C54" s="85">
        <v>270000</v>
      </c>
      <c r="D54" s="85">
        <v>180161.71</v>
      </c>
      <c r="E54" s="86">
        <v>30407.18</v>
      </c>
      <c r="F54" s="86"/>
      <c r="G54" s="89">
        <v>180161.71</v>
      </c>
      <c r="H54" s="87">
        <f t="shared" si="22"/>
        <v>1</v>
      </c>
      <c r="I54" s="89">
        <f t="shared" si="23"/>
        <v>0</v>
      </c>
      <c r="J54" s="216"/>
      <c r="K54" s="209"/>
      <c r="L54" s="141"/>
      <c r="M54" s="141">
        <f t="shared" si="18"/>
        <v>0</v>
      </c>
      <c r="N54" s="141">
        <f t="shared" si="6"/>
        <v>0</v>
      </c>
      <c r="O54" s="141">
        <f t="shared" si="21"/>
        <v>0</v>
      </c>
      <c r="P54" s="141">
        <f t="shared" si="8"/>
        <v>0</v>
      </c>
      <c r="Q54" s="141">
        <f t="shared" si="9"/>
        <v>0</v>
      </c>
      <c r="R54" s="145"/>
      <c r="S54" s="145"/>
      <c r="T54" s="141"/>
      <c r="U54" s="141"/>
      <c r="V54" s="141"/>
      <c r="W54" s="141"/>
      <c r="X54" s="141">
        <f t="shared" si="11"/>
        <v>0</v>
      </c>
      <c r="Y54" s="145"/>
      <c r="Z54" s="141"/>
      <c r="AA54" s="141"/>
      <c r="AB54" s="141"/>
      <c r="AC54" s="141"/>
      <c r="AD54" s="141">
        <f t="shared" si="12"/>
        <v>0</v>
      </c>
      <c r="AE54" s="141"/>
      <c r="AF54" s="141"/>
      <c r="AG54" s="141"/>
      <c r="AH54" s="141"/>
      <c r="AI54" s="149">
        <f t="shared" si="13"/>
        <v>0</v>
      </c>
      <c r="AJ54" s="141"/>
      <c r="AK54" s="141"/>
      <c r="AL54" s="141"/>
      <c r="AM54" s="141"/>
      <c r="AN54" s="149">
        <f t="shared" si="14"/>
        <v>0</v>
      </c>
      <c r="AO54" s="145"/>
      <c r="AP54" s="141"/>
      <c r="AQ54" s="141"/>
      <c r="AR54" s="141"/>
      <c r="AS54" s="141"/>
      <c r="AT54" s="149">
        <f t="shared" si="15"/>
        <v>0</v>
      </c>
      <c r="AU54" s="145"/>
      <c r="AV54" s="141"/>
      <c r="AW54" s="141"/>
      <c r="AX54" s="141"/>
      <c r="AY54" s="141"/>
      <c r="AZ54" s="149">
        <f t="shared" si="16"/>
        <v>0</v>
      </c>
      <c r="BA54" s="145"/>
      <c r="BB54" s="141"/>
      <c r="BC54" s="141"/>
      <c r="BD54" s="141"/>
      <c r="BE54" s="141"/>
      <c r="BF54" s="149">
        <f t="shared" si="17"/>
        <v>0</v>
      </c>
      <c r="BG54" s="145"/>
      <c r="BH54" s="141"/>
      <c r="BI54" s="141"/>
      <c r="BJ54" s="141"/>
      <c r="BK54" s="141"/>
      <c r="BL54" s="149">
        <f t="shared" si="2"/>
        <v>0</v>
      </c>
      <c r="BM54" s="145"/>
      <c r="BN54" s="141"/>
      <c r="BO54" s="141"/>
      <c r="BP54" s="141"/>
      <c r="BQ54" s="141"/>
      <c r="BR54" s="149">
        <f t="shared" si="3"/>
        <v>0</v>
      </c>
      <c r="BS54" s="145"/>
      <c r="BT54" s="141"/>
      <c r="BU54" s="141"/>
      <c r="BV54" s="141"/>
      <c r="BW54" s="141"/>
      <c r="BX54" s="149">
        <f t="shared" si="4"/>
        <v>0</v>
      </c>
      <c r="BY54" s="139"/>
      <c r="BZ54" s="139"/>
      <c r="CA54" s="139"/>
      <c r="CB54" s="139"/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</row>
    <row r="55" spans="1:90" s="78" customFormat="1" ht="15" customHeight="1">
      <c r="A55" s="166">
        <v>31501</v>
      </c>
      <c r="B55" s="164" t="s">
        <v>129</v>
      </c>
      <c r="C55" s="85">
        <v>60000</v>
      </c>
      <c r="D55" s="85">
        <v>156026.36</v>
      </c>
      <c r="E55" s="86">
        <v>32481</v>
      </c>
      <c r="F55" s="86"/>
      <c r="G55" s="89">
        <v>156026.36</v>
      </c>
      <c r="H55" s="87">
        <f t="shared" si="22"/>
        <v>1</v>
      </c>
      <c r="I55" s="89">
        <f t="shared" si="23"/>
        <v>0</v>
      </c>
      <c r="J55" s="216"/>
      <c r="K55" s="209"/>
      <c r="L55" s="141"/>
      <c r="M55" s="141">
        <f t="shared" si="18"/>
        <v>0</v>
      </c>
      <c r="N55" s="141">
        <f t="shared" si="6"/>
        <v>0</v>
      </c>
      <c r="O55" s="141">
        <f t="shared" si="21"/>
        <v>0</v>
      </c>
      <c r="P55" s="141">
        <f t="shared" si="8"/>
        <v>0</v>
      </c>
      <c r="Q55" s="141">
        <f t="shared" si="9"/>
        <v>0</v>
      </c>
      <c r="R55" s="145"/>
      <c r="S55" s="145"/>
      <c r="T55" s="141"/>
      <c r="U55" s="141"/>
      <c r="V55" s="141"/>
      <c r="W55" s="141"/>
      <c r="X55" s="141">
        <f t="shared" si="11"/>
        <v>0</v>
      </c>
      <c r="Y55" s="145"/>
      <c r="Z55" s="141"/>
      <c r="AA55" s="141"/>
      <c r="AB55" s="141"/>
      <c r="AC55" s="141"/>
      <c r="AD55" s="141">
        <f t="shared" si="12"/>
        <v>0</v>
      </c>
      <c r="AE55" s="141"/>
      <c r="AF55" s="141"/>
      <c r="AG55" s="141"/>
      <c r="AH55" s="141"/>
      <c r="AI55" s="149">
        <f t="shared" si="13"/>
        <v>0</v>
      </c>
      <c r="AJ55" s="141"/>
      <c r="AK55" s="141"/>
      <c r="AL55" s="141"/>
      <c r="AM55" s="141"/>
      <c r="AN55" s="149">
        <f t="shared" si="14"/>
        <v>0</v>
      </c>
      <c r="AO55" s="145"/>
      <c r="AP55" s="141"/>
      <c r="AQ55" s="141"/>
      <c r="AR55" s="141"/>
      <c r="AS55" s="141"/>
      <c r="AT55" s="149">
        <f t="shared" si="15"/>
        <v>0</v>
      </c>
      <c r="AU55" s="145"/>
      <c r="AV55" s="141"/>
      <c r="AW55" s="141"/>
      <c r="AX55" s="141"/>
      <c r="AY55" s="141"/>
      <c r="AZ55" s="149">
        <f t="shared" si="16"/>
        <v>0</v>
      </c>
      <c r="BA55" s="145"/>
      <c r="BB55" s="141"/>
      <c r="BC55" s="141"/>
      <c r="BD55" s="141"/>
      <c r="BE55" s="141"/>
      <c r="BF55" s="149">
        <f t="shared" si="17"/>
        <v>0</v>
      </c>
      <c r="BG55" s="145"/>
      <c r="BH55" s="141"/>
      <c r="BI55" s="141"/>
      <c r="BJ55" s="141"/>
      <c r="BK55" s="141"/>
      <c r="BL55" s="149">
        <f t="shared" si="2"/>
        <v>0</v>
      </c>
      <c r="BM55" s="145"/>
      <c r="BN55" s="141"/>
      <c r="BO55" s="141"/>
      <c r="BP55" s="141"/>
      <c r="BQ55" s="141"/>
      <c r="BR55" s="149">
        <f t="shared" si="3"/>
        <v>0</v>
      </c>
      <c r="BS55" s="145"/>
      <c r="BT55" s="141"/>
      <c r="BU55" s="141"/>
      <c r="BV55" s="141"/>
      <c r="BW55" s="141"/>
      <c r="BX55" s="149">
        <f t="shared" si="4"/>
        <v>0</v>
      </c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39"/>
    </row>
    <row r="56" spans="1:90" s="78" customFormat="1" ht="15" customHeight="1">
      <c r="A56" s="166">
        <v>31101</v>
      </c>
      <c r="B56" s="164" t="s">
        <v>130</v>
      </c>
      <c r="C56" s="85">
        <v>177250</v>
      </c>
      <c r="D56" s="85">
        <v>208472</v>
      </c>
      <c r="E56" s="86">
        <v>58201</v>
      </c>
      <c r="F56" s="185"/>
      <c r="G56" s="89">
        <v>208472</v>
      </c>
      <c r="H56" s="87">
        <f t="shared" si="22"/>
        <v>1</v>
      </c>
      <c r="I56" s="89">
        <f t="shared" si="23"/>
        <v>0</v>
      </c>
      <c r="J56" s="218"/>
      <c r="K56" s="210"/>
      <c r="L56" s="149"/>
      <c r="M56" s="149">
        <f>SUM(M40:M55)</f>
        <v>61988.78999999999</v>
      </c>
      <c r="N56" s="149">
        <f>SUM(N40:N55)</f>
        <v>55648.020000000004</v>
      </c>
      <c r="O56" s="149">
        <f>SUM(O40:O55)</f>
        <v>139509.15</v>
      </c>
      <c r="P56" s="149">
        <f>SUM(P40:P55)</f>
        <v>37286.63</v>
      </c>
      <c r="Q56" s="149">
        <f>SUM(Q40:Q55)</f>
        <v>178990.72999999998</v>
      </c>
      <c r="R56" s="145"/>
      <c r="S56" s="145"/>
      <c r="T56" s="149">
        <f>SUM(T40:T55)</f>
        <v>61548.090000000004</v>
      </c>
      <c r="U56" s="149">
        <f>SUM(U40:U55)</f>
        <v>38269.48999999999</v>
      </c>
      <c r="V56" s="149">
        <f>SUM(V40:V55)</f>
        <v>68764.29000000001</v>
      </c>
      <c r="W56" s="149">
        <f>SUM(W40:W55)</f>
        <v>38844.62000000001</v>
      </c>
      <c r="X56" s="141">
        <f t="shared" si="11"/>
        <v>207426.49</v>
      </c>
      <c r="Y56" s="145"/>
      <c r="Z56" s="149">
        <f>SUM(Z40:Z55)</f>
        <v>15185.399999999998</v>
      </c>
      <c r="AA56" s="149">
        <f>SUM(AA40:AA55)</f>
        <v>7630.530000000001</v>
      </c>
      <c r="AB56" s="149">
        <f>SUM(AB40:AB55)</f>
        <v>51443.439999999995</v>
      </c>
      <c r="AC56" s="149">
        <f>SUM(AC40:AC55)</f>
        <v>18241.850000000002</v>
      </c>
      <c r="AD56" s="149">
        <f t="shared" si="12"/>
        <v>92501.22</v>
      </c>
      <c r="AE56" s="149">
        <f aca="true" t="shared" si="24" ref="AE56:AN56">SUM(AE40:AE55)</f>
        <v>39616.58</v>
      </c>
      <c r="AF56" s="149">
        <f t="shared" si="24"/>
        <v>22449.75</v>
      </c>
      <c r="AG56" s="149">
        <f t="shared" si="24"/>
        <v>21703.96</v>
      </c>
      <c r="AH56" s="149">
        <f t="shared" si="24"/>
        <v>25322.8</v>
      </c>
      <c r="AI56" s="149">
        <f t="shared" si="24"/>
        <v>109093.09000000001</v>
      </c>
      <c r="AJ56" s="149">
        <f t="shared" si="24"/>
        <v>31736.570000000003</v>
      </c>
      <c r="AK56" s="149">
        <f t="shared" si="24"/>
        <v>26098.370000000003</v>
      </c>
      <c r="AL56" s="149">
        <f t="shared" si="24"/>
        <v>48000.479999999996</v>
      </c>
      <c r="AM56" s="149">
        <f t="shared" si="24"/>
        <v>23741.059999999998</v>
      </c>
      <c r="AN56" s="149">
        <f t="shared" si="24"/>
        <v>129576.48000000001</v>
      </c>
      <c r="AO56" s="145"/>
      <c r="AP56" s="149">
        <f>SUM(AP40:AP55)</f>
        <v>17126.62</v>
      </c>
      <c r="AQ56" s="149">
        <f>SUM(AQ40:AQ55)</f>
        <v>3345.5999999999976</v>
      </c>
      <c r="AR56" s="149">
        <f>SUM(AR40:AR55)</f>
        <v>12898.37</v>
      </c>
      <c r="AS56" s="149">
        <f>SUM(AS40:AS55)</f>
        <v>32880.22</v>
      </c>
      <c r="AT56" s="149">
        <f>SUM(AT40:AT55)</f>
        <v>66250.81</v>
      </c>
      <c r="AU56" s="145"/>
      <c r="AV56" s="149">
        <f>SUM(AV40:AV55)</f>
        <v>2816.619999999999</v>
      </c>
      <c r="AW56" s="149">
        <f>SUM(AW40:AW55)</f>
        <v>43626.97</v>
      </c>
      <c r="AX56" s="149">
        <f>SUM(AX40:AX55)</f>
        <v>9478.849999999999</v>
      </c>
      <c r="AY56" s="149">
        <f>SUM(AY40:AY55)</f>
        <v>13966.349999999999</v>
      </c>
      <c r="AZ56" s="149">
        <f>SUM(AZ40:AZ55)</f>
        <v>69888.79</v>
      </c>
      <c r="BA56" s="145"/>
      <c r="BB56" s="149">
        <f>SUM(BB40:BB55)</f>
        <v>8574.52</v>
      </c>
      <c r="BC56" s="149">
        <f>SUM(BC40:BC55)</f>
        <v>9124.33</v>
      </c>
      <c r="BD56" s="149">
        <f>SUM(BD40:BD55)</f>
        <v>18204.08</v>
      </c>
      <c r="BE56" s="149">
        <f>SUM(BE40:BE55)</f>
        <v>19745.09</v>
      </c>
      <c r="BF56" s="149">
        <f>SUM(BF40:BF55)</f>
        <v>55648.020000000004</v>
      </c>
      <c r="BG56" s="145"/>
      <c r="BH56" s="149">
        <f>SUM(BH40:BH55)</f>
        <v>38839.38</v>
      </c>
      <c r="BI56" s="149">
        <f>SUM(BI40:BI55)</f>
        <v>29630.940000000002</v>
      </c>
      <c r="BJ56" s="149">
        <f>SUM(BJ40:BJ55)</f>
        <v>48324.490000000005</v>
      </c>
      <c r="BK56" s="149">
        <f>SUM(BK40:BK55)</f>
        <v>22714.34</v>
      </c>
      <c r="BL56" s="149">
        <f>SUM(BL40:BL55)</f>
        <v>139509.15</v>
      </c>
      <c r="BM56" s="145"/>
      <c r="BN56" s="149">
        <f>SUM(BN40:BN55)</f>
        <v>8886.58</v>
      </c>
      <c r="BO56" s="149">
        <f>SUM(BO40:BO55)</f>
        <v>5805.23</v>
      </c>
      <c r="BP56" s="149">
        <f>SUM(BP40:BP55)</f>
        <v>17469.3</v>
      </c>
      <c r="BQ56" s="149">
        <f>SUM(BQ40:BQ55)</f>
        <v>5125.52</v>
      </c>
      <c r="BR56" s="149">
        <f>SUM(BR40:BR55)</f>
        <v>37286.63</v>
      </c>
      <c r="BS56" s="145"/>
      <c r="BT56" s="149">
        <f>SUM(BT40:BT55)</f>
        <v>45216.26</v>
      </c>
      <c r="BU56" s="149">
        <f>SUM(BU40:BU55)</f>
        <v>34069.44</v>
      </c>
      <c r="BV56" s="149">
        <f>SUM(BV40:BV55)</f>
        <v>63441.39</v>
      </c>
      <c r="BW56" s="149">
        <f>SUM(BW40:BW55)</f>
        <v>36263.64</v>
      </c>
      <c r="BX56" s="149">
        <f>SUM(BX40:BX55)</f>
        <v>178990.72999999998</v>
      </c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39"/>
    </row>
    <row r="57" spans="1:90" s="78" customFormat="1" ht="15" customHeight="1">
      <c r="A57" s="166">
        <v>31301</v>
      </c>
      <c r="B57" s="164" t="s">
        <v>131</v>
      </c>
      <c r="C57" s="85">
        <v>16250</v>
      </c>
      <c r="D57" s="85">
        <v>15175</v>
      </c>
      <c r="E57" s="86">
        <v>2461</v>
      </c>
      <c r="F57" s="86"/>
      <c r="G57" s="89">
        <v>15175</v>
      </c>
      <c r="H57" s="87">
        <f t="shared" si="22"/>
        <v>1</v>
      </c>
      <c r="I57" s="89">
        <f t="shared" si="23"/>
        <v>0</v>
      </c>
      <c r="J57" s="216"/>
      <c r="K57" s="209"/>
      <c r="L57" s="141"/>
      <c r="M57" s="141">
        <f t="shared" si="18"/>
        <v>1135.74</v>
      </c>
      <c r="N57" s="141">
        <f t="shared" si="6"/>
        <v>257.89</v>
      </c>
      <c r="O57" s="141">
        <f t="shared" si="21"/>
        <v>1152</v>
      </c>
      <c r="P57" s="141">
        <f t="shared" si="8"/>
        <v>1459.46</v>
      </c>
      <c r="Q57" s="141">
        <f t="shared" si="9"/>
        <v>176.75</v>
      </c>
      <c r="R57" s="145"/>
      <c r="S57" s="145"/>
      <c r="T57" s="141"/>
      <c r="U57" s="141">
        <v>552.64</v>
      </c>
      <c r="V57" s="141">
        <v>209.57</v>
      </c>
      <c r="W57" s="141"/>
      <c r="X57" s="141">
        <f t="shared" si="11"/>
        <v>762.21</v>
      </c>
      <c r="Y57" s="145"/>
      <c r="Z57" s="141"/>
      <c r="AA57" s="141">
        <v>106.04</v>
      </c>
      <c r="AB57" s="141">
        <v>406.32</v>
      </c>
      <c r="AC57" s="141"/>
      <c r="AD57" s="141">
        <f t="shared" si="12"/>
        <v>512.36</v>
      </c>
      <c r="AE57" s="141"/>
      <c r="AF57" s="141">
        <v>106</v>
      </c>
      <c r="AG57" s="141"/>
      <c r="AH57" s="141"/>
      <c r="AI57" s="149">
        <f t="shared" si="13"/>
        <v>106</v>
      </c>
      <c r="AJ57" s="141">
        <v>278.82</v>
      </c>
      <c r="AK57" s="141">
        <v>212.08</v>
      </c>
      <c r="AL57" s="141">
        <v>124.2</v>
      </c>
      <c r="AM57" s="141"/>
      <c r="AN57" s="149">
        <f aca="true" t="shared" si="25" ref="AN57:AN82">SUM(AJ57:AM57)</f>
        <v>615.1</v>
      </c>
      <c r="AO57" s="145"/>
      <c r="AP57" s="141"/>
      <c r="AQ57" s="141"/>
      <c r="AR57" s="141"/>
      <c r="AS57" s="141"/>
      <c r="AT57" s="149">
        <f aca="true" t="shared" si="26" ref="AT57:AT82">SUM(AP57:AS57)</f>
        <v>0</v>
      </c>
      <c r="AU57" s="145"/>
      <c r="AV57" s="141">
        <v>817.62</v>
      </c>
      <c r="AW57" s="141">
        <v>106.04</v>
      </c>
      <c r="AX57" s="141">
        <v>212.08</v>
      </c>
      <c r="AY57" s="141"/>
      <c r="AZ57" s="149">
        <f aca="true" t="shared" si="27" ref="AZ57:AZ82">SUM(AV57:AY57)</f>
        <v>1135.74</v>
      </c>
      <c r="BA57" s="145"/>
      <c r="BB57" s="141"/>
      <c r="BC57" s="141"/>
      <c r="BD57" s="141">
        <v>257.89</v>
      </c>
      <c r="BE57" s="141"/>
      <c r="BF57" s="149">
        <f aca="true" t="shared" si="28" ref="BF57:BF82">SUM(BB57:BE57)</f>
        <v>257.89</v>
      </c>
      <c r="BG57" s="145"/>
      <c r="BH57" s="141"/>
      <c r="BI57" s="141"/>
      <c r="BJ57" s="141">
        <v>1152</v>
      </c>
      <c r="BK57" s="141"/>
      <c r="BL57" s="149">
        <f aca="true" t="shared" si="29" ref="BL57:BL82">SUM(BH57:BK57)</f>
        <v>1152</v>
      </c>
      <c r="BM57" s="145"/>
      <c r="BN57" s="141"/>
      <c r="BO57" s="141"/>
      <c r="BP57" s="141">
        <v>1459.46</v>
      </c>
      <c r="BQ57" s="141"/>
      <c r="BR57" s="149">
        <f aca="true" t="shared" si="30" ref="BR57:BR82">SUM(BN57:BQ57)</f>
        <v>1459.46</v>
      </c>
      <c r="BS57" s="145"/>
      <c r="BT57" s="141">
        <v>0</v>
      </c>
      <c r="BU57" s="141"/>
      <c r="BV57" s="141">
        <v>176.75</v>
      </c>
      <c r="BW57" s="141"/>
      <c r="BX57" s="149">
        <f aca="true" t="shared" si="31" ref="BX57:BX82">SUM(BT57:BW57)</f>
        <v>176.75</v>
      </c>
      <c r="BY57" s="139"/>
      <c r="BZ57" s="139"/>
      <c r="CA57" s="139"/>
      <c r="CB57" s="139"/>
      <c r="CC57" s="139"/>
      <c r="CD57" s="139"/>
      <c r="CE57" s="139"/>
      <c r="CF57" s="139"/>
      <c r="CG57" s="139"/>
      <c r="CH57" s="139"/>
      <c r="CI57" s="139"/>
      <c r="CJ57" s="139"/>
      <c r="CK57" s="139"/>
      <c r="CL57" s="139"/>
    </row>
    <row r="58" spans="1:90" s="78" customFormat="1" ht="15" customHeight="1">
      <c r="A58" s="166">
        <v>31601</v>
      </c>
      <c r="B58" s="164" t="s">
        <v>132</v>
      </c>
      <c r="C58" s="85">
        <v>0</v>
      </c>
      <c r="D58" s="85">
        <v>5303</v>
      </c>
      <c r="E58" s="86">
        <v>1696</v>
      </c>
      <c r="F58" s="86"/>
      <c r="G58" s="89">
        <v>5303</v>
      </c>
      <c r="H58" s="87">
        <f t="shared" si="22"/>
        <v>1</v>
      </c>
      <c r="I58" s="89">
        <f t="shared" si="23"/>
        <v>0</v>
      </c>
      <c r="J58" s="216"/>
      <c r="K58" s="209"/>
      <c r="L58" s="141"/>
      <c r="M58" s="141">
        <f t="shared" si="18"/>
        <v>10175</v>
      </c>
      <c r="N58" s="141">
        <f t="shared" si="6"/>
        <v>12500</v>
      </c>
      <c r="O58" s="141">
        <f t="shared" si="21"/>
        <v>49884.97</v>
      </c>
      <c r="P58" s="141">
        <f t="shared" si="8"/>
        <v>12472</v>
      </c>
      <c r="Q58" s="141">
        <f t="shared" si="9"/>
        <v>58532.13</v>
      </c>
      <c r="R58" s="145"/>
      <c r="S58" s="145"/>
      <c r="T58" s="141">
        <v>17664.59</v>
      </c>
      <c r="U58" s="141">
        <v>20322.9</v>
      </c>
      <c r="V58" s="141">
        <v>21808.31</v>
      </c>
      <c r="W58" s="141">
        <v>16230.48</v>
      </c>
      <c r="X58" s="141">
        <f t="shared" si="11"/>
        <v>76026.28</v>
      </c>
      <c r="Y58" s="145"/>
      <c r="Z58" s="141">
        <v>4058</v>
      </c>
      <c r="AA58" s="141">
        <v>1966</v>
      </c>
      <c r="AB58" s="141">
        <v>4867</v>
      </c>
      <c r="AC58" s="141">
        <v>1190</v>
      </c>
      <c r="AD58" s="141">
        <f t="shared" si="12"/>
        <v>12081</v>
      </c>
      <c r="AE58" s="141">
        <v>12307.38</v>
      </c>
      <c r="AF58" s="141">
        <v>27326.92</v>
      </c>
      <c r="AG58" s="141">
        <v>20321.54</v>
      </c>
      <c r="AH58" s="141">
        <v>23018.93</v>
      </c>
      <c r="AI58" s="149">
        <f t="shared" si="13"/>
        <v>82974.76999999999</v>
      </c>
      <c r="AJ58" s="141">
        <v>4660</v>
      </c>
      <c r="AK58" s="141">
        <v>1887</v>
      </c>
      <c r="AL58" s="141">
        <v>3145</v>
      </c>
      <c r="AM58" s="141">
        <v>1113</v>
      </c>
      <c r="AN58" s="149">
        <f t="shared" si="25"/>
        <v>10805</v>
      </c>
      <c r="AO58" s="145"/>
      <c r="AP58" s="141">
        <v>6015</v>
      </c>
      <c r="AQ58" s="141">
        <v>3294</v>
      </c>
      <c r="AR58" s="141"/>
      <c r="AS58" s="141"/>
      <c r="AT58" s="149">
        <f t="shared" si="26"/>
        <v>9309</v>
      </c>
      <c r="AU58" s="145"/>
      <c r="AV58" s="141">
        <v>4947</v>
      </c>
      <c r="AW58" s="141">
        <v>2106</v>
      </c>
      <c r="AX58" s="141">
        <v>1828</v>
      </c>
      <c r="AY58" s="141">
        <v>1294</v>
      </c>
      <c r="AZ58" s="149">
        <f t="shared" si="27"/>
        <v>10175</v>
      </c>
      <c r="BA58" s="145"/>
      <c r="BB58" s="141">
        <v>5229</v>
      </c>
      <c r="BC58" s="141">
        <v>2368</v>
      </c>
      <c r="BD58" s="141">
        <v>2525</v>
      </c>
      <c r="BE58" s="141">
        <v>2378</v>
      </c>
      <c r="BF58" s="149">
        <f t="shared" si="28"/>
        <v>12500</v>
      </c>
      <c r="BG58" s="145"/>
      <c r="BH58" s="141">
        <v>7450.8</v>
      </c>
      <c r="BI58" s="141">
        <v>13396.49</v>
      </c>
      <c r="BJ58" s="141">
        <v>11757.44</v>
      </c>
      <c r="BK58" s="141">
        <v>17280.24</v>
      </c>
      <c r="BL58" s="149">
        <f t="shared" si="29"/>
        <v>49884.97</v>
      </c>
      <c r="BM58" s="145"/>
      <c r="BN58" s="141">
        <v>6075</v>
      </c>
      <c r="BO58" s="141">
        <v>1117</v>
      </c>
      <c r="BP58" s="141">
        <v>3011</v>
      </c>
      <c r="BQ58" s="141">
        <v>2269</v>
      </c>
      <c r="BR58" s="149">
        <f t="shared" si="30"/>
        <v>12472</v>
      </c>
      <c r="BS58" s="145"/>
      <c r="BT58" s="141">
        <v>14316.15</v>
      </c>
      <c r="BU58" s="141">
        <v>13548.88</v>
      </c>
      <c r="BV58" s="141">
        <v>10988.74</v>
      </c>
      <c r="BW58" s="141">
        <v>19678.36</v>
      </c>
      <c r="BX58" s="149">
        <f t="shared" si="31"/>
        <v>58532.13</v>
      </c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39"/>
      <c r="CL58" s="139"/>
    </row>
    <row r="59" spans="1:90" s="78" customFormat="1" ht="15" customHeight="1">
      <c r="A59" s="163">
        <v>32201</v>
      </c>
      <c r="B59" s="164" t="s">
        <v>133</v>
      </c>
      <c r="C59" s="85">
        <v>125000</v>
      </c>
      <c r="D59" s="85">
        <v>109724.4</v>
      </c>
      <c r="E59" s="86">
        <v>18948.6</v>
      </c>
      <c r="F59" s="86"/>
      <c r="G59" s="89">
        <v>109724.39999999998</v>
      </c>
      <c r="H59" s="87">
        <f t="shared" si="22"/>
        <v>0.9999999999999999</v>
      </c>
      <c r="I59" s="89">
        <f t="shared" si="23"/>
        <v>0</v>
      </c>
      <c r="J59" s="216"/>
      <c r="K59" s="209"/>
      <c r="L59" s="141"/>
      <c r="M59" s="141">
        <f t="shared" si="18"/>
        <v>30103</v>
      </c>
      <c r="N59" s="141">
        <f t="shared" si="6"/>
        <v>35654</v>
      </c>
      <c r="O59" s="141">
        <f t="shared" si="21"/>
        <v>23996</v>
      </c>
      <c r="P59" s="141">
        <f t="shared" si="8"/>
        <v>18091</v>
      </c>
      <c r="Q59" s="141">
        <f t="shared" si="9"/>
        <v>12045</v>
      </c>
      <c r="R59" s="145"/>
      <c r="S59" s="141"/>
      <c r="T59" s="141"/>
      <c r="U59" s="141"/>
      <c r="V59" s="141">
        <v>10519.13</v>
      </c>
      <c r="W59" s="141"/>
      <c r="X59" s="141">
        <f t="shared" si="11"/>
        <v>10519.13</v>
      </c>
      <c r="Y59" s="145"/>
      <c r="Z59" s="141"/>
      <c r="AA59" s="141"/>
      <c r="AB59" s="141">
        <v>10454</v>
      </c>
      <c r="AC59" s="141"/>
      <c r="AD59" s="141">
        <f t="shared" si="12"/>
        <v>10454</v>
      </c>
      <c r="AE59" s="141"/>
      <c r="AF59" s="141"/>
      <c r="AG59" s="141">
        <v>15621</v>
      </c>
      <c r="AH59" s="141"/>
      <c r="AI59" s="149">
        <f t="shared" si="13"/>
        <v>15621</v>
      </c>
      <c r="AJ59" s="141"/>
      <c r="AK59" s="141"/>
      <c r="AL59" s="141">
        <v>19553</v>
      </c>
      <c r="AM59" s="141"/>
      <c r="AN59" s="149">
        <f t="shared" si="25"/>
        <v>19553</v>
      </c>
      <c r="AO59" s="145"/>
      <c r="AP59" s="141"/>
      <c r="AQ59" s="141"/>
      <c r="AR59" s="141">
        <v>27741</v>
      </c>
      <c r="AS59" s="141">
        <v>1190</v>
      </c>
      <c r="AT59" s="149">
        <f t="shared" si="26"/>
        <v>28931</v>
      </c>
      <c r="AU59" s="145"/>
      <c r="AV59" s="141"/>
      <c r="AW59" s="141"/>
      <c r="AX59" s="141">
        <v>30103</v>
      </c>
      <c r="AY59" s="141"/>
      <c r="AZ59" s="149">
        <f t="shared" si="27"/>
        <v>30103</v>
      </c>
      <c r="BA59" s="145"/>
      <c r="BB59" s="141"/>
      <c r="BC59" s="141"/>
      <c r="BD59" s="141">
        <f>36844-1190</f>
        <v>35654</v>
      </c>
      <c r="BE59" s="141"/>
      <c r="BF59" s="149">
        <f t="shared" si="28"/>
        <v>35654</v>
      </c>
      <c r="BG59" s="145"/>
      <c r="BH59" s="141"/>
      <c r="BI59" s="141"/>
      <c r="BJ59" s="141">
        <v>23996</v>
      </c>
      <c r="BK59" s="141"/>
      <c r="BL59" s="149">
        <f t="shared" si="29"/>
        <v>23996</v>
      </c>
      <c r="BM59" s="145"/>
      <c r="BN59" s="141"/>
      <c r="BO59" s="141"/>
      <c r="BP59" s="141">
        <v>18091</v>
      </c>
      <c r="BQ59" s="141"/>
      <c r="BR59" s="149">
        <f t="shared" si="30"/>
        <v>18091</v>
      </c>
      <c r="BS59" s="145"/>
      <c r="BT59" s="141"/>
      <c r="BU59" s="141"/>
      <c r="BV59" s="141">
        <v>12045</v>
      </c>
      <c r="BW59" s="141"/>
      <c r="BX59" s="149">
        <f t="shared" si="31"/>
        <v>12045</v>
      </c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39"/>
      <c r="CL59" s="139"/>
    </row>
    <row r="60" spans="1:90" s="78" customFormat="1" ht="24.75" customHeight="1">
      <c r="A60" s="166">
        <v>32301</v>
      </c>
      <c r="B60" s="164" t="s">
        <v>134</v>
      </c>
      <c r="C60" s="85">
        <v>95125</v>
      </c>
      <c r="D60" s="85">
        <v>54235.99</v>
      </c>
      <c r="E60" s="86">
        <v>13651.86</v>
      </c>
      <c r="F60" s="86"/>
      <c r="G60" s="89">
        <v>54235.990000000005</v>
      </c>
      <c r="H60" s="87">
        <f t="shared" si="22"/>
        <v>1.0000000000000002</v>
      </c>
      <c r="I60" s="89">
        <f t="shared" si="23"/>
        <v>0</v>
      </c>
      <c r="J60" s="216"/>
      <c r="K60" s="209"/>
      <c r="L60" s="141"/>
      <c r="M60" s="141">
        <f t="shared" si="18"/>
        <v>1677</v>
      </c>
      <c r="N60" s="141">
        <f t="shared" si="6"/>
        <v>1170</v>
      </c>
      <c r="O60" s="141">
        <f t="shared" si="21"/>
        <v>0</v>
      </c>
      <c r="P60" s="141">
        <f t="shared" si="8"/>
        <v>2087</v>
      </c>
      <c r="Q60" s="141">
        <f t="shared" si="9"/>
        <v>1023</v>
      </c>
      <c r="R60" s="145"/>
      <c r="S60" s="145"/>
      <c r="T60" s="141"/>
      <c r="U60" s="141"/>
      <c r="V60" s="141">
        <v>1552</v>
      </c>
      <c r="W60" s="141">
        <v>823</v>
      </c>
      <c r="X60" s="141">
        <f t="shared" si="11"/>
        <v>2375</v>
      </c>
      <c r="Y60" s="145"/>
      <c r="Z60" s="141"/>
      <c r="AA60" s="141"/>
      <c r="AB60" s="141">
        <v>3210.28</v>
      </c>
      <c r="AC60" s="141"/>
      <c r="AD60" s="141">
        <f t="shared" si="12"/>
        <v>3210.28</v>
      </c>
      <c r="AE60" s="141"/>
      <c r="AF60" s="141"/>
      <c r="AG60" s="141">
        <v>2218</v>
      </c>
      <c r="AH60" s="141"/>
      <c r="AI60" s="149">
        <f t="shared" si="13"/>
        <v>2218</v>
      </c>
      <c r="AJ60" s="141"/>
      <c r="AK60" s="141"/>
      <c r="AL60" s="141">
        <v>1174</v>
      </c>
      <c r="AM60" s="141"/>
      <c r="AN60" s="149">
        <f t="shared" si="25"/>
        <v>1174</v>
      </c>
      <c r="AO60" s="145"/>
      <c r="AP60" s="141"/>
      <c r="AQ60" s="141"/>
      <c r="AR60" s="141"/>
      <c r="AS60" s="141"/>
      <c r="AT60" s="149">
        <f t="shared" si="26"/>
        <v>0</v>
      </c>
      <c r="AU60" s="145"/>
      <c r="AV60" s="141"/>
      <c r="AW60" s="141"/>
      <c r="AX60" s="141">
        <v>1677</v>
      </c>
      <c r="AY60" s="141"/>
      <c r="AZ60" s="149">
        <f t="shared" si="27"/>
        <v>1677</v>
      </c>
      <c r="BA60" s="145"/>
      <c r="BB60" s="141"/>
      <c r="BC60" s="141"/>
      <c r="BD60" s="141">
        <v>1170</v>
      </c>
      <c r="BE60" s="141"/>
      <c r="BF60" s="149">
        <f t="shared" si="28"/>
        <v>1170</v>
      </c>
      <c r="BG60" s="145"/>
      <c r="BH60" s="141"/>
      <c r="BI60" s="141"/>
      <c r="BJ60" s="141"/>
      <c r="BK60" s="141"/>
      <c r="BL60" s="149">
        <f t="shared" si="29"/>
        <v>0</v>
      </c>
      <c r="BM60" s="145"/>
      <c r="BN60" s="141"/>
      <c r="BO60" s="141"/>
      <c r="BP60" s="141">
        <v>2087</v>
      </c>
      <c r="BQ60" s="141"/>
      <c r="BR60" s="149">
        <f t="shared" si="30"/>
        <v>2087</v>
      </c>
      <c r="BS60" s="145"/>
      <c r="BT60" s="141"/>
      <c r="BU60" s="141"/>
      <c r="BV60" s="141">
        <v>1023</v>
      </c>
      <c r="BW60" s="141"/>
      <c r="BX60" s="149">
        <f t="shared" si="31"/>
        <v>1023</v>
      </c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39"/>
      <c r="CL60" s="139"/>
    </row>
    <row r="61" spans="1:90" s="78" customFormat="1" ht="15" customHeight="1">
      <c r="A61" s="166">
        <v>32501</v>
      </c>
      <c r="B61" s="164" t="s">
        <v>135</v>
      </c>
      <c r="C61" s="85">
        <v>18500</v>
      </c>
      <c r="D61" s="85">
        <v>0</v>
      </c>
      <c r="E61" s="86">
        <v>0</v>
      </c>
      <c r="F61" s="86"/>
      <c r="G61" s="89">
        <v>0</v>
      </c>
      <c r="H61" s="87">
        <v>0</v>
      </c>
      <c r="I61" s="89">
        <f t="shared" si="23"/>
        <v>0</v>
      </c>
      <c r="J61" s="216"/>
      <c r="K61" s="209"/>
      <c r="L61" s="141"/>
      <c r="M61" s="141">
        <f t="shared" si="18"/>
        <v>6316.2</v>
      </c>
      <c r="N61" s="141">
        <f t="shared" si="6"/>
        <v>6316.2</v>
      </c>
      <c r="O61" s="141">
        <f t="shared" si="21"/>
        <v>6316.2</v>
      </c>
      <c r="P61" s="141">
        <f t="shared" si="8"/>
        <v>6316.2</v>
      </c>
      <c r="Q61" s="141">
        <f t="shared" si="9"/>
        <v>6316.2</v>
      </c>
      <c r="R61" s="145"/>
      <c r="S61" s="145"/>
      <c r="T61" s="141"/>
      <c r="U61" s="141"/>
      <c r="V61" s="141">
        <v>28497.6</v>
      </c>
      <c r="W61" s="141"/>
      <c r="X61" s="141">
        <f t="shared" si="11"/>
        <v>28497.6</v>
      </c>
      <c r="Y61" s="145"/>
      <c r="Z61" s="141"/>
      <c r="AA61" s="141"/>
      <c r="AB61" s="141">
        <v>26135.61</v>
      </c>
      <c r="AC61" s="141"/>
      <c r="AD61" s="141">
        <f t="shared" si="12"/>
        <v>26135.61</v>
      </c>
      <c r="AE61" s="141"/>
      <c r="AF61" s="141"/>
      <c r="AG61" s="141">
        <v>6316.2</v>
      </c>
      <c r="AH61" s="141"/>
      <c r="AI61" s="149">
        <f t="shared" si="13"/>
        <v>6316.2</v>
      </c>
      <c r="AJ61" s="141"/>
      <c r="AK61" s="141"/>
      <c r="AL61" s="141">
        <v>6316.2</v>
      </c>
      <c r="AM61" s="141"/>
      <c r="AN61" s="149">
        <f t="shared" si="25"/>
        <v>6316.2</v>
      </c>
      <c r="AO61" s="145"/>
      <c r="AP61" s="141"/>
      <c r="AQ61" s="141"/>
      <c r="AR61" s="141"/>
      <c r="AS61" s="141"/>
      <c r="AT61" s="149">
        <f t="shared" si="26"/>
        <v>0</v>
      </c>
      <c r="AU61" s="145"/>
      <c r="AV61" s="141"/>
      <c r="AW61" s="141"/>
      <c r="AX61" s="141">
        <v>6316.2</v>
      </c>
      <c r="AY61" s="141"/>
      <c r="AZ61" s="149">
        <f t="shared" si="27"/>
        <v>6316.2</v>
      </c>
      <c r="BA61" s="145"/>
      <c r="BB61" s="141"/>
      <c r="BC61" s="141"/>
      <c r="BD61" s="141">
        <v>6316.2</v>
      </c>
      <c r="BE61" s="141"/>
      <c r="BF61" s="149">
        <f t="shared" si="28"/>
        <v>6316.2</v>
      </c>
      <c r="BG61" s="145"/>
      <c r="BH61" s="141"/>
      <c r="BI61" s="141"/>
      <c r="BJ61" s="141">
        <v>6316.2</v>
      </c>
      <c r="BK61" s="141"/>
      <c r="BL61" s="149">
        <f t="shared" si="29"/>
        <v>6316.2</v>
      </c>
      <c r="BM61" s="145"/>
      <c r="BN61" s="141"/>
      <c r="BO61" s="141"/>
      <c r="BP61" s="141">
        <v>6316.2</v>
      </c>
      <c r="BQ61" s="141"/>
      <c r="BR61" s="149">
        <f t="shared" si="30"/>
        <v>6316.2</v>
      </c>
      <c r="BS61" s="145"/>
      <c r="BT61" s="141"/>
      <c r="BU61" s="141"/>
      <c r="BV61" s="141">
        <v>6316.2</v>
      </c>
      <c r="BW61" s="141"/>
      <c r="BX61" s="149">
        <f t="shared" si="31"/>
        <v>6316.2</v>
      </c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39"/>
      <c r="CL61" s="139"/>
    </row>
    <row r="62" spans="1:90" s="78" customFormat="1" ht="15" customHeight="1">
      <c r="A62" s="163">
        <v>33201</v>
      </c>
      <c r="B62" s="164" t="s">
        <v>136</v>
      </c>
      <c r="C62" s="85">
        <v>700000</v>
      </c>
      <c r="D62" s="85">
        <v>688622.01</v>
      </c>
      <c r="E62" s="86">
        <v>188140.01</v>
      </c>
      <c r="F62" s="86"/>
      <c r="G62" s="89">
        <v>688622.01</v>
      </c>
      <c r="H62" s="87">
        <f t="shared" si="22"/>
        <v>1</v>
      </c>
      <c r="I62" s="89">
        <f t="shared" si="23"/>
        <v>0</v>
      </c>
      <c r="J62" s="216"/>
      <c r="K62" s="209"/>
      <c r="L62" s="141"/>
      <c r="M62" s="141">
        <f t="shared" si="18"/>
        <v>13524.64</v>
      </c>
      <c r="N62" s="141">
        <f t="shared" si="6"/>
        <v>5523.21</v>
      </c>
      <c r="O62" s="141">
        <f t="shared" si="21"/>
        <v>5974.59</v>
      </c>
      <c r="P62" s="141">
        <f t="shared" si="8"/>
        <v>7171.75</v>
      </c>
      <c r="Q62" s="141">
        <f t="shared" si="9"/>
        <v>8237.11</v>
      </c>
      <c r="R62" s="145"/>
      <c r="S62" s="145"/>
      <c r="T62" s="141"/>
      <c r="U62" s="141"/>
      <c r="V62" s="141">
        <v>16102.34</v>
      </c>
      <c r="W62" s="141"/>
      <c r="X62" s="141">
        <f t="shared" si="11"/>
        <v>16102.34</v>
      </c>
      <c r="Y62" s="145"/>
      <c r="Z62" s="141"/>
      <c r="AA62" s="141"/>
      <c r="AB62" s="141">
        <v>4202.81</v>
      </c>
      <c r="AC62" s="141">
        <v>4511.24</v>
      </c>
      <c r="AD62" s="141">
        <f t="shared" si="12"/>
        <v>8714.05</v>
      </c>
      <c r="AE62" s="141"/>
      <c r="AF62" s="141"/>
      <c r="AG62" s="141">
        <v>6236.21</v>
      </c>
      <c r="AH62" s="141"/>
      <c r="AI62" s="149">
        <f t="shared" si="13"/>
        <v>6236.21</v>
      </c>
      <c r="AJ62" s="141"/>
      <c r="AK62" s="141"/>
      <c r="AL62" s="141">
        <v>12665.91</v>
      </c>
      <c r="AM62" s="141"/>
      <c r="AN62" s="149">
        <f t="shared" si="25"/>
        <v>12665.91</v>
      </c>
      <c r="AO62" s="145"/>
      <c r="AP62" s="141"/>
      <c r="AQ62" s="141"/>
      <c r="AR62" s="141">
        <v>5362.32</v>
      </c>
      <c r="AS62" s="141"/>
      <c r="AT62" s="149">
        <f t="shared" si="26"/>
        <v>5362.32</v>
      </c>
      <c r="AU62" s="145"/>
      <c r="AV62" s="141"/>
      <c r="AW62" s="141"/>
      <c r="AX62" s="141">
        <v>13524.64</v>
      </c>
      <c r="AY62" s="141"/>
      <c r="AZ62" s="149">
        <f t="shared" si="27"/>
        <v>13524.64</v>
      </c>
      <c r="BA62" s="145"/>
      <c r="BB62" s="141"/>
      <c r="BC62" s="141"/>
      <c r="BD62" s="141">
        <v>5523.21</v>
      </c>
      <c r="BE62" s="141"/>
      <c r="BF62" s="149">
        <f t="shared" si="28"/>
        <v>5523.21</v>
      </c>
      <c r="BG62" s="145"/>
      <c r="BH62" s="141"/>
      <c r="BI62" s="141"/>
      <c r="BJ62" s="141">
        <v>5974.59</v>
      </c>
      <c r="BK62" s="141"/>
      <c r="BL62" s="149">
        <f t="shared" si="29"/>
        <v>5974.59</v>
      </c>
      <c r="BM62" s="145"/>
      <c r="BN62" s="141"/>
      <c r="BO62" s="141"/>
      <c r="BP62" s="141">
        <v>7171.75</v>
      </c>
      <c r="BQ62" s="141"/>
      <c r="BR62" s="149">
        <f t="shared" si="30"/>
        <v>7171.75</v>
      </c>
      <c r="BS62" s="145"/>
      <c r="BT62" s="141"/>
      <c r="BU62" s="141"/>
      <c r="BV62" s="141">
        <v>8237.11</v>
      </c>
      <c r="BW62" s="141"/>
      <c r="BX62" s="149">
        <f t="shared" si="31"/>
        <v>8237.11</v>
      </c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39"/>
      <c r="CL62" s="139"/>
    </row>
    <row r="63" spans="1:90" s="78" customFormat="1" ht="15" customHeight="1">
      <c r="A63" s="166">
        <v>33301</v>
      </c>
      <c r="B63" s="164" t="s">
        <v>137</v>
      </c>
      <c r="C63" s="85">
        <v>18375</v>
      </c>
      <c r="D63" s="85">
        <v>812</v>
      </c>
      <c r="E63" s="86">
        <v>0</v>
      </c>
      <c r="F63" s="86"/>
      <c r="G63" s="89">
        <v>812</v>
      </c>
      <c r="H63" s="87">
        <f t="shared" si="22"/>
        <v>1</v>
      </c>
      <c r="I63" s="89">
        <f t="shared" si="23"/>
        <v>0</v>
      </c>
      <c r="J63" s="216"/>
      <c r="K63" s="209"/>
      <c r="L63" s="141"/>
      <c r="M63" s="141">
        <f t="shared" si="18"/>
        <v>0</v>
      </c>
      <c r="N63" s="141">
        <f t="shared" si="6"/>
        <v>1243.8</v>
      </c>
      <c r="O63" s="141">
        <f t="shared" si="21"/>
        <v>0</v>
      </c>
      <c r="P63" s="141">
        <f t="shared" si="8"/>
        <v>0</v>
      </c>
      <c r="Q63" s="141">
        <f t="shared" si="9"/>
        <v>0</v>
      </c>
      <c r="R63" s="145"/>
      <c r="S63" s="145"/>
      <c r="T63" s="141"/>
      <c r="U63" s="141"/>
      <c r="V63" s="141"/>
      <c r="W63" s="141"/>
      <c r="X63" s="141">
        <f t="shared" si="11"/>
        <v>0</v>
      </c>
      <c r="Y63" s="145"/>
      <c r="Z63" s="141"/>
      <c r="AA63" s="141"/>
      <c r="AB63" s="141"/>
      <c r="AC63" s="141"/>
      <c r="AD63" s="141">
        <f t="shared" si="12"/>
        <v>0</v>
      </c>
      <c r="AE63" s="141"/>
      <c r="AF63" s="141"/>
      <c r="AG63" s="141"/>
      <c r="AH63" s="141"/>
      <c r="AI63" s="149">
        <f t="shared" si="13"/>
        <v>0</v>
      </c>
      <c r="AJ63" s="141"/>
      <c r="AK63" s="141"/>
      <c r="AL63" s="141"/>
      <c r="AM63" s="141"/>
      <c r="AN63" s="149">
        <f t="shared" si="25"/>
        <v>0</v>
      </c>
      <c r="AO63" s="145"/>
      <c r="AP63" s="141"/>
      <c r="AQ63" s="141"/>
      <c r="AR63" s="141">
        <v>5009.44</v>
      </c>
      <c r="AS63" s="141"/>
      <c r="AT63" s="149">
        <f t="shared" si="26"/>
        <v>5009.44</v>
      </c>
      <c r="AU63" s="145"/>
      <c r="AV63" s="141"/>
      <c r="AW63" s="141"/>
      <c r="AX63" s="141"/>
      <c r="AY63" s="141"/>
      <c r="AZ63" s="149">
        <f t="shared" si="27"/>
        <v>0</v>
      </c>
      <c r="BA63" s="145"/>
      <c r="BB63" s="141">
        <v>1154.8</v>
      </c>
      <c r="BC63" s="141">
        <v>89</v>
      </c>
      <c r="BD63" s="141"/>
      <c r="BE63" s="141"/>
      <c r="BF63" s="149">
        <f t="shared" si="28"/>
        <v>1243.8</v>
      </c>
      <c r="BG63" s="145"/>
      <c r="BH63" s="141"/>
      <c r="BI63" s="141"/>
      <c r="BJ63" s="141"/>
      <c r="BK63" s="141"/>
      <c r="BL63" s="149">
        <f t="shared" si="29"/>
        <v>0</v>
      </c>
      <c r="BM63" s="145"/>
      <c r="BN63" s="141"/>
      <c r="BO63" s="141"/>
      <c r="BP63" s="141"/>
      <c r="BQ63" s="141"/>
      <c r="BR63" s="149">
        <f t="shared" si="30"/>
        <v>0</v>
      </c>
      <c r="BS63" s="145"/>
      <c r="BT63" s="141"/>
      <c r="BU63" s="141"/>
      <c r="BV63" s="141"/>
      <c r="BW63" s="141"/>
      <c r="BX63" s="149">
        <f t="shared" si="31"/>
        <v>0</v>
      </c>
      <c r="BY63" s="139"/>
      <c r="BZ63" s="139"/>
      <c r="CA63" s="139"/>
      <c r="CB63" s="139"/>
      <c r="CC63" s="139"/>
      <c r="CD63" s="139"/>
      <c r="CE63" s="139"/>
      <c r="CF63" s="139"/>
      <c r="CG63" s="139"/>
      <c r="CH63" s="139"/>
      <c r="CI63" s="139"/>
      <c r="CJ63" s="139"/>
      <c r="CK63" s="139"/>
      <c r="CL63" s="139"/>
    </row>
    <row r="64" spans="1:90" s="78" customFormat="1" ht="15" customHeight="1">
      <c r="A64" s="163">
        <v>34101</v>
      </c>
      <c r="B64" s="164" t="s">
        <v>138</v>
      </c>
      <c r="C64" s="85">
        <v>78064.2</v>
      </c>
      <c r="D64" s="85">
        <v>65799.41</v>
      </c>
      <c r="E64" s="86">
        <v>10884.32</v>
      </c>
      <c r="F64" s="86"/>
      <c r="G64" s="89">
        <v>65799.40999999999</v>
      </c>
      <c r="H64" s="87">
        <f t="shared" si="22"/>
        <v>0.9999999999999998</v>
      </c>
      <c r="I64" s="89">
        <f t="shared" si="23"/>
        <v>0</v>
      </c>
      <c r="J64" s="216"/>
      <c r="K64" s="209"/>
      <c r="L64" s="141"/>
      <c r="M64" s="141">
        <f t="shared" si="18"/>
        <v>124149</v>
      </c>
      <c r="N64" s="141">
        <f t="shared" si="6"/>
        <v>108822</v>
      </c>
      <c r="O64" s="141">
        <f t="shared" si="21"/>
        <v>89030</v>
      </c>
      <c r="P64" s="141">
        <f t="shared" si="8"/>
        <v>82070</v>
      </c>
      <c r="Q64" s="141">
        <f t="shared" si="9"/>
        <v>25811.34</v>
      </c>
      <c r="R64" s="145"/>
      <c r="S64" s="145"/>
      <c r="T64" s="141"/>
      <c r="U64" s="141">
        <v>187920</v>
      </c>
      <c r="V64" s="141">
        <v>7482</v>
      </c>
      <c r="W64" s="141"/>
      <c r="X64" s="141">
        <f t="shared" si="11"/>
        <v>195402</v>
      </c>
      <c r="Y64" s="145"/>
      <c r="Z64" s="141"/>
      <c r="AA64" s="141">
        <v>46980</v>
      </c>
      <c r="AB64" s="141">
        <v>16704</v>
      </c>
      <c r="AC64" s="141"/>
      <c r="AD64" s="141">
        <f t="shared" si="12"/>
        <v>63684</v>
      </c>
      <c r="AE64" s="141"/>
      <c r="AF64" s="141">
        <v>82070</v>
      </c>
      <c r="AG64" s="141">
        <v>59682</v>
      </c>
      <c r="AH64" s="141"/>
      <c r="AI64" s="149">
        <f t="shared" si="13"/>
        <v>141752</v>
      </c>
      <c r="AJ64" s="141"/>
      <c r="AK64" s="141">
        <v>82070</v>
      </c>
      <c r="AL64" s="141">
        <v>19140</v>
      </c>
      <c r="AM64" s="141"/>
      <c r="AN64" s="149">
        <f t="shared" si="25"/>
        <v>101210</v>
      </c>
      <c r="AO64" s="145"/>
      <c r="AP64" s="141"/>
      <c r="AQ64" s="141">
        <v>66033</v>
      </c>
      <c r="AR64" s="141">
        <v>6960</v>
      </c>
      <c r="AS64" s="141"/>
      <c r="AT64" s="149">
        <f t="shared" si="26"/>
        <v>72993</v>
      </c>
      <c r="AU64" s="145"/>
      <c r="AV64" s="141"/>
      <c r="AW64" s="141">
        <v>123105</v>
      </c>
      <c r="AX64" s="141">
        <v>1044</v>
      </c>
      <c r="AY64" s="141"/>
      <c r="AZ64" s="149">
        <f t="shared" si="27"/>
        <v>124149</v>
      </c>
      <c r="BA64" s="145"/>
      <c r="BB64" s="141">
        <v>1000</v>
      </c>
      <c r="BC64" s="141">
        <v>5568</v>
      </c>
      <c r="BD64" s="141">
        <v>20184</v>
      </c>
      <c r="BE64" s="141">
        <v>82070</v>
      </c>
      <c r="BF64" s="149">
        <f t="shared" si="28"/>
        <v>108822</v>
      </c>
      <c r="BG64" s="145"/>
      <c r="BH64" s="141"/>
      <c r="BI64" s="141"/>
      <c r="BJ64" s="141">
        <v>6960</v>
      </c>
      <c r="BK64" s="141">
        <v>82070</v>
      </c>
      <c r="BL64" s="149">
        <f t="shared" si="29"/>
        <v>89030</v>
      </c>
      <c r="BM64" s="145"/>
      <c r="BN64" s="141"/>
      <c r="BO64" s="141"/>
      <c r="BP64" s="141"/>
      <c r="BQ64" s="141">
        <v>82070</v>
      </c>
      <c r="BR64" s="149">
        <f t="shared" si="30"/>
        <v>82070</v>
      </c>
      <c r="BS64" s="145"/>
      <c r="BT64" s="141"/>
      <c r="BU64" s="141"/>
      <c r="BV64" s="141">
        <v>10151.34</v>
      </c>
      <c r="BW64" s="141">
        <v>15660</v>
      </c>
      <c r="BX64" s="149">
        <f t="shared" si="31"/>
        <v>25811.34</v>
      </c>
      <c r="BY64" s="139"/>
      <c r="BZ64" s="139"/>
      <c r="CA64" s="139"/>
      <c r="CB64" s="139"/>
      <c r="CC64" s="139"/>
      <c r="CD64" s="139"/>
      <c r="CE64" s="139"/>
      <c r="CF64" s="139"/>
      <c r="CG64" s="139"/>
      <c r="CH64" s="139"/>
      <c r="CI64" s="139"/>
      <c r="CJ64" s="139"/>
      <c r="CK64" s="139"/>
      <c r="CL64" s="139"/>
    </row>
    <row r="65" spans="1:90" s="78" customFormat="1" ht="15" customHeight="1">
      <c r="A65" s="163">
        <v>34501</v>
      </c>
      <c r="B65" s="164" t="s">
        <v>139</v>
      </c>
      <c r="C65" s="85">
        <v>343250</v>
      </c>
      <c r="D65" s="85">
        <v>219173.77</v>
      </c>
      <c r="E65" s="86">
        <v>0</v>
      </c>
      <c r="F65" s="86"/>
      <c r="G65" s="89">
        <v>219173.77000000002</v>
      </c>
      <c r="H65" s="87">
        <f t="shared" si="22"/>
        <v>1.0000000000000002</v>
      </c>
      <c r="I65" s="89">
        <f t="shared" si="23"/>
        <v>0</v>
      </c>
      <c r="J65" s="216"/>
      <c r="K65" s="209"/>
      <c r="L65" s="141"/>
      <c r="M65" s="141">
        <f t="shared" si="18"/>
        <v>0</v>
      </c>
      <c r="N65" s="141">
        <f t="shared" si="6"/>
        <v>0</v>
      </c>
      <c r="O65" s="141">
        <f t="shared" si="21"/>
        <v>0</v>
      </c>
      <c r="P65" s="141">
        <f t="shared" si="8"/>
        <v>0</v>
      </c>
      <c r="Q65" s="141">
        <f t="shared" si="9"/>
        <v>0</v>
      </c>
      <c r="R65" s="145"/>
      <c r="S65" s="145"/>
      <c r="T65" s="141"/>
      <c r="U65" s="141"/>
      <c r="V65" s="141"/>
      <c r="W65" s="141"/>
      <c r="X65" s="141">
        <f t="shared" si="11"/>
        <v>0</v>
      </c>
      <c r="Y65" s="145"/>
      <c r="Z65" s="141"/>
      <c r="AA65" s="141"/>
      <c r="AB65" s="141"/>
      <c r="AC65" s="141"/>
      <c r="AD65" s="141">
        <f t="shared" si="12"/>
        <v>0</v>
      </c>
      <c r="AE65" s="141"/>
      <c r="AF65" s="141"/>
      <c r="AG65" s="141"/>
      <c r="AH65" s="141"/>
      <c r="AI65" s="149">
        <f t="shared" si="13"/>
        <v>0</v>
      </c>
      <c r="AJ65" s="141"/>
      <c r="AK65" s="141"/>
      <c r="AL65" s="141"/>
      <c r="AM65" s="141"/>
      <c r="AN65" s="149">
        <f t="shared" si="25"/>
        <v>0</v>
      </c>
      <c r="AO65" s="145"/>
      <c r="AP65" s="141"/>
      <c r="AQ65" s="141"/>
      <c r="AR65" s="141"/>
      <c r="AS65" s="141"/>
      <c r="AT65" s="149">
        <f t="shared" si="26"/>
        <v>0</v>
      </c>
      <c r="AU65" s="145"/>
      <c r="AV65" s="141"/>
      <c r="AW65" s="141"/>
      <c r="AX65" s="141"/>
      <c r="AY65" s="141"/>
      <c r="AZ65" s="149">
        <f t="shared" si="27"/>
        <v>0</v>
      </c>
      <c r="BA65" s="145"/>
      <c r="BB65" s="141"/>
      <c r="BC65" s="141"/>
      <c r="BD65" s="141"/>
      <c r="BE65" s="141"/>
      <c r="BF65" s="149">
        <f t="shared" si="28"/>
        <v>0</v>
      </c>
      <c r="BG65" s="145"/>
      <c r="BH65" s="141"/>
      <c r="BI65" s="141"/>
      <c r="BJ65" s="141"/>
      <c r="BK65" s="141"/>
      <c r="BL65" s="149">
        <f t="shared" si="29"/>
        <v>0</v>
      </c>
      <c r="BM65" s="145"/>
      <c r="BN65" s="141"/>
      <c r="BO65" s="141"/>
      <c r="BP65" s="141"/>
      <c r="BQ65" s="141"/>
      <c r="BR65" s="149">
        <f t="shared" si="30"/>
        <v>0</v>
      </c>
      <c r="BS65" s="145"/>
      <c r="BT65" s="141"/>
      <c r="BU65" s="141"/>
      <c r="BV65" s="141"/>
      <c r="BW65" s="141"/>
      <c r="BX65" s="149">
        <f t="shared" si="31"/>
        <v>0</v>
      </c>
      <c r="BY65" s="139"/>
      <c r="BZ65" s="139"/>
      <c r="CA65" s="139"/>
      <c r="CB65" s="139"/>
      <c r="CC65" s="139"/>
      <c r="CD65" s="139"/>
      <c r="CE65" s="139"/>
      <c r="CF65" s="139"/>
      <c r="CG65" s="139"/>
      <c r="CH65" s="139"/>
      <c r="CI65" s="139"/>
      <c r="CJ65" s="139"/>
      <c r="CK65" s="139"/>
      <c r="CL65" s="139"/>
    </row>
    <row r="66" spans="1:90" s="78" customFormat="1" ht="15" customHeight="1">
      <c r="A66" s="163">
        <v>39201</v>
      </c>
      <c r="B66" s="164" t="s">
        <v>140</v>
      </c>
      <c r="C66" s="85">
        <v>18500</v>
      </c>
      <c r="D66" s="85">
        <v>0</v>
      </c>
      <c r="E66" s="86">
        <v>0</v>
      </c>
      <c r="F66" s="86"/>
      <c r="G66" s="89">
        <v>0</v>
      </c>
      <c r="H66" s="87">
        <v>0</v>
      </c>
      <c r="I66" s="89">
        <f t="shared" si="23"/>
        <v>0</v>
      </c>
      <c r="J66" s="216"/>
      <c r="K66" s="209"/>
      <c r="L66" s="141"/>
      <c r="M66" s="141">
        <f t="shared" si="18"/>
        <v>9493.44</v>
      </c>
      <c r="N66" s="141">
        <f t="shared" si="6"/>
        <v>3379.66</v>
      </c>
      <c r="O66" s="141">
        <f t="shared" si="21"/>
        <v>3404.6</v>
      </c>
      <c r="P66" s="141">
        <f t="shared" si="8"/>
        <v>4020.56</v>
      </c>
      <c r="Q66" s="141">
        <f t="shared" si="9"/>
        <v>3209.72</v>
      </c>
      <c r="R66" s="145"/>
      <c r="S66" s="145"/>
      <c r="T66" s="141"/>
      <c r="U66" s="141"/>
      <c r="V66" s="141">
        <v>18075.22</v>
      </c>
      <c r="W66" s="141"/>
      <c r="X66" s="141">
        <f t="shared" si="11"/>
        <v>18075.22</v>
      </c>
      <c r="Y66" s="145"/>
      <c r="Z66" s="141"/>
      <c r="AA66" s="141"/>
      <c r="AB66" s="141">
        <v>4970.44</v>
      </c>
      <c r="AC66" s="141"/>
      <c r="AD66" s="141">
        <f t="shared" si="12"/>
        <v>4970.44</v>
      </c>
      <c r="AE66" s="141"/>
      <c r="AF66" s="141"/>
      <c r="AG66" s="141">
        <v>2004.48</v>
      </c>
      <c r="AH66" s="141"/>
      <c r="AI66" s="149">
        <f t="shared" si="13"/>
        <v>2004.48</v>
      </c>
      <c r="AJ66" s="141"/>
      <c r="AK66" s="141"/>
      <c r="AL66" s="141">
        <v>4784.2</v>
      </c>
      <c r="AM66" s="141"/>
      <c r="AN66" s="149">
        <f t="shared" si="25"/>
        <v>4784.2</v>
      </c>
      <c r="AO66" s="145"/>
      <c r="AP66" s="141"/>
      <c r="AQ66" s="141"/>
      <c r="AR66" s="141">
        <v>18547.94</v>
      </c>
      <c r="AS66" s="141"/>
      <c r="AT66" s="149">
        <f t="shared" si="26"/>
        <v>18547.94</v>
      </c>
      <c r="AU66" s="145"/>
      <c r="AV66" s="141"/>
      <c r="AW66" s="141"/>
      <c r="AX66" s="141">
        <v>9493.44</v>
      </c>
      <c r="AY66" s="141"/>
      <c r="AZ66" s="149">
        <f t="shared" si="27"/>
        <v>9493.44</v>
      </c>
      <c r="BA66" s="145"/>
      <c r="BB66" s="141"/>
      <c r="BC66" s="141"/>
      <c r="BD66" s="141">
        <v>3379.66</v>
      </c>
      <c r="BE66" s="141"/>
      <c r="BF66" s="149">
        <f t="shared" si="28"/>
        <v>3379.66</v>
      </c>
      <c r="BG66" s="145"/>
      <c r="BH66" s="141"/>
      <c r="BI66" s="141"/>
      <c r="BJ66" s="141">
        <v>3404.6</v>
      </c>
      <c r="BK66" s="141"/>
      <c r="BL66" s="149">
        <f t="shared" si="29"/>
        <v>3404.6</v>
      </c>
      <c r="BM66" s="145"/>
      <c r="BN66" s="141"/>
      <c r="BO66" s="141"/>
      <c r="BP66" s="141">
        <v>4020.56</v>
      </c>
      <c r="BQ66" s="141"/>
      <c r="BR66" s="149">
        <f t="shared" si="30"/>
        <v>4020.56</v>
      </c>
      <c r="BS66" s="145"/>
      <c r="BT66" s="141"/>
      <c r="BU66" s="141"/>
      <c r="BV66" s="141">
        <v>3209.72</v>
      </c>
      <c r="BW66" s="141"/>
      <c r="BX66" s="149">
        <f t="shared" si="31"/>
        <v>3209.72</v>
      </c>
      <c r="BY66" s="139"/>
      <c r="BZ66" s="139"/>
      <c r="CA66" s="139"/>
      <c r="CB66" s="139"/>
      <c r="CC66" s="139"/>
      <c r="CD66" s="139"/>
      <c r="CE66" s="139"/>
      <c r="CF66" s="139"/>
      <c r="CG66" s="139"/>
      <c r="CH66" s="139"/>
      <c r="CI66" s="139"/>
      <c r="CJ66" s="139"/>
      <c r="CK66" s="139"/>
      <c r="CL66" s="139"/>
    </row>
    <row r="67" spans="1:90" s="78" customFormat="1" ht="15" customHeight="1">
      <c r="A67" s="166">
        <v>33801</v>
      </c>
      <c r="B67" s="164" t="s">
        <v>141</v>
      </c>
      <c r="C67" s="85">
        <v>500000</v>
      </c>
      <c r="D67" s="85">
        <v>318149.98</v>
      </c>
      <c r="E67" s="86">
        <v>49145.979999999996</v>
      </c>
      <c r="F67" s="86"/>
      <c r="G67" s="89">
        <v>318149.98</v>
      </c>
      <c r="H67" s="87">
        <f t="shared" si="22"/>
        <v>1</v>
      </c>
      <c r="I67" s="89">
        <f t="shared" si="23"/>
        <v>0</v>
      </c>
      <c r="J67" s="216"/>
      <c r="K67" s="209"/>
      <c r="L67" s="141"/>
      <c r="M67" s="141">
        <f t="shared" si="18"/>
        <v>0</v>
      </c>
      <c r="N67" s="141">
        <f t="shared" si="6"/>
        <v>3845.71</v>
      </c>
      <c r="O67" s="141">
        <f t="shared" si="21"/>
        <v>25723</v>
      </c>
      <c r="P67" s="141">
        <f t="shared" si="8"/>
        <v>10128</v>
      </c>
      <c r="Q67" s="141">
        <f t="shared" si="9"/>
        <v>14684</v>
      </c>
      <c r="R67" s="145"/>
      <c r="S67" s="145"/>
      <c r="T67" s="141"/>
      <c r="U67" s="141"/>
      <c r="V67" s="141">
        <v>110760.36</v>
      </c>
      <c r="W67" s="141"/>
      <c r="X67" s="141">
        <f t="shared" si="11"/>
        <v>110760.36</v>
      </c>
      <c r="Y67" s="145"/>
      <c r="Z67" s="141"/>
      <c r="AA67" s="141"/>
      <c r="AB67" s="141">
        <f>342172.76-284177.86</f>
        <v>57994.90000000002</v>
      </c>
      <c r="AC67" s="141"/>
      <c r="AD67" s="141">
        <f t="shared" si="12"/>
        <v>57994.90000000002</v>
      </c>
      <c r="AE67" s="141"/>
      <c r="AF67" s="141"/>
      <c r="AG67" s="141">
        <v>118483.96</v>
      </c>
      <c r="AH67" s="141"/>
      <c r="AI67" s="149">
        <f t="shared" si="13"/>
        <v>118483.96</v>
      </c>
      <c r="AJ67" s="141"/>
      <c r="AK67" s="141"/>
      <c r="AL67" s="141">
        <v>35700</v>
      </c>
      <c r="AM67" s="141"/>
      <c r="AN67" s="149">
        <f t="shared" si="25"/>
        <v>35700</v>
      </c>
      <c r="AO67" s="145"/>
      <c r="AP67" s="141">
        <v>5509.51</v>
      </c>
      <c r="AQ67" s="141"/>
      <c r="AR67" s="141">
        <v>13009.32</v>
      </c>
      <c r="AS67" s="141"/>
      <c r="AT67" s="149">
        <f t="shared" si="26"/>
        <v>18518.83</v>
      </c>
      <c r="AU67" s="145"/>
      <c r="AV67" s="141"/>
      <c r="AW67" s="141"/>
      <c r="AX67" s="141"/>
      <c r="AY67" s="141"/>
      <c r="AZ67" s="149">
        <f t="shared" si="27"/>
        <v>0</v>
      </c>
      <c r="BA67" s="145"/>
      <c r="BB67" s="141"/>
      <c r="BC67" s="141">
        <v>3845.71</v>
      </c>
      <c r="BD67" s="141"/>
      <c r="BE67" s="141"/>
      <c r="BF67" s="149">
        <f t="shared" si="28"/>
        <v>3845.71</v>
      </c>
      <c r="BG67" s="145"/>
      <c r="BH67" s="141"/>
      <c r="BI67" s="141"/>
      <c r="BJ67" s="141">
        <v>25723</v>
      </c>
      <c r="BK67" s="141"/>
      <c r="BL67" s="149">
        <f t="shared" si="29"/>
        <v>25723</v>
      </c>
      <c r="BM67" s="145"/>
      <c r="BN67" s="141"/>
      <c r="BO67" s="141"/>
      <c r="BP67" s="141">
        <v>10128</v>
      </c>
      <c r="BQ67" s="141"/>
      <c r="BR67" s="149">
        <f t="shared" si="30"/>
        <v>10128</v>
      </c>
      <c r="BS67" s="145"/>
      <c r="BT67" s="141"/>
      <c r="BU67" s="141"/>
      <c r="BV67" s="141">
        <v>14684</v>
      </c>
      <c r="BW67" s="141"/>
      <c r="BX67" s="149">
        <f t="shared" si="31"/>
        <v>14684</v>
      </c>
      <c r="BY67" s="139"/>
      <c r="BZ67" s="139"/>
      <c r="CA67" s="139"/>
      <c r="CB67" s="139"/>
      <c r="CC67" s="139"/>
      <c r="CD67" s="139"/>
      <c r="CE67" s="139"/>
      <c r="CF67" s="139"/>
      <c r="CG67" s="139"/>
      <c r="CH67" s="139"/>
      <c r="CI67" s="139"/>
      <c r="CJ67" s="139"/>
      <c r="CK67" s="139"/>
      <c r="CL67" s="139"/>
    </row>
    <row r="68" spans="1:90" s="78" customFormat="1" ht="23.25" customHeight="1">
      <c r="A68" s="166">
        <v>35201</v>
      </c>
      <c r="B68" s="164" t="s">
        <v>142</v>
      </c>
      <c r="C68" s="85">
        <v>55500</v>
      </c>
      <c r="D68" s="85">
        <v>30167.63</v>
      </c>
      <c r="E68" s="86">
        <v>1034.23</v>
      </c>
      <c r="F68" s="86"/>
      <c r="G68" s="89">
        <v>30167.63</v>
      </c>
      <c r="H68" s="87">
        <f t="shared" si="22"/>
        <v>1</v>
      </c>
      <c r="I68" s="89">
        <f t="shared" si="23"/>
        <v>0</v>
      </c>
      <c r="J68" s="216"/>
      <c r="K68" s="209"/>
      <c r="L68" s="141"/>
      <c r="M68" s="141">
        <f t="shared" si="18"/>
        <v>0</v>
      </c>
      <c r="N68" s="141">
        <f t="shared" si="6"/>
        <v>0</v>
      </c>
      <c r="O68" s="141">
        <f t="shared" si="21"/>
        <v>0</v>
      </c>
      <c r="P68" s="141">
        <f t="shared" si="8"/>
        <v>0</v>
      </c>
      <c r="Q68" s="141">
        <f t="shared" si="9"/>
        <v>0</v>
      </c>
      <c r="R68" s="145"/>
      <c r="S68" s="145"/>
      <c r="T68" s="141"/>
      <c r="U68" s="141"/>
      <c r="V68" s="141"/>
      <c r="W68" s="141"/>
      <c r="X68" s="141">
        <f t="shared" si="11"/>
        <v>0</v>
      </c>
      <c r="Y68" s="145"/>
      <c r="Z68" s="141"/>
      <c r="AA68" s="141"/>
      <c r="AB68" s="141"/>
      <c r="AC68" s="141"/>
      <c r="AD68" s="141">
        <f t="shared" si="12"/>
        <v>0</v>
      </c>
      <c r="AE68" s="141"/>
      <c r="AF68" s="141"/>
      <c r="AG68" s="141"/>
      <c r="AH68" s="141"/>
      <c r="AI68" s="149">
        <f t="shared" si="13"/>
        <v>0</v>
      </c>
      <c r="AJ68" s="141"/>
      <c r="AK68" s="141"/>
      <c r="AL68" s="141"/>
      <c r="AM68" s="141"/>
      <c r="AN68" s="149">
        <f t="shared" si="25"/>
        <v>0</v>
      </c>
      <c r="AO68" s="145"/>
      <c r="AP68" s="141"/>
      <c r="AQ68" s="141"/>
      <c r="AR68" s="141"/>
      <c r="AS68" s="141"/>
      <c r="AT68" s="149">
        <f t="shared" si="26"/>
        <v>0</v>
      </c>
      <c r="AU68" s="145"/>
      <c r="AV68" s="141"/>
      <c r="AW68" s="141"/>
      <c r="AX68" s="141"/>
      <c r="AY68" s="141"/>
      <c r="AZ68" s="149">
        <f t="shared" si="27"/>
        <v>0</v>
      </c>
      <c r="BA68" s="145"/>
      <c r="BB68" s="141"/>
      <c r="BC68" s="141"/>
      <c r="BD68" s="141"/>
      <c r="BE68" s="141"/>
      <c r="BF68" s="149">
        <f t="shared" si="28"/>
        <v>0</v>
      </c>
      <c r="BG68" s="145"/>
      <c r="BH68" s="141"/>
      <c r="BI68" s="141"/>
      <c r="BJ68" s="141"/>
      <c r="BK68" s="141"/>
      <c r="BL68" s="149">
        <f t="shared" si="29"/>
        <v>0</v>
      </c>
      <c r="BM68" s="145"/>
      <c r="BN68" s="141"/>
      <c r="BO68" s="141"/>
      <c r="BP68" s="141"/>
      <c r="BQ68" s="141"/>
      <c r="BR68" s="149">
        <f t="shared" si="30"/>
        <v>0</v>
      </c>
      <c r="BS68" s="145"/>
      <c r="BT68" s="141"/>
      <c r="BU68" s="141"/>
      <c r="BV68" s="141"/>
      <c r="BW68" s="141"/>
      <c r="BX68" s="149">
        <f t="shared" si="31"/>
        <v>0</v>
      </c>
      <c r="BY68" s="139"/>
      <c r="BZ68" s="139"/>
      <c r="CA68" s="139"/>
      <c r="CB68" s="139"/>
      <c r="CC68" s="139"/>
      <c r="CD68" s="139"/>
      <c r="CE68" s="139"/>
      <c r="CF68" s="139"/>
      <c r="CG68" s="139"/>
      <c r="CH68" s="139"/>
      <c r="CI68" s="139"/>
      <c r="CJ68" s="139"/>
      <c r="CK68" s="139"/>
      <c r="CL68" s="139"/>
    </row>
    <row r="69" spans="1:90" s="78" customFormat="1" ht="30" customHeight="1">
      <c r="A69" s="166">
        <v>35701</v>
      </c>
      <c r="B69" s="172" t="s">
        <v>143</v>
      </c>
      <c r="C69" s="85">
        <v>69375</v>
      </c>
      <c r="D69" s="85">
        <v>93607.23</v>
      </c>
      <c r="E69" s="86">
        <v>6206.72</v>
      </c>
      <c r="F69" s="86"/>
      <c r="G69" s="89">
        <v>93607.23</v>
      </c>
      <c r="H69" s="87">
        <f t="shared" si="22"/>
        <v>1</v>
      </c>
      <c r="I69" s="89">
        <f t="shared" si="23"/>
        <v>0</v>
      </c>
      <c r="J69" s="216"/>
      <c r="K69" s="209"/>
      <c r="L69" s="141"/>
      <c r="M69" s="141">
        <f t="shared" si="18"/>
        <v>37120</v>
      </c>
      <c r="N69" s="141">
        <f t="shared" si="6"/>
        <v>37120</v>
      </c>
      <c r="O69" s="141">
        <f t="shared" si="21"/>
        <v>37120</v>
      </c>
      <c r="P69" s="141">
        <f t="shared" si="8"/>
        <v>37120</v>
      </c>
      <c r="Q69" s="141">
        <f t="shared" si="9"/>
        <v>37120</v>
      </c>
      <c r="R69" s="145"/>
      <c r="S69" s="145"/>
      <c r="T69" s="141"/>
      <c r="U69" s="141"/>
      <c r="V69" s="141">
        <v>54589.92</v>
      </c>
      <c r="W69" s="141"/>
      <c r="X69" s="141">
        <f t="shared" si="11"/>
        <v>54589.92</v>
      </c>
      <c r="Y69" s="145"/>
      <c r="Z69" s="141"/>
      <c r="AA69" s="141"/>
      <c r="AB69" s="141">
        <v>18196.64</v>
      </c>
      <c r="AC69" s="141"/>
      <c r="AD69" s="141">
        <f t="shared" si="12"/>
        <v>18196.64</v>
      </c>
      <c r="AE69" s="141"/>
      <c r="AF69" s="141"/>
      <c r="AG69" s="141">
        <v>18196.64</v>
      </c>
      <c r="AH69" s="141"/>
      <c r="AI69" s="149">
        <f t="shared" si="13"/>
        <v>18196.64</v>
      </c>
      <c r="AJ69" s="141"/>
      <c r="AK69" s="141"/>
      <c r="AL69" s="141">
        <v>37120</v>
      </c>
      <c r="AM69" s="141"/>
      <c r="AN69" s="149">
        <f t="shared" si="25"/>
        <v>37120</v>
      </c>
      <c r="AO69" s="145"/>
      <c r="AP69" s="141"/>
      <c r="AQ69" s="141"/>
      <c r="AR69" s="141">
        <v>37120</v>
      </c>
      <c r="AS69" s="141"/>
      <c r="AT69" s="149">
        <f t="shared" si="26"/>
        <v>37120</v>
      </c>
      <c r="AU69" s="145"/>
      <c r="AV69" s="141"/>
      <c r="AW69" s="141"/>
      <c r="AX69" s="141">
        <v>37120</v>
      </c>
      <c r="AY69" s="141"/>
      <c r="AZ69" s="149">
        <f t="shared" si="27"/>
        <v>37120</v>
      </c>
      <c r="BA69" s="145"/>
      <c r="BB69" s="141"/>
      <c r="BC69" s="141"/>
      <c r="BD69" s="141">
        <v>37120</v>
      </c>
      <c r="BE69" s="141"/>
      <c r="BF69" s="149">
        <f t="shared" si="28"/>
        <v>37120</v>
      </c>
      <c r="BG69" s="145"/>
      <c r="BH69" s="141"/>
      <c r="BI69" s="141"/>
      <c r="BJ69" s="141">
        <v>37120</v>
      </c>
      <c r="BK69" s="141"/>
      <c r="BL69" s="149">
        <f t="shared" si="29"/>
        <v>37120</v>
      </c>
      <c r="BM69" s="145"/>
      <c r="BN69" s="141"/>
      <c r="BO69" s="141"/>
      <c r="BP69" s="141">
        <v>37120</v>
      </c>
      <c r="BQ69" s="141"/>
      <c r="BR69" s="149">
        <f t="shared" si="30"/>
        <v>37120</v>
      </c>
      <c r="BS69" s="145"/>
      <c r="BT69" s="141"/>
      <c r="BU69" s="141"/>
      <c r="BV69" s="141">
        <v>37120</v>
      </c>
      <c r="BW69" s="141"/>
      <c r="BX69" s="149">
        <f t="shared" si="31"/>
        <v>37120</v>
      </c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</row>
    <row r="70" spans="1:90" s="78" customFormat="1" ht="25.5" customHeight="1">
      <c r="A70" s="166">
        <v>35101</v>
      </c>
      <c r="B70" s="164" t="s">
        <v>144</v>
      </c>
      <c r="C70" s="85">
        <v>250000</v>
      </c>
      <c r="D70" s="85">
        <v>115051.74</v>
      </c>
      <c r="E70" s="86">
        <v>15667.14</v>
      </c>
      <c r="F70" s="86"/>
      <c r="G70" s="89">
        <v>115051.74</v>
      </c>
      <c r="H70" s="87">
        <f t="shared" si="22"/>
        <v>1</v>
      </c>
      <c r="I70" s="89">
        <f t="shared" si="23"/>
        <v>0</v>
      </c>
      <c r="J70" s="216"/>
      <c r="K70" s="209"/>
      <c r="L70" s="141"/>
      <c r="M70" s="141">
        <f t="shared" si="18"/>
        <v>1392</v>
      </c>
      <c r="N70" s="141">
        <f t="shared" si="6"/>
        <v>0</v>
      </c>
      <c r="O70" s="141">
        <f t="shared" si="21"/>
        <v>0</v>
      </c>
      <c r="P70" s="141">
        <f t="shared" si="8"/>
        <v>10056</v>
      </c>
      <c r="Q70" s="141">
        <f t="shared" si="9"/>
        <v>0</v>
      </c>
      <c r="R70" s="145"/>
      <c r="S70" s="145"/>
      <c r="T70" s="141">
        <v>765.6</v>
      </c>
      <c r="U70" s="141">
        <v>1438.4</v>
      </c>
      <c r="V70" s="141">
        <v>1508</v>
      </c>
      <c r="W70" s="141"/>
      <c r="X70" s="141">
        <f t="shared" si="11"/>
        <v>3712</v>
      </c>
      <c r="Y70" s="145"/>
      <c r="Z70" s="141"/>
      <c r="AA70" s="141"/>
      <c r="AB70" s="141">
        <v>522</v>
      </c>
      <c r="AC70" s="141">
        <v>278.4</v>
      </c>
      <c r="AD70" s="141">
        <f t="shared" si="12"/>
        <v>800.4</v>
      </c>
      <c r="AE70" s="141">
        <v>986</v>
      </c>
      <c r="AF70" s="141"/>
      <c r="AG70" s="141">
        <v>2743.18</v>
      </c>
      <c r="AH70" s="141">
        <v>2923.2</v>
      </c>
      <c r="AI70" s="149">
        <f t="shared" si="13"/>
        <v>6652.379999999999</v>
      </c>
      <c r="AJ70" s="141"/>
      <c r="AK70" s="141"/>
      <c r="AL70" s="141"/>
      <c r="AM70" s="141"/>
      <c r="AN70" s="149">
        <f t="shared" si="25"/>
        <v>0</v>
      </c>
      <c r="AO70" s="145"/>
      <c r="AP70" s="141"/>
      <c r="AQ70" s="141">
        <v>4060</v>
      </c>
      <c r="AR70" s="141"/>
      <c r="AS70" s="141"/>
      <c r="AT70" s="149">
        <f t="shared" si="26"/>
        <v>4060</v>
      </c>
      <c r="AU70" s="145"/>
      <c r="AV70" s="141"/>
      <c r="AW70" s="141"/>
      <c r="AX70" s="141">
        <v>1392</v>
      </c>
      <c r="AY70" s="141"/>
      <c r="AZ70" s="149">
        <f t="shared" si="27"/>
        <v>1392</v>
      </c>
      <c r="BA70" s="145"/>
      <c r="BB70" s="141"/>
      <c r="BC70" s="141"/>
      <c r="BD70" s="141"/>
      <c r="BE70" s="141"/>
      <c r="BF70" s="149">
        <f t="shared" si="28"/>
        <v>0</v>
      </c>
      <c r="BG70" s="145"/>
      <c r="BH70" s="141"/>
      <c r="BI70" s="141"/>
      <c r="BJ70" s="141"/>
      <c r="BK70" s="141"/>
      <c r="BL70" s="149">
        <f t="shared" si="29"/>
        <v>0</v>
      </c>
      <c r="BM70" s="145"/>
      <c r="BN70" s="141"/>
      <c r="BO70" s="141"/>
      <c r="BP70" s="141">
        <v>10056</v>
      </c>
      <c r="BQ70" s="141"/>
      <c r="BR70" s="149">
        <f t="shared" si="30"/>
        <v>10056</v>
      </c>
      <c r="BS70" s="145"/>
      <c r="BT70" s="141"/>
      <c r="BU70" s="141"/>
      <c r="BV70" s="141"/>
      <c r="BW70" s="141"/>
      <c r="BX70" s="149">
        <f t="shared" si="31"/>
        <v>0</v>
      </c>
      <c r="BY70" s="139"/>
      <c r="BZ70" s="139"/>
      <c r="CA70" s="139"/>
      <c r="CB70" s="139"/>
      <c r="CC70" s="139"/>
      <c r="CD70" s="139"/>
      <c r="CE70" s="139"/>
      <c r="CF70" s="139"/>
      <c r="CG70" s="139"/>
      <c r="CH70" s="139"/>
      <c r="CI70" s="139"/>
      <c r="CJ70" s="139"/>
      <c r="CK70" s="139"/>
      <c r="CL70" s="139"/>
    </row>
    <row r="71" spans="1:90" s="78" customFormat="1" ht="15" customHeight="1">
      <c r="A71" s="163">
        <v>35901</v>
      </c>
      <c r="B71" s="164" t="s">
        <v>145</v>
      </c>
      <c r="C71" s="85">
        <v>70000</v>
      </c>
      <c r="D71" s="85">
        <v>14500</v>
      </c>
      <c r="E71" s="86">
        <v>0</v>
      </c>
      <c r="F71" s="86"/>
      <c r="G71" s="89">
        <v>14500</v>
      </c>
      <c r="H71" s="87">
        <f t="shared" si="22"/>
        <v>1</v>
      </c>
      <c r="I71" s="89">
        <f t="shared" si="23"/>
        <v>0</v>
      </c>
      <c r="J71" s="216"/>
      <c r="K71" s="209"/>
      <c r="L71" s="141"/>
      <c r="M71" s="141">
        <f t="shared" si="18"/>
        <v>785.55</v>
      </c>
      <c r="N71" s="141">
        <f t="shared" si="6"/>
        <v>15776</v>
      </c>
      <c r="O71" s="141">
        <f t="shared" si="21"/>
        <v>70251.92</v>
      </c>
      <c r="P71" s="141">
        <f t="shared" si="8"/>
        <v>2320</v>
      </c>
      <c r="Q71" s="141">
        <f t="shared" si="9"/>
        <v>19731.489999999998</v>
      </c>
      <c r="R71" s="145"/>
      <c r="S71" s="145"/>
      <c r="T71" s="141"/>
      <c r="U71" s="141">
        <v>5689.8</v>
      </c>
      <c r="V71" s="141">
        <v>1084.01</v>
      </c>
      <c r="W71" s="141"/>
      <c r="X71" s="141">
        <f t="shared" si="11"/>
        <v>6773.81</v>
      </c>
      <c r="Y71" s="145"/>
      <c r="Z71" s="141"/>
      <c r="AA71" s="141">
        <v>928</v>
      </c>
      <c r="AB71" s="141">
        <v>3074</v>
      </c>
      <c r="AC71" s="141"/>
      <c r="AD71" s="141">
        <f t="shared" si="12"/>
        <v>4002</v>
      </c>
      <c r="AE71" s="141"/>
      <c r="AF71" s="141"/>
      <c r="AG71" s="141">
        <v>6507.6</v>
      </c>
      <c r="AH71" s="141"/>
      <c r="AI71" s="149">
        <f t="shared" si="13"/>
        <v>6507.6</v>
      </c>
      <c r="AJ71" s="141"/>
      <c r="AK71" s="141"/>
      <c r="AL71" s="141">
        <v>8340</v>
      </c>
      <c r="AM71" s="141"/>
      <c r="AN71" s="149">
        <f t="shared" si="25"/>
        <v>8340</v>
      </c>
      <c r="AO71" s="145"/>
      <c r="AP71" s="141"/>
      <c r="AQ71" s="141">
        <v>10138.4</v>
      </c>
      <c r="AR71" s="141">
        <v>12525.57</v>
      </c>
      <c r="AS71" s="141"/>
      <c r="AT71" s="149">
        <f t="shared" si="26"/>
        <v>22663.97</v>
      </c>
      <c r="AU71" s="145"/>
      <c r="AV71" s="141"/>
      <c r="AW71" s="141"/>
      <c r="AX71" s="141">
        <v>785.55</v>
      </c>
      <c r="AY71" s="141"/>
      <c r="AZ71" s="149">
        <f t="shared" si="27"/>
        <v>785.55</v>
      </c>
      <c r="BA71" s="145"/>
      <c r="BB71" s="141"/>
      <c r="BC71" s="141"/>
      <c r="BD71" s="141">
        <v>15776</v>
      </c>
      <c r="BE71" s="141"/>
      <c r="BF71" s="149">
        <f t="shared" si="28"/>
        <v>15776</v>
      </c>
      <c r="BG71" s="145"/>
      <c r="BH71" s="141"/>
      <c r="BI71" s="141"/>
      <c r="BJ71" s="141">
        <v>70251.92</v>
      </c>
      <c r="BK71" s="141"/>
      <c r="BL71" s="149">
        <f t="shared" si="29"/>
        <v>70251.92</v>
      </c>
      <c r="BM71" s="145"/>
      <c r="BN71" s="141"/>
      <c r="BO71" s="141"/>
      <c r="BP71" s="141">
        <v>2320</v>
      </c>
      <c r="BQ71" s="141"/>
      <c r="BR71" s="149">
        <f t="shared" si="30"/>
        <v>2320</v>
      </c>
      <c r="BS71" s="145"/>
      <c r="BT71" s="141">
        <v>13351.49</v>
      </c>
      <c r="BU71" s="141"/>
      <c r="BV71" s="141">
        <v>6380</v>
      </c>
      <c r="BW71" s="141"/>
      <c r="BX71" s="149">
        <f t="shared" si="31"/>
        <v>19731.489999999998</v>
      </c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</row>
    <row r="72" spans="1:90" s="78" customFormat="1" ht="23.25" customHeight="1">
      <c r="A72" s="166">
        <v>35501</v>
      </c>
      <c r="B72" s="164" t="s">
        <v>146</v>
      </c>
      <c r="C72" s="85">
        <v>500000</v>
      </c>
      <c r="D72" s="85">
        <v>555999.5</v>
      </c>
      <c r="E72" s="86">
        <v>48417.33</v>
      </c>
      <c r="F72" s="86"/>
      <c r="G72" s="89">
        <v>555999.5</v>
      </c>
      <c r="H72" s="87">
        <f t="shared" si="22"/>
        <v>1</v>
      </c>
      <c r="I72" s="89">
        <f t="shared" si="23"/>
        <v>0</v>
      </c>
      <c r="J72" s="216"/>
      <c r="K72" s="209"/>
      <c r="L72" s="141"/>
      <c r="M72" s="141">
        <f t="shared" si="18"/>
        <v>152366</v>
      </c>
      <c r="N72" s="141">
        <f t="shared" si="6"/>
        <v>4614.48</v>
      </c>
      <c r="O72" s="141">
        <f t="shared" si="21"/>
        <v>52908.27</v>
      </c>
      <c r="P72" s="141">
        <f t="shared" si="8"/>
        <v>2865.2</v>
      </c>
      <c r="Q72" s="141">
        <f t="shared" si="9"/>
        <v>2307.63</v>
      </c>
      <c r="R72" s="145"/>
      <c r="S72" s="145"/>
      <c r="T72" s="141">
        <v>3043.6</v>
      </c>
      <c r="U72" s="141">
        <v>1720.5</v>
      </c>
      <c r="V72" s="141">
        <v>27973.51</v>
      </c>
      <c r="W72" s="141">
        <v>1720.5</v>
      </c>
      <c r="X72" s="141">
        <f t="shared" si="11"/>
        <v>34458.11</v>
      </c>
      <c r="Y72" s="145"/>
      <c r="Z72" s="141"/>
      <c r="AA72" s="141"/>
      <c r="AB72" s="141"/>
      <c r="AC72" s="141"/>
      <c r="AD72" s="141">
        <f t="shared" si="12"/>
        <v>0</v>
      </c>
      <c r="AE72" s="141"/>
      <c r="AF72" s="141"/>
      <c r="AG72" s="141">
        <v>18555.03</v>
      </c>
      <c r="AH72" s="141"/>
      <c r="AI72" s="149">
        <f t="shared" si="13"/>
        <v>18555.03</v>
      </c>
      <c r="AJ72" s="141"/>
      <c r="AK72" s="141"/>
      <c r="AL72" s="141">
        <v>11133.65</v>
      </c>
      <c r="AM72" s="141"/>
      <c r="AN72" s="149">
        <f t="shared" si="25"/>
        <v>11133.65</v>
      </c>
      <c r="AO72" s="145"/>
      <c r="AP72" s="141"/>
      <c r="AQ72" s="141"/>
      <c r="AR72" s="141">
        <v>4524</v>
      </c>
      <c r="AS72" s="141"/>
      <c r="AT72" s="149">
        <f t="shared" si="26"/>
        <v>4524</v>
      </c>
      <c r="AU72" s="145"/>
      <c r="AV72" s="141"/>
      <c r="AW72" s="141">
        <v>152366</v>
      </c>
      <c r="AX72" s="141"/>
      <c r="AY72" s="141"/>
      <c r="AZ72" s="149">
        <f t="shared" si="27"/>
        <v>152366</v>
      </c>
      <c r="BA72" s="145"/>
      <c r="BB72" s="141"/>
      <c r="BC72" s="141"/>
      <c r="BD72" s="141">
        <v>4614.48</v>
      </c>
      <c r="BE72" s="141"/>
      <c r="BF72" s="149">
        <f t="shared" si="28"/>
        <v>4614.48</v>
      </c>
      <c r="BG72" s="145"/>
      <c r="BH72" s="141">
        <v>9512</v>
      </c>
      <c r="BI72" s="141"/>
      <c r="BJ72" s="141">
        <v>43396.27</v>
      </c>
      <c r="BK72" s="141"/>
      <c r="BL72" s="149">
        <f t="shared" si="29"/>
        <v>52908.27</v>
      </c>
      <c r="BM72" s="145"/>
      <c r="BN72" s="141"/>
      <c r="BO72" s="141"/>
      <c r="BP72" s="141">
        <v>2865.2</v>
      </c>
      <c r="BQ72" s="141"/>
      <c r="BR72" s="149">
        <f t="shared" si="30"/>
        <v>2865.2</v>
      </c>
      <c r="BS72" s="145"/>
      <c r="BT72" s="141"/>
      <c r="BU72" s="141"/>
      <c r="BV72" s="141">
        <v>2307.63</v>
      </c>
      <c r="BW72" s="141"/>
      <c r="BX72" s="149">
        <f t="shared" si="31"/>
        <v>2307.63</v>
      </c>
      <c r="BY72" s="139"/>
      <c r="BZ72" s="139"/>
      <c r="CA72" s="139"/>
      <c r="CB72" s="139"/>
      <c r="CC72" s="139"/>
      <c r="CD72" s="139"/>
      <c r="CE72" s="139"/>
      <c r="CF72" s="139"/>
      <c r="CG72" s="139"/>
      <c r="CH72" s="139"/>
      <c r="CI72" s="139"/>
      <c r="CJ72" s="139"/>
      <c r="CK72" s="139"/>
      <c r="CL72" s="139"/>
    </row>
    <row r="73" spans="1:90" s="78" customFormat="1" ht="15" customHeight="1">
      <c r="A73" s="163">
        <v>35301</v>
      </c>
      <c r="B73" s="164" t="s">
        <v>147</v>
      </c>
      <c r="C73" s="85">
        <v>32375</v>
      </c>
      <c r="D73" s="85">
        <v>0</v>
      </c>
      <c r="E73" s="86">
        <v>0</v>
      </c>
      <c r="F73" s="86"/>
      <c r="G73" s="89">
        <v>0</v>
      </c>
      <c r="H73" s="87">
        <v>0</v>
      </c>
      <c r="I73" s="89">
        <f t="shared" si="23"/>
        <v>0</v>
      </c>
      <c r="J73" s="216"/>
      <c r="K73" s="209"/>
      <c r="L73" s="141"/>
      <c r="M73" s="141">
        <f t="shared" si="18"/>
        <v>0</v>
      </c>
      <c r="N73" s="141">
        <f t="shared" si="6"/>
        <v>0</v>
      </c>
      <c r="O73" s="141">
        <f t="shared" si="21"/>
        <v>0</v>
      </c>
      <c r="P73" s="141">
        <f t="shared" si="8"/>
        <v>0</v>
      </c>
      <c r="Q73" s="141">
        <f t="shared" si="9"/>
        <v>0</v>
      </c>
      <c r="R73" s="145"/>
      <c r="S73" s="145"/>
      <c r="T73" s="141"/>
      <c r="U73" s="141"/>
      <c r="V73" s="141">
        <v>33999.6</v>
      </c>
      <c r="W73" s="141"/>
      <c r="X73" s="141">
        <f t="shared" si="11"/>
        <v>33999.6</v>
      </c>
      <c r="Y73" s="145"/>
      <c r="Z73" s="141"/>
      <c r="AA73" s="141"/>
      <c r="AB73" s="141"/>
      <c r="AC73" s="141"/>
      <c r="AD73" s="141">
        <f t="shared" si="12"/>
        <v>0</v>
      </c>
      <c r="AE73" s="141"/>
      <c r="AF73" s="141"/>
      <c r="AG73" s="141"/>
      <c r="AH73" s="141"/>
      <c r="AI73" s="149">
        <f t="shared" si="13"/>
        <v>0</v>
      </c>
      <c r="AJ73" s="141"/>
      <c r="AK73" s="141"/>
      <c r="AL73" s="141"/>
      <c r="AM73" s="141"/>
      <c r="AN73" s="149">
        <f t="shared" si="25"/>
        <v>0</v>
      </c>
      <c r="AO73" s="145"/>
      <c r="AP73" s="141"/>
      <c r="AQ73" s="141"/>
      <c r="AR73" s="141"/>
      <c r="AS73" s="141"/>
      <c r="AT73" s="149">
        <f t="shared" si="26"/>
        <v>0</v>
      </c>
      <c r="AU73" s="145"/>
      <c r="AV73" s="141"/>
      <c r="AW73" s="141"/>
      <c r="AX73" s="141"/>
      <c r="AY73" s="141"/>
      <c r="AZ73" s="149">
        <f t="shared" si="27"/>
        <v>0</v>
      </c>
      <c r="BA73" s="145"/>
      <c r="BB73" s="141"/>
      <c r="BC73" s="141"/>
      <c r="BD73" s="141"/>
      <c r="BE73" s="141"/>
      <c r="BF73" s="149">
        <f t="shared" si="28"/>
        <v>0</v>
      </c>
      <c r="BG73" s="145"/>
      <c r="BH73" s="141"/>
      <c r="BI73" s="141"/>
      <c r="BJ73" s="141"/>
      <c r="BK73" s="141"/>
      <c r="BL73" s="149">
        <f t="shared" si="29"/>
        <v>0</v>
      </c>
      <c r="BM73" s="145"/>
      <c r="BN73" s="141"/>
      <c r="BO73" s="141"/>
      <c r="BP73" s="141"/>
      <c r="BQ73" s="141"/>
      <c r="BR73" s="149">
        <f t="shared" si="30"/>
        <v>0</v>
      </c>
      <c r="BS73" s="145"/>
      <c r="BT73" s="141"/>
      <c r="BU73" s="141"/>
      <c r="BV73" s="141"/>
      <c r="BW73" s="141"/>
      <c r="BX73" s="149">
        <f t="shared" si="31"/>
        <v>0</v>
      </c>
      <c r="BY73" s="139"/>
      <c r="BZ73" s="139"/>
      <c r="CA73" s="139"/>
      <c r="CB73" s="139"/>
      <c r="CC73" s="139"/>
      <c r="CD73" s="139"/>
      <c r="CE73" s="139"/>
      <c r="CF73" s="139"/>
      <c r="CG73" s="139"/>
      <c r="CH73" s="139"/>
      <c r="CI73" s="139"/>
      <c r="CJ73" s="139"/>
      <c r="CK73" s="139"/>
      <c r="CL73" s="139"/>
    </row>
    <row r="74" spans="1:90" s="78" customFormat="1" ht="50.25" customHeight="1">
      <c r="A74" s="163">
        <v>36101</v>
      </c>
      <c r="B74" s="164" t="s">
        <v>148</v>
      </c>
      <c r="C74" s="85">
        <v>165000</v>
      </c>
      <c r="D74" s="85">
        <v>284337.92</v>
      </c>
      <c r="E74" s="86">
        <v>78760.2</v>
      </c>
      <c r="F74" s="86"/>
      <c r="G74" s="89">
        <v>284337.92</v>
      </c>
      <c r="H74" s="87">
        <f t="shared" si="22"/>
        <v>1</v>
      </c>
      <c r="I74" s="89">
        <f t="shared" si="23"/>
        <v>0</v>
      </c>
      <c r="J74" s="216"/>
      <c r="K74" s="209"/>
      <c r="L74" s="141"/>
      <c r="M74" s="141">
        <f t="shared" si="18"/>
        <v>23197.11</v>
      </c>
      <c r="N74" s="141">
        <f t="shared" si="6"/>
        <v>51381.11</v>
      </c>
      <c r="O74" s="141">
        <f t="shared" si="21"/>
        <v>17298.62</v>
      </c>
      <c r="P74" s="141">
        <f t="shared" si="8"/>
        <v>23074.61</v>
      </c>
      <c r="Q74" s="141">
        <f t="shared" si="9"/>
        <v>26926.39</v>
      </c>
      <c r="R74" s="145"/>
      <c r="S74" s="145"/>
      <c r="T74" s="141">
        <f>2164.6-1896.6</f>
        <v>268</v>
      </c>
      <c r="U74" s="141">
        <v>3781.6</v>
      </c>
      <c r="V74" s="141">
        <f>34699.88-23742.88</f>
        <v>10956.999999999996</v>
      </c>
      <c r="W74" s="141">
        <f>69271.81-1644-4593.6-6351-14597.44-4622-10442.2-1920.01-7058.49</f>
        <v>18043.07</v>
      </c>
      <c r="X74" s="141">
        <f t="shared" si="11"/>
        <v>33049.67</v>
      </c>
      <c r="Y74" s="145"/>
      <c r="Z74" s="141">
        <v>270</v>
      </c>
      <c r="AA74" s="141">
        <f>4375.8-2342.39-2033.41</f>
        <v>0</v>
      </c>
      <c r="AB74" s="141">
        <v>219.24</v>
      </c>
      <c r="AC74" s="141">
        <f>32370.03-5201.44-11727.6-8456.4</f>
        <v>6984.59</v>
      </c>
      <c r="AD74" s="141">
        <f t="shared" si="12"/>
        <v>7473.83</v>
      </c>
      <c r="AE74" s="141">
        <f>11548.96-11548.96</f>
        <v>0</v>
      </c>
      <c r="AF74" s="141"/>
      <c r="AG74" s="141">
        <f>8676.55-8004</f>
        <v>672.5499999999993</v>
      </c>
      <c r="AH74" s="141">
        <v>675.6</v>
      </c>
      <c r="AI74" s="149">
        <f t="shared" si="13"/>
        <v>1348.1499999999992</v>
      </c>
      <c r="AJ74" s="141">
        <v>390</v>
      </c>
      <c r="AK74" s="141"/>
      <c r="AL74" s="141">
        <f>25051.88-6600.4-6460.3</f>
        <v>11991.180000000004</v>
      </c>
      <c r="AM74" s="141">
        <f>45632-10440-8352-21249.04</f>
        <v>5590.959999999999</v>
      </c>
      <c r="AN74" s="149">
        <f t="shared" si="25"/>
        <v>17972.140000000003</v>
      </c>
      <c r="AO74" s="145"/>
      <c r="AP74" s="141">
        <f>8126.96-8126.96</f>
        <v>0</v>
      </c>
      <c r="AQ74" s="141"/>
      <c r="AR74" s="141"/>
      <c r="AS74" s="141">
        <f>49356.2-7519.12-1168-9523.6-12470</f>
        <v>18675.479999999996</v>
      </c>
      <c r="AT74" s="149">
        <f t="shared" si="26"/>
        <v>18675.479999999996</v>
      </c>
      <c r="AU74" s="145"/>
      <c r="AV74" s="141">
        <f>6816-2320</f>
        <v>4496</v>
      </c>
      <c r="AW74" s="141"/>
      <c r="AX74" s="141">
        <f>5280.9-4060</f>
        <v>1220.8999999999996</v>
      </c>
      <c r="AY74" s="141">
        <f>23776.69-2120.48-4176</f>
        <v>17480.21</v>
      </c>
      <c r="AZ74" s="149">
        <f t="shared" si="27"/>
        <v>23197.11</v>
      </c>
      <c r="BA74" s="145"/>
      <c r="BB74" s="141">
        <v>563.8</v>
      </c>
      <c r="BC74" s="141">
        <v>21394.56</v>
      </c>
      <c r="BD74" s="141">
        <v>3774.6</v>
      </c>
      <c r="BE74" s="141">
        <v>25648.15</v>
      </c>
      <c r="BF74" s="149">
        <f t="shared" si="28"/>
        <v>51381.11</v>
      </c>
      <c r="BG74" s="145"/>
      <c r="BH74" s="141"/>
      <c r="BI74" s="141">
        <v>15428.82</v>
      </c>
      <c r="BJ74" s="141">
        <v>1869.8</v>
      </c>
      <c r="BK74" s="141"/>
      <c r="BL74" s="149">
        <f t="shared" si="29"/>
        <v>17298.62</v>
      </c>
      <c r="BM74" s="145"/>
      <c r="BN74" s="141">
        <v>2319.9</v>
      </c>
      <c r="BO74" s="141">
        <v>14767.01</v>
      </c>
      <c r="BP74" s="141">
        <v>1617.9</v>
      </c>
      <c r="BQ74" s="141">
        <v>4369.8</v>
      </c>
      <c r="BR74" s="149">
        <f t="shared" si="30"/>
        <v>23074.61</v>
      </c>
      <c r="BS74" s="145"/>
      <c r="BT74" s="141">
        <v>2999</v>
      </c>
      <c r="BU74" s="141">
        <v>18224.07</v>
      </c>
      <c r="BV74" s="141">
        <v>5613.32</v>
      </c>
      <c r="BW74" s="141">
        <v>90</v>
      </c>
      <c r="BX74" s="149">
        <f t="shared" si="31"/>
        <v>26926.39</v>
      </c>
      <c r="BY74" s="139"/>
      <c r="BZ74" s="139"/>
      <c r="CA74" s="139"/>
      <c r="CB74" s="139"/>
      <c r="CC74" s="139"/>
      <c r="CD74" s="139"/>
      <c r="CE74" s="139"/>
      <c r="CF74" s="139"/>
      <c r="CG74" s="139"/>
      <c r="CH74" s="139"/>
      <c r="CI74" s="139"/>
      <c r="CJ74" s="139"/>
      <c r="CK74" s="139"/>
      <c r="CL74" s="139"/>
    </row>
    <row r="75" spans="1:90" s="78" customFormat="1" ht="15" customHeight="1">
      <c r="A75" s="163">
        <v>37201</v>
      </c>
      <c r="B75" s="164" t="s">
        <v>149</v>
      </c>
      <c r="C75" s="85">
        <v>5000</v>
      </c>
      <c r="D75" s="85">
        <v>708469.85</v>
      </c>
      <c r="E75" s="86">
        <v>87920.04</v>
      </c>
      <c r="F75" s="86"/>
      <c r="G75" s="89">
        <v>708470.05</v>
      </c>
      <c r="H75" s="87">
        <f t="shared" si="22"/>
        <v>1.000000282298534</v>
      </c>
      <c r="I75" s="89">
        <f t="shared" si="23"/>
        <v>-0.2000000000698492</v>
      </c>
      <c r="J75" s="216"/>
      <c r="K75" s="209"/>
      <c r="L75" s="141"/>
      <c r="M75" s="141">
        <f t="shared" si="18"/>
        <v>0</v>
      </c>
      <c r="N75" s="141">
        <f t="shared" si="6"/>
        <v>0</v>
      </c>
      <c r="O75" s="141">
        <f t="shared" si="21"/>
        <v>0</v>
      </c>
      <c r="P75" s="141">
        <f t="shared" si="8"/>
        <v>0</v>
      </c>
      <c r="Q75" s="141">
        <f t="shared" si="9"/>
        <v>0</v>
      </c>
      <c r="R75" s="145"/>
      <c r="S75" s="145"/>
      <c r="T75" s="141"/>
      <c r="U75" s="141"/>
      <c r="V75" s="141"/>
      <c r="W75" s="141"/>
      <c r="X75" s="141">
        <f t="shared" si="11"/>
        <v>0</v>
      </c>
      <c r="Y75" s="145"/>
      <c r="Z75" s="141"/>
      <c r="AA75" s="141"/>
      <c r="AB75" s="141"/>
      <c r="AC75" s="141"/>
      <c r="AD75" s="141">
        <f t="shared" si="12"/>
        <v>0</v>
      </c>
      <c r="AE75" s="141"/>
      <c r="AF75" s="141"/>
      <c r="AG75" s="141"/>
      <c r="AH75" s="141"/>
      <c r="AI75" s="149">
        <f t="shared" si="13"/>
        <v>0</v>
      </c>
      <c r="AJ75" s="141"/>
      <c r="AK75" s="141"/>
      <c r="AL75" s="141"/>
      <c r="AM75" s="141"/>
      <c r="AN75" s="149">
        <f t="shared" si="25"/>
        <v>0</v>
      </c>
      <c r="AO75" s="145"/>
      <c r="AP75" s="141"/>
      <c r="AQ75" s="141"/>
      <c r="AR75" s="141"/>
      <c r="AS75" s="141"/>
      <c r="AT75" s="149">
        <f t="shared" si="26"/>
        <v>0</v>
      </c>
      <c r="AU75" s="145"/>
      <c r="AV75" s="141"/>
      <c r="AW75" s="141"/>
      <c r="AX75" s="141"/>
      <c r="AY75" s="141"/>
      <c r="AZ75" s="149">
        <f t="shared" si="27"/>
        <v>0</v>
      </c>
      <c r="BA75" s="145"/>
      <c r="BB75" s="141"/>
      <c r="BC75" s="141"/>
      <c r="BD75" s="141"/>
      <c r="BE75" s="141"/>
      <c r="BF75" s="149">
        <f t="shared" si="28"/>
        <v>0</v>
      </c>
      <c r="BG75" s="145"/>
      <c r="BH75" s="141"/>
      <c r="BI75" s="141"/>
      <c r="BJ75" s="141"/>
      <c r="BK75" s="141"/>
      <c r="BL75" s="149">
        <f t="shared" si="29"/>
        <v>0</v>
      </c>
      <c r="BM75" s="145"/>
      <c r="BN75" s="141"/>
      <c r="BO75" s="141"/>
      <c r="BP75" s="141"/>
      <c r="BQ75" s="141"/>
      <c r="BR75" s="149">
        <f t="shared" si="30"/>
        <v>0</v>
      </c>
      <c r="BS75" s="145"/>
      <c r="BT75" s="141"/>
      <c r="BU75" s="141"/>
      <c r="BV75" s="141"/>
      <c r="BW75" s="141"/>
      <c r="BX75" s="149">
        <f t="shared" si="31"/>
        <v>0</v>
      </c>
      <c r="BY75" s="139"/>
      <c r="BZ75" s="139"/>
      <c r="CA75" s="139"/>
      <c r="CB75" s="139"/>
      <c r="CC75" s="139"/>
      <c r="CD75" s="139"/>
      <c r="CE75" s="139"/>
      <c r="CF75" s="139"/>
      <c r="CG75" s="139"/>
      <c r="CH75" s="139"/>
      <c r="CI75" s="139"/>
      <c r="CJ75" s="139"/>
      <c r="CK75" s="139"/>
      <c r="CL75" s="139"/>
    </row>
    <row r="76" spans="1:90" s="78" customFormat="1" ht="15" customHeight="1">
      <c r="A76" s="163">
        <v>37901</v>
      </c>
      <c r="B76" s="164" t="s">
        <v>150</v>
      </c>
      <c r="C76" s="85">
        <v>45000</v>
      </c>
      <c r="D76" s="85">
        <v>20343.64</v>
      </c>
      <c r="E76" s="86">
        <v>3924</v>
      </c>
      <c r="F76" s="86"/>
      <c r="G76" s="89">
        <v>20343.64</v>
      </c>
      <c r="H76" s="87">
        <f t="shared" si="22"/>
        <v>1</v>
      </c>
      <c r="I76" s="89">
        <f t="shared" si="23"/>
        <v>0</v>
      </c>
      <c r="J76" s="216"/>
      <c r="K76" s="209"/>
      <c r="L76" s="141"/>
      <c r="M76" s="141">
        <f t="shared" si="18"/>
        <v>8400</v>
      </c>
      <c r="N76" s="141">
        <f aca="true" t="shared" si="32" ref="N76:N88">BF76</f>
        <v>0</v>
      </c>
      <c r="O76" s="141">
        <f t="shared" si="21"/>
        <v>0</v>
      </c>
      <c r="P76" s="141">
        <f aca="true" t="shared" si="33" ref="P76:P88">BR76</f>
        <v>8400</v>
      </c>
      <c r="Q76" s="141">
        <f aca="true" t="shared" si="34" ref="Q76:Q88">BX76</f>
        <v>4440</v>
      </c>
      <c r="R76" s="145"/>
      <c r="S76" s="145"/>
      <c r="T76" s="141">
        <v>25200</v>
      </c>
      <c r="U76" s="141"/>
      <c r="V76" s="141"/>
      <c r="W76" s="141"/>
      <c r="X76" s="141">
        <f t="shared" si="11"/>
        <v>25200</v>
      </c>
      <c r="Y76" s="145"/>
      <c r="Z76" s="141">
        <f>4440-4440</f>
        <v>0</v>
      </c>
      <c r="AA76" s="141"/>
      <c r="AB76" s="141">
        <v>8400</v>
      </c>
      <c r="AC76" s="141"/>
      <c r="AD76" s="141">
        <f t="shared" si="12"/>
        <v>8400</v>
      </c>
      <c r="AE76" s="141">
        <f>4440-4440</f>
        <v>0</v>
      </c>
      <c r="AF76" s="141"/>
      <c r="AG76" s="141">
        <v>8400</v>
      </c>
      <c r="AH76" s="141"/>
      <c r="AI76" s="149">
        <f aca="true" t="shared" si="35" ref="AI76:AI88">SUM(AE76:AH76)</f>
        <v>8400</v>
      </c>
      <c r="AJ76" s="141">
        <v>8400</v>
      </c>
      <c r="AK76" s="141"/>
      <c r="AL76" s="141">
        <f>6960-6960</f>
        <v>0</v>
      </c>
      <c r="AM76" s="141"/>
      <c r="AN76" s="149">
        <f t="shared" si="25"/>
        <v>8400</v>
      </c>
      <c r="AO76" s="145"/>
      <c r="AP76" s="141">
        <f>19800-4440-6960</f>
        <v>8400</v>
      </c>
      <c r="AQ76" s="141"/>
      <c r="AR76" s="141"/>
      <c r="AS76" s="141"/>
      <c r="AT76" s="149">
        <f t="shared" si="26"/>
        <v>8400</v>
      </c>
      <c r="AU76" s="145"/>
      <c r="AV76" s="141">
        <f>15647.2-2807.2-4440</f>
        <v>8400</v>
      </c>
      <c r="AW76" s="141"/>
      <c r="AX76" s="141"/>
      <c r="AY76" s="141"/>
      <c r="AZ76" s="149">
        <f t="shared" si="27"/>
        <v>8400</v>
      </c>
      <c r="BA76" s="145"/>
      <c r="BB76" s="141"/>
      <c r="BC76" s="141"/>
      <c r="BD76" s="141"/>
      <c r="BE76" s="141"/>
      <c r="BF76" s="149">
        <f t="shared" si="28"/>
        <v>0</v>
      </c>
      <c r="BG76" s="145"/>
      <c r="BH76" s="141"/>
      <c r="BI76" s="141"/>
      <c r="BJ76" s="141"/>
      <c r="BK76" s="141"/>
      <c r="BL76" s="149">
        <f t="shared" si="29"/>
        <v>0</v>
      </c>
      <c r="BM76" s="145"/>
      <c r="BN76" s="141"/>
      <c r="BO76" s="141"/>
      <c r="BP76" s="141">
        <v>8400</v>
      </c>
      <c r="BQ76" s="141"/>
      <c r="BR76" s="149">
        <f t="shared" si="30"/>
        <v>8400</v>
      </c>
      <c r="BS76" s="145"/>
      <c r="BT76" s="141"/>
      <c r="BU76" s="141"/>
      <c r="BV76" s="141">
        <v>4440</v>
      </c>
      <c r="BW76" s="141"/>
      <c r="BX76" s="149">
        <f t="shared" si="31"/>
        <v>4440</v>
      </c>
      <c r="BY76" s="139"/>
      <c r="BZ76" s="139"/>
      <c r="CA76" s="139"/>
      <c r="CB76" s="139"/>
      <c r="CC76" s="139"/>
      <c r="CD76" s="139"/>
      <c r="CE76" s="139"/>
      <c r="CF76" s="139"/>
      <c r="CG76" s="139"/>
      <c r="CH76" s="139"/>
      <c r="CI76" s="139"/>
      <c r="CJ76" s="139"/>
      <c r="CK76" s="139"/>
      <c r="CL76" s="139"/>
    </row>
    <row r="77" spans="1:90" s="78" customFormat="1" ht="15" customHeight="1">
      <c r="A77" s="163">
        <v>37501</v>
      </c>
      <c r="B77" s="164" t="s">
        <v>151</v>
      </c>
      <c r="C77" s="85">
        <v>900000</v>
      </c>
      <c r="D77" s="85">
        <v>6500</v>
      </c>
      <c r="E77" s="86">
        <v>4500</v>
      </c>
      <c r="F77" s="86"/>
      <c r="G77" s="89">
        <v>6500</v>
      </c>
      <c r="H77" s="87">
        <f t="shared" si="22"/>
        <v>1</v>
      </c>
      <c r="I77" s="89">
        <f t="shared" si="23"/>
        <v>0</v>
      </c>
      <c r="J77" s="216"/>
      <c r="K77" s="209"/>
      <c r="L77" s="141"/>
      <c r="M77" s="141">
        <f t="shared" si="18"/>
        <v>0</v>
      </c>
      <c r="N77" s="141">
        <f t="shared" si="32"/>
        <v>0</v>
      </c>
      <c r="O77" s="141">
        <f t="shared" si="21"/>
        <v>0</v>
      </c>
      <c r="P77" s="141">
        <f t="shared" si="33"/>
        <v>0</v>
      </c>
      <c r="Q77" s="141">
        <f t="shared" si="34"/>
        <v>0</v>
      </c>
      <c r="R77" s="145"/>
      <c r="S77" s="145"/>
      <c r="T77" s="141"/>
      <c r="U77" s="141"/>
      <c r="V77" s="141"/>
      <c r="W77" s="141"/>
      <c r="X77" s="141">
        <f aca="true" t="shared" si="36" ref="X77:X109">SUM(T77:W77)</f>
        <v>0</v>
      </c>
      <c r="Y77" s="145"/>
      <c r="Z77" s="141">
        <v>9836.8</v>
      </c>
      <c r="AA77" s="141">
        <v>0</v>
      </c>
      <c r="AB77" s="141"/>
      <c r="AC77" s="141"/>
      <c r="AD77" s="141">
        <f aca="true" t="shared" si="37" ref="AD77:AD109">SUM(Z77:AC77)</f>
        <v>9836.8</v>
      </c>
      <c r="AE77" s="141"/>
      <c r="AF77" s="141"/>
      <c r="AG77" s="141"/>
      <c r="AH77" s="141"/>
      <c r="AI77" s="149">
        <f t="shared" si="35"/>
        <v>0</v>
      </c>
      <c r="AJ77" s="141"/>
      <c r="AK77" s="141"/>
      <c r="AL77" s="141"/>
      <c r="AM77" s="141"/>
      <c r="AN77" s="149">
        <f t="shared" si="25"/>
        <v>0</v>
      </c>
      <c r="AO77" s="145"/>
      <c r="AP77" s="141"/>
      <c r="AQ77" s="141"/>
      <c r="AR77" s="141"/>
      <c r="AS77" s="141"/>
      <c r="AT77" s="149">
        <f t="shared" si="26"/>
        <v>0</v>
      </c>
      <c r="AU77" s="145"/>
      <c r="AV77" s="141"/>
      <c r="AW77" s="141"/>
      <c r="AX77" s="141"/>
      <c r="AY77" s="141"/>
      <c r="AZ77" s="149">
        <f t="shared" si="27"/>
        <v>0</v>
      </c>
      <c r="BA77" s="145"/>
      <c r="BB77" s="141"/>
      <c r="BC77" s="141"/>
      <c r="BD77" s="141"/>
      <c r="BE77" s="141"/>
      <c r="BF77" s="149">
        <f t="shared" si="28"/>
        <v>0</v>
      </c>
      <c r="BG77" s="145"/>
      <c r="BH77" s="141"/>
      <c r="BI77" s="141"/>
      <c r="BJ77" s="141"/>
      <c r="BK77" s="141"/>
      <c r="BL77" s="149">
        <f t="shared" si="29"/>
        <v>0</v>
      </c>
      <c r="BM77" s="145"/>
      <c r="BN77" s="141"/>
      <c r="BO77" s="141"/>
      <c r="BP77" s="141"/>
      <c r="BQ77" s="141"/>
      <c r="BR77" s="149">
        <f t="shared" si="30"/>
        <v>0</v>
      </c>
      <c r="BS77" s="145"/>
      <c r="BT77" s="141"/>
      <c r="BU77" s="141"/>
      <c r="BV77" s="141"/>
      <c r="BW77" s="141"/>
      <c r="BX77" s="149">
        <f t="shared" si="31"/>
        <v>0</v>
      </c>
      <c r="BY77" s="139"/>
      <c r="BZ77" s="139"/>
      <c r="CA77" s="139"/>
      <c r="CB77" s="139"/>
      <c r="CC77" s="139"/>
      <c r="CD77" s="139"/>
      <c r="CE77" s="139"/>
      <c r="CF77" s="139"/>
      <c r="CG77" s="139"/>
      <c r="CH77" s="139"/>
      <c r="CI77" s="139"/>
      <c r="CJ77" s="139"/>
      <c r="CK77" s="139"/>
      <c r="CL77" s="139"/>
    </row>
    <row r="78" spans="1:90" s="78" customFormat="1" ht="15" customHeight="1">
      <c r="A78" s="163">
        <v>37502</v>
      </c>
      <c r="B78" s="164" t="s">
        <v>152</v>
      </c>
      <c r="C78" s="85">
        <v>50000</v>
      </c>
      <c r="D78" s="85">
        <v>72930</v>
      </c>
      <c r="E78" s="86">
        <v>11430</v>
      </c>
      <c r="F78" s="86"/>
      <c r="G78" s="89">
        <v>72930</v>
      </c>
      <c r="H78" s="87">
        <f t="shared" si="22"/>
        <v>1</v>
      </c>
      <c r="I78" s="89">
        <f t="shared" si="23"/>
        <v>0</v>
      </c>
      <c r="J78" s="216"/>
      <c r="K78" s="209"/>
      <c r="L78" s="141"/>
      <c r="M78" s="141">
        <f t="shared" si="18"/>
        <v>1316</v>
      </c>
      <c r="N78" s="141">
        <f t="shared" si="32"/>
        <v>950</v>
      </c>
      <c r="O78" s="141">
        <f t="shared" si="21"/>
        <v>1198</v>
      </c>
      <c r="P78" s="141">
        <f t="shared" si="33"/>
        <v>383</v>
      </c>
      <c r="Q78" s="141">
        <f t="shared" si="34"/>
        <v>1921</v>
      </c>
      <c r="R78" s="145"/>
      <c r="S78" s="145"/>
      <c r="T78" s="141">
        <v>1919</v>
      </c>
      <c r="U78" s="141">
        <v>1071</v>
      </c>
      <c r="V78" s="141">
        <v>872</v>
      </c>
      <c r="W78" s="141">
        <v>1366</v>
      </c>
      <c r="X78" s="141">
        <f t="shared" si="36"/>
        <v>5228</v>
      </c>
      <c r="Y78" s="145"/>
      <c r="Z78" s="141"/>
      <c r="AA78" s="141">
        <v>0</v>
      </c>
      <c r="AB78" s="141">
        <v>52</v>
      </c>
      <c r="AC78" s="141">
        <v>1437</v>
      </c>
      <c r="AD78" s="141">
        <f t="shared" si="37"/>
        <v>1489</v>
      </c>
      <c r="AE78" s="141"/>
      <c r="AF78" s="141">
        <v>2167</v>
      </c>
      <c r="AG78" s="141">
        <v>162</v>
      </c>
      <c r="AH78" s="141">
        <v>481</v>
      </c>
      <c r="AI78" s="149">
        <f t="shared" si="35"/>
        <v>2810</v>
      </c>
      <c r="AJ78" s="141">
        <v>458</v>
      </c>
      <c r="AK78" s="141">
        <v>775</v>
      </c>
      <c r="AL78" s="141">
        <v>78</v>
      </c>
      <c r="AM78" s="141">
        <v>244</v>
      </c>
      <c r="AN78" s="149">
        <f t="shared" si="25"/>
        <v>1555</v>
      </c>
      <c r="AO78" s="145"/>
      <c r="AP78" s="141">
        <v>122</v>
      </c>
      <c r="AQ78" s="141">
        <v>162</v>
      </c>
      <c r="AR78" s="141">
        <v>209</v>
      </c>
      <c r="AS78" s="141">
        <v>1747</v>
      </c>
      <c r="AT78" s="149">
        <f t="shared" si="26"/>
        <v>2240</v>
      </c>
      <c r="AU78" s="145"/>
      <c r="AV78" s="141"/>
      <c r="AW78" s="141">
        <v>843</v>
      </c>
      <c r="AX78" s="141"/>
      <c r="AY78" s="141">
        <v>473</v>
      </c>
      <c r="AZ78" s="149">
        <f t="shared" si="27"/>
        <v>1316</v>
      </c>
      <c r="BA78" s="145"/>
      <c r="BB78" s="141"/>
      <c r="BC78" s="141">
        <v>270</v>
      </c>
      <c r="BD78" s="141">
        <v>52</v>
      </c>
      <c r="BE78" s="141">
        <v>628</v>
      </c>
      <c r="BF78" s="149">
        <f t="shared" si="28"/>
        <v>950</v>
      </c>
      <c r="BG78" s="145"/>
      <c r="BH78" s="141">
        <v>61</v>
      </c>
      <c r="BI78" s="141">
        <v>801</v>
      </c>
      <c r="BJ78" s="141">
        <v>174</v>
      </c>
      <c r="BK78" s="141">
        <v>162</v>
      </c>
      <c r="BL78" s="149">
        <f t="shared" si="29"/>
        <v>1198</v>
      </c>
      <c r="BM78" s="145"/>
      <c r="BN78" s="141"/>
      <c r="BO78" s="141">
        <v>296</v>
      </c>
      <c r="BP78" s="141"/>
      <c r="BQ78" s="141">
        <v>87</v>
      </c>
      <c r="BR78" s="149">
        <f t="shared" si="30"/>
        <v>383</v>
      </c>
      <c r="BS78" s="145"/>
      <c r="BT78" s="141">
        <v>235</v>
      </c>
      <c r="BU78" s="141">
        <v>1126</v>
      </c>
      <c r="BV78" s="141">
        <v>142</v>
      </c>
      <c r="BW78" s="141">
        <v>418</v>
      </c>
      <c r="BX78" s="149">
        <f t="shared" si="31"/>
        <v>1921</v>
      </c>
      <c r="BY78" s="139"/>
      <c r="BZ78" s="139"/>
      <c r="CA78" s="139"/>
      <c r="CB78" s="139"/>
      <c r="CC78" s="139"/>
      <c r="CD78" s="139"/>
      <c r="CE78" s="139"/>
      <c r="CF78" s="139"/>
      <c r="CG78" s="139"/>
      <c r="CH78" s="139"/>
      <c r="CI78" s="139"/>
      <c r="CJ78" s="139"/>
      <c r="CK78" s="139"/>
      <c r="CL78" s="139"/>
    </row>
    <row r="79" spans="1:90" s="78" customFormat="1" ht="15" customHeight="1">
      <c r="A79" s="166">
        <v>38101</v>
      </c>
      <c r="B79" s="164" t="s">
        <v>153</v>
      </c>
      <c r="C79" s="85">
        <v>77500</v>
      </c>
      <c r="D79" s="85">
        <v>39083.34</v>
      </c>
      <c r="E79" s="86">
        <v>6264</v>
      </c>
      <c r="F79" s="86"/>
      <c r="G79" s="89">
        <v>39083.34</v>
      </c>
      <c r="H79" s="87">
        <f t="shared" si="22"/>
        <v>1</v>
      </c>
      <c r="I79" s="89">
        <f t="shared" si="23"/>
        <v>0</v>
      </c>
      <c r="J79" s="216"/>
      <c r="K79" s="209"/>
      <c r="L79" s="141"/>
      <c r="M79" s="141">
        <f t="shared" si="18"/>
        <v>90710</v>
      </c>
      <c r="N79" s="141">
        <f t="shared" si="32"/>
        <v>105780</v>
      </c>
      <c r="O79" s="141">
        <f t="shared" si="21"/>
        <v>20580</v>
      </c>
      <c r="P79" s="141">
        <f t="shared" si="33"/>
        <v>40900.009999999995</v>
      </c>
      <c r="Q79" s="141">
        <f t="shared" si="34"/>
        <v>14770</v>
      </c>
      <c r="R79" s="145"/>
      <c r="S79" s="145"/>
      <c r="T79" s="141">
        <f>72220-1000-1000-750-17750-19610-10600</f>
        <v>21510</v>
      </c>
      <c r="U79" s="141">
        <f>68130-1500-220-3000-220-1000-3000-1800-2300-1220-1050-300-300-1800-1220-1500-2250-1800-4500-1500-14480</f>
        <v>23170</v>
      </c>
      <c r="V79" s="141">
        <f>39410.01-11220-7000-9670</f>
        <v>11520.010000000002</v>
      </c>
      <c r="W79" s="141">
        <f>41550.03-13260.01-1900-5600.02</f>
        <v>20789.999999999996</v>
      </c>
      <c r="X79" s="141">
        <f t="shared" si="36"/>
        <v>76990.01</v>
      </c>
      <c r="Y79" s="145"/>
      <c r="Z79" s="141">
        <f>30220-24500</f>
        <v>5720</v>
      </c>
      <c r="AA79" s="141">
        <f>21100-11770</f>
        <v>9330</v>
      </c>
      <c r="AB79" s="141">
        <f>9800-6500</f>
        <v>3300</v>
      </c>
      <c r="AC79" s="141">
        <f>8920-3610</f>
        <v>5310</v>
      </c>
      <c r="AD79" s="141">
        <f t="shared" si="37"/>
        <v>23660</v>
      </c>
      <c r="AE79" s="141">
        <f>19750-13250</f>
        <v>6500</v>
      </c>
      <c r="AF79" s="141">
        <f>29160-21090</f>
        <v>8070</v>
      </c>
      <c r="AG79" s="141">
        <f>12000-7500</f>
        <v>4500</v>
      </c>
      <c r="AH79" s="141">
        <f>11500-9150</f>
        <v>2350</v>
      </c>
      <c r="AI79" s="149">
        <f t="shared" si="35"/>
        <v>21420</v>
      </c>
      <c r="AJ79" s="141">
        <f>24382-17720</f>
        <v>6662</v>
      </c>
      <c r="AK79" s="141">
        <f>33870-16920</f>
        <v>16950</v>
      </c>
      <c r="AL79" s="141">
        <f>18350-4500</f>
        <v>13850</v>
      </c>
      <c r="AM79" s="141">
        <f>25500.01-8300</f>
        <v>17200.01</v>
      </c>
      <c r="AN79" s="149">
        <f t="shared" si="25"/>
        <v>54662.009999999995</v>
      </c>
      <c r="AO79" s="145"/>
      <c r="AP79" s="141">
        <f>9000-4000</f>
        <v>5000</v>
      </c>
      <c r="AQ79" s="141">
        <f>11990-11790</f>
        <v>200</v>
      </c>
      <c r="AR79" s="141">
        <f>12600-3750</f>
        <v>8850</v>
      </c>
      <c r="AS79" s="141">
        <f>15980-7540</f>
        <v>8440</v>
      </c>
      <c r="AT79" s="149">
        <f t="shared" si="26"/>
        <v>22490</v>
      </c>
      <c r="AU79" s="145"/>
      <c r="AV79" s="141">
        <f>27500-5500</f>
        <v>22000</v>
      </c>
      <c r="AW79" s="141">
        <f>42980-3750</f>
        <v>39230</v>
      </c>
      <c r="AX79" s="141">
        <f>10000-1500</f>
        <v>8500</v>
      </c>
      <c r="AY79" s="141">
        <f>31590-10610</f>
        <v>20980</v>
      </c>
      <c r="AZ79" s="149">
        <f t="shared" si="27"/>
        <v>90710</v>
      </c>
      <c r="BA79" s="145"/>
      <c r="BB79" s="141">
        <v>29690</v>
      </c>
      <c r="BC79" s="141">
        <v>14260</v>
      </c>
      <c r="BD79" s="141">
        <v>11500</v>
      </c>
      <c r="BE79" s="141">
        <f>51330-1000</f>
        <v>50330</v>
      </c>
      <c r="BF79" s="149">
        <f t="shared" si="28"/>
        <v>105780</v>
      </c>
      <c r="BG79" s="145"/>
      <c r="BH79" s="141">
        <v>3000</v>
      </c>
      <c r="BI79" s="141">
        <v>11090</v>
      </c>
      <c r="BJ79" s="141">
        <f>3220-500</f>
        <v>2720</v>
      </c>
      <c r="BK79" s="141">
        <v>3770</v>
      </c>
      <c r="BL79" s="149">
        <f t="shared" si="29"/>
        <v>20580</v>
      </c>
      <c r="BM79" s="145"/>
      <c r="BN79" s="141">
        <v>8500</v>
      </c>
      <c r="BO79" s="141">
        <v>17460.01</v>
      </c>
      <c r="BP79" s="141">
        <v>3300</v>
      </c>
      <c r="BQ79" s="141">
        <v>11640</v>
      </c>
      <c r="BR79" s="149">
        <f t="shared" si="30"/>
        <v>40900.009999999995</v>
      </c>
      <c r="BS79" s="145"/>
      <c r="BT79" s="141">
        <v>9000</v>
      </c>
      <c r="BU79" s="141">
        <v>4770</v>
      </c>
      <c r="BV79" s="141"/>
      <c r="BW79" s="141">
        <v>1000</v>
      </c>
      <c r="BX79" s="149">
        <f t="shared" si="31"/>
        <v>14770</v>
      </c>
      <c r="BY79" s="139"/>
      <c r="BZ79" s="139"/>
      <c r="CA79" s="139"/>
      <c r="CB79" s="139"/>
      <c r="CC79" s="139"/>
      <c r="CD79" s="139"/>
      <c r="CE79" s="139"/>
      <c r="CF79" s="139"/>
      <c r="CG79" s="139"/>
      <c r="CH79" s="139"/>
      <c r="CI79" s="139"/>
      <c r="CJ79" s="139"/>
      <c r="CK79" s="139"/>
      <c r="CL79" s="139"/>
    </row>
    <row r="80" spans="1:90" s="78" customFormat="1" ht="12.75">
      <c r="A80" s="166">
        <v>34801</v>
      </c>
      <c r="B80" s="173" t="s">
        <v>154</v>
      </c>
      <c r="C80" s="85">
        <v>0</v>
      </c>
      <c r="D80" s="85">
        <v>7389.16</v>
      </c>
      <c r="E80" s="86">
        <v>0</v>
      </c>
      <c r="F80" s="86"/>
      <c r="G80" s="89">
        <v>7389.16</v>
      </c>
      <c r="H80" s="87">
        <f t="shared" si="22"/>
        <v>1</v>
      </c>
      <c r="I80" s="89">
        <f t="shared" si="23"/>
        <v>0</v>
      </c>
      <c r="J80" s="216"/>
      <c r="K80" s="209"/>
      <c r="L80" s="141"/>
      <c r="M80" s="141">
        <f t="shared" si="18"/>
        <v>0</v>
      </c>
      <c r="N80" s="141">
        <f t="shared" si="32"/>
        <v>8256.88</v>
      </c>
      <c r="O80" s="141">
        <f t="shared" si="21"/>
        <v>0</v>
      </c>
      <c r="P80" s="141">
        <f t="shared" si="33"/>
        <v>22166.64</v>
      </c>
      <c r="Q80" s="141">
        <f t="shared" si="34"/>
        <v>9988.07</v>
      </c>
      <c r="R80" s="145"/>
      <c r="S80" s="145"/>
      <c r="T80" s="141">
        <v>1608.32</v>
      </c>
      <c r="U80" s="141"/>
      <c r="V80" s="141"/>
      <c r="W80" s="141"/>
      <c r="X80" s="141">
        <f t="shared" si="36"/>
        <v>1608.32</v>
      </c>
      <c r="Y80" s="145"/>
      <c r="Z80" s="141">
        <v>5690</v>
      </c>
      <c r="AA80" s="141"/>
      <c r="AB80" s="141"/>
      <c r="AC80" s="141"/>
      <c r="AD80" s="141">
        <f t="shared" si="37"/>
        <v>5690</v>
      </c>
      <c r="AE80" s="141">
        <v>5932.64</v>
      </c>
      <c r="AF80" s="141"/>
      <c r="AG80" s="141"/>
      <c r="AH80" s="141"/>
      <c r="AI80" s="149">
        <f t="shared" si="35"/>
        <v>5932.64</v>
      </c>
      <c r="AJ80" s="141"/>
      <c r="AK80" s="141"/>
      <c r="AL80" s="141"/>
      <c r="AM80" s="141"/>
      <c r="AN80" s="149">
        <f t="shared" si="25"/>
        <v>0</v>
      </c>
      <c r="AO80" s="145"/>
      <c r="AP80" s="141">
        <v>6496</v>
      </c>
      <c r="AQ80" s="141"/>
      <c r="AR80" s="141"/>
      <c r="AS80" s="141"/>
      <c r="AT80" s="149">
        <f t="shared" si="26"/>
        <v>6496</v>
      </c>
      <c r="AU80" s="145"/>
      <c r="AV80" s="141"/>
      <c r="AW80" s="141"/>
      <c r="AX80" s="141"/>
      <c r="AY80" s="141"/>
      <c r="AZ80" s="149">
        <f t="shared" si="27"/>
        <v>0</v>
      </c>
      <c r="BA80" s="145"/>
      <c r="BB80" s="141">
        <v>8256.88</v>
      </c>
      <c r="BC80" s="141"/>
      <c r="BD80" s="141"/>
      <c r="BE80" s="141"/>
      <c r="BF80" s="149">
        <f t="shared" si="28"/>
        <v>8256.88</v>
      </c>
      <c r="BG80" s="145"/>
      <c r="BH80" s="141"/>
      <c r="BI80" s="141"/>
      <c r="BJ80" s="141"/>
      <c r="BK80" s="141"/>
      <c r="BL80" s="149">
        <f t="shared" si="29"/>
        <v>0</v>
      </c>
      <c r="BM80" s="145"/>
      <c r="BN80" s="141">
        <v>22166.64</v>
      </c>
      <c r="BO80" s="141"/>
      <c r="BP80" s="141"/>
      <c r="BQ80" s="141"/>
      <c r="BR80" s="149">
        <f t="shared" si="30"/>
        <v>22166.64</v>
      </c>
      <c r="BS80" s="145"/>
      <c r="BT80" s="141">
        <v>9988.07</v>
      </c>
      <c r="BU80" s="141"/>
      <c r="BV80" s="141"/>
      <c r="BW80" s="141"/>
      <c r="BX80" s="149">
        <f t="shared" si="31"/>
        <v>9988.07</v>
      </c>
      <c r="BY80" s="139"/>
      <c r="BZ80" s="139"/>
      <c r="CA80" s="139"/>
      <c r="CB80" s="139"/>
      <c r="CC80" s="139"/>
      <c r="CD80" s="139"/>
      <c r="CE80" s="139"/>
      <c r="CF80" s="139"/>
      <c r="CG80" s="139"/>
      <c r="CH80" s="139"/>
      <c r="CI80" s="139"/>
      <c r="CJ80" s="139"/>
      <c r="CK80" s="139"/>
      <c r="CL80" s="139"/>
    </row>
    <row r="81" spans="1:90" s="78" customFormat="1" ht="22.5">
      <c r="A81" s="166">
        <v>33101</v>
      </c>
      <c r="B81" s="173" t="s">
        <v>155</v>
      </c>
      <c r="C81" s="85">
        <v>0</v>
      </c>
      <c r="D81" s="85">
        <v>123423.21</v>
      </c>
      <c r="E81" s="86">
        <v>0</v>
      </c>
      <c r="F81" s="86"/>
      <c r="G81" s="89">
        <v>123423.21</v>
      </c>
      <c r="H81" s="87">
        <f t="shared" si="22"/>
        <v>1</v>
      </c>
      <c r="I81" s="89">
        <f t="shared" si="23"/>
        <v>0</v>
      </c>
      <c r="J81" s="216"/>
      <c r="K81" s="209"/>
      <c r="L81" s="141"/>
      <c r="M81" s="141">
        <f t="shared" si="18"/>
        <v>7138.91</v>
      </c>
      <c r="N81" s="141">
        <f t="shared" si="32"/>
        <v>8633</v>
      </c>
      <c r="O81" s="141">
        <f t="shared" si="21"/>
        <v>4793.59</v>
      </c>
      <c r="P81" s="141">
        <f t="shared" si="33"/>
        <v>5451</v>
      </c>
      <c r="Q81" s="141">
        <f t="shared" si="34"/>
        <v>3125.63</v>
      </c>
      <c r="R81" s="145"/>
      <c r="S81" s="145"/>
      <c r="T81" s="141">
        <v>4080.34</v>
      </c>
      <c r="U81" s="141"/>
      <c r="V81" s="141">
        <f>1679.45-808.58</f>
        <v>870.87</v>
      </c>
      <c r="W81" s="141"/>
      <c r="X81" s="141">
        <f t="shared" si="36"/>
        <v>4951.21</v>
      </c>
      <c r="Y81" s="145"/>
      <c r="Z81" s="141">
        <v>10311.83</v>
      </c>
      <c r="AA81" s="141"/>
      <c r="AB81" s="141"/>
      <c r="AC81" s="141"/>
      <c r="AD81" s="141">
        <f t="shared" si="37"/>
        <v>10311.83</v>
      </c>
      <c r="AE81" s="141">
        <v>4864</v>
      </c>
      <c r="AF81" s="141"/>
      <c r="AG81" s="141">
        <v>993.84</v>
      </c>
      <c r="AH81" s="141"/>
      <c r="AI81" s="149">
        <f t="shared" si="35"/>
        <v>5857.84</v>
      </c>
      <c r="AJ81" s="141">
        <v>2090.56</v>
      </c>
      <c r="AK81" s="141"/>
      <c r="AL81" s="141"/>
      <c r="AM81" s="141"/>
      <c r="AN81" s="149">
        <f t="shared" si="25"/>
        <v>2090.56</v>
      </c>
      <c r="AO81" s="145"/>
      <c r="AP81" s="141">
        <v>1251.31</v>
      </c>
      <c r="AQ81" s="141"/>
      <c r="AR81" s="141">
        <v>424</v>
      </c>
      <c r="AS81" s="141"/>
      <c r="AT81" s="149">
        <f t="shared" si="26"/>
        <v>1675.31</v>
      </c>
      <c r="AU81" s="145"/>
      <c r="AV81" s="141">
        <v>5417.8</v>
      </c>
      <c r="AW81" s="141"/>
      <c r="AX81" s="141">
        <v>1721.11</v>
      </c>
      <c r="AY81" s="141"/>
      <c r="AZ81" s="149">
        <f t="shared" si="27"/>
        <v>7138.91</v>
      </c>
      <c r="BA81" s="145"/>
      <c r="BB81" s="141">
        <v>6960</v>
      </c>
      <c r="BC81" s="141"/>
      <c r="BD81" s="141">
        <v>1673</v>
      </c>
      <c r="BE81" s="141"/>
      <c r="BF81" s="149">
        <f t="shared" si="28"/>
        <v>8633</v>
      </c>
      <c r="BG81" s="145"/>
      <c r="BH81" s="141">
        <v>424</v>
      </c>
      <c r="BI81" s="141"/>
      <c r="BJ81" s="141">
        <v>4369.59</v>
      </c>
      <c r="BK81" s="141"/>
      <c r="BL81" s="149">
        <f t="shared" si="29"/>
        <v>4793.59</v>
      </c>
      <c r="BM81" s="145"/>
      <c r="BN81" s="141"/>
      <c r="BO81" s="141"/>
      <c r="BP81" s="141">
        <v>5451</v>
      </c>
      <c r="BQ81" s="141"/>
      <c r="BR81" s="149">
        <f t="shared" si="30"/>
        <v>5451</v>
      </c>
      <c r="BS81" s="145"/>
      <c r="BT81" s="141">
        <v>1735.69</v>
      </c>
      <c r="BU81" s="141"/>
      <c r="BV81" s="141">
        <v>1389.94</v>
      </c>
      <c r="BW81" s="141"/>
      <c r="BX81" s="149">
        <f t="shared" si="31"/>
        <v>3125.63</v>
      </c>
      <c r="BY81" s="139"/>
      <c r="BZ81" s="139"/>
      <c r="CA81" s="139"/>
      <c r="CB81" s="139"/>
      <c r="CC81" s="139"/>
      <c r="CD81" s="139"/>
      <c r="CE81" s="139"/>
      <c r="CF81" s="139"/>
      <c r="CG81" s="139"/>
      <c r="CH81" s="139"/>
      <c r="CI81" s="139"/>
      <c r="CJ81" s="139"/>
      <c r="CK81" s="139"/>
      <c r="CL81" s="139"/>
    </row>
    <row r="82" spans="1:90" s="78" customFormat="1" ht="22.5">
      <c r="A82" s="166">
        <v>35302</v>
      </c>
      <c r="B82" s="167" t="s">
        <v>156</v>
      </c>
      <c r="C82" s="85">
        <v>0</v>
      </c>
      <c r="D82" s="85">
        <v>2900</v>
      </c>
      <c r="E82" s="86">
        <v>0</v>
      </c>
      <c r="F82" s="86"/>
      <c r="G82" s="89">
        <v>2900</v>
      </c>
      <c r="H82" s="87">
        <f t="shared" si="22"/>
        <v>1</v>
      </c>
      <c r="I82" s="89">
        <f t="shared" si="23"/>
        <v>0</v>
      </c>
      <c r="J82" s="216"/>
      <c r="K82" s="209"/>
      <c r="L82" s="141"/>
      <c r="M82" s="141">
        <f t="shared" si="18"/>
        <v>0</v>
      </c>
      <c r="N82" s="141">
        <f t="shared" si="32"/>
        <v>0</v>
      </c>
      <c r="O82" s="141">
        <f t="shared" si="21"/>
        <v>0</v>
      </c>
      <c r="P82" s="141">
        <f t="shared" si="33"/>
        <v>0</v>
      </c>
      <c r="Q82" s="141">
        <f t="shared" si="34"/>
        <v>0</v>
      </c>
      <c r="R82" s="145"/>
      <c r="S82" s="145"/>
      <c r="T82" s="141"/>
      <c r="U82" s="141"/>
      <c r="V82" s="141"/>
      <c r="W82" s="141"/>
      <c r="X82" s="141">
        <f t="shared" si="36"/>
        <v>0</v>
      </c>
      <c r="Y82" s="145"/>
      <c r="Z82" s="141"/>
      <c r="AA82" s="141"/>
      <c r="AB82" s="141"/>
      <c r="AC82" s="141"/>
      <c r="AD82" s="141">
        <f t="shared" si="37"/>
        <v>0</v>
      </c>
      <c r="AE82" s="141"/>
      <c r="AF82" s="141"/>
      <c r="AG82" s="141"/>
      <c r="AH82" s="141"/>
      <c r="AI82" s="149">
        <f t="shared" si="35"/>
        <v>0</v>
      </c>
      <c r="AJ82" s="141"/>
      <c r="AK82" s="141"/>
      <c r="AL82" s="141"/>
      <c r="AM82" s="141"/>
      <c r="AN82" s="149">
        <f t="shared" si="25"/>
        <v>0</v>
      </c>
      <c r="AO82" s="145"/>
      <c r="AP82" s="141"/>
      <c r="AQ82" s="141"/>
      <c r="AR82" s="141"/>
      <c r="AS82" s="141"/>
      <c r="AT82" s="149">
        <f t="shared" si="26"/>
        <v>0</v>
      </c>
      <c r="AU82" s="145"/>
      <c r="AV82" s="141"/>
      <c r="AW82" s="141"/>
      <c r="AX82" s="141"/>
      <c r="AY82" s="141"/>
      <c r="AZ82" s="149">
        <f t="shared" si="27"/>
        <v>0</v>
      </c>
      <c r="BA82" s="145"/>
      <c r="BB82" s="141"/>
      <c r="BC82" s="141"/>
      <c r="BD82" s="141"/>
      <c r="BE82" s="141"/>
      <c r="BF82" s="149">
        <f t="shared" si="28"/>
        <v>0</v>
      </c>
      <c r="BG82" s="145"/>
      <c r="BH82" s="141"/>
      <c r="BI82" s="141"/>
      <c r="BJ82" s="141"/>
      <c r="BK82" s="141"/>
      <c r="BL82" s="149">
        <f t="shared" si="29"/>
        <v>0</v>
      </c>
      <c r="BM82" s="145"/>
      <c r="BN82" s="141"/>
      <c r="BO82" s="141"/>
      <c r="BP82" s="141"/>
      <c r="BQ82" s="141"/>
      <c r="BR82" s="149">
        <f t="shared" si="30"/>
        <v>0</v>
      </c>
      <c r="BS82" s="145"/>
      <c r="BT82" s="141"/>
      <c r="BU82" s="141"/>
      <c r="BV82" s="141"/>
      <c r="BW82" s="141"/>
      <c r="BX82" s="149">
        <f t="shared" si="31"/>
        <v>0</v>
      </c>
      <c r="BY82" s="139"/>
      <c r="BZ82" s="139"/>
      <c r="CA82" s="139"/>
      <c r="CB82" s="139"/>
      <c r="CC82" s="139"/>
      <c r="CD82" s="139"/>
      <c r="CE82" s="139"/>
      <c r="CF82" s="139"/>
      <c r="CG82" s="139"/>
      <c r="CH82" s="139"/>
      <c r="CI82" s="139"/>
      <c r="CJ82" s="139"/>
      <c r="CK82" s="139"/>
      <c r="CL82" s="139"/>
    </row>
    <row r="83" spans="1:90" s="78" customFormat="1" ht="15" customHeight="1">
      <c r="A83" s="164">
        <v>32701</v>
      </c>
      <c r="B83" s="218" t="s">
        <v>167</v>
      </c>
      <c r="C83" s="85">
        <v>0</v>
      </c>
      <c r="D83" s="189">
        <v>1050</v>
      </c>
      <c r="E83" s="190">
        <v>1050</v>
      </c>
      <c r="F83" s="190"/>
      <c r="G83" s="190">
        <v>1050</v>
      </c>
      <c r="H83" s="87">
        <f t="shared" si="22"/>
        <v>1</v>
      </c>
      <c r="I83" s="89">
        <f t="shared" si="23"/>
        <v>0</v>
      </c>
      <c r="J83" s="218"/>
      <c r="K83" s="210"/>
      <c r="L83" s="149"/>
      <c r="M83" s="149">
        <f>SUM(M57:M82)</f>
        <v>518999.5899999999</v>
      </c>
      <c r="N83" s="149">
        <f>SUM(N57:N82)</f>
        <v>411223.94</v>
      </c>
      <c r="O83" s="149">
        <f>SUM(O57:O82)</f>
        <v>409631.76000000007</v>
      </c>
      <c r="P83" s="149">
        <f>SUM(P57:P82)</f>
        <v>296552.43000000005</v>
      </c>
      <c r="Q83" s="149">
        <f>SUM(Q57:Q82)</f>
        <v>250365.46000000002</v>
      </c>
      <c r="R83" s="145"/>
      <c r="S83" s="145"/>
      <c r="T83" s="149">
        <f>SUM(T57:T82)</f>
        <v>76059.45</v>
      </c>
      <c r="U83" s="149">
        <f>SUM(U57:U82)</f>
        <v>245666.84</v>
      </c>
      <c r="V83" s="149">
        <f>SUM(V57:V82)</f>
        <v>358381.45</v>
      </c>
      <c r="W83" s="149">
        <f>SUM(W57:W82)</f>
        <v>58973.05</v>
      </c>
      <c r="X83" s="141">
        <f t="shared" si="36"/>
        <v>739080.79</v>
      </c>
      <c r="Y83" s="145"/>
      <c r="Z83" s="149">
        <f>SUM(Z57:Z82)</f>
        <v>35886.63</v>
      </c>
      <c r="AA83" s="149">
        <f>SUM(AA57:AA82)</f>
        <v>59310.04</v>
      </c>
      <c r="AB83" s="149">
        <f>SUM(AB57:AB82)</f>
        <v>162709.24</v>
      </c>
      <c r="AC83" s="149">
        <f>SUM(AC57:AC82)</f>
        <v>19711.23</v>
      </c>
      <c r="AD83" s="149">
        <f t="shared" si="37"/>
        <v>277617.13999999996</v>
      </c>
      <c r="AE83" s="149">
        <f aca="true" t="shared" si="38" ref="AE83:AN83">SUM(AE57:AE82)</f>
        <v>30590.019999999997</v>
      </c>
      <c r="AF83" s="149">
        <f t="shared" si="38"/>
        <v>119739.92</v>
      </c>
      <c r="AG83" s="149">
        <f t="shared" si="38"/>
        <v>291614.23000000004</v>
      </c>
      <c r="AH83" s="149">
        <f t="shared" si="38"/>
        <v>29448.73</v>
      </c>
      <c r="AI83" s="149">
        <f t="shared" si="38"/>
        <v>471392.9000000001</v>
      </c>
      <c r="AJ83" s="149">
        <f t="shared" si="38"/>
        <v>22939.38</v>
      </c>
      <c r="AK83" s="149">
        <f t="shared" si="38"/>
        <v>101894.08</v>
      </c>
      <c r="AL83" s="149">
        <f t="shared" si="38"/>
        <v>185115.34</v>
      </c>
      <c r="AM83" s="149">
        <f t="shared" si="38"/>
        <v>24147.969999999998</v>
      </c>
      <c r="AN83" s="149">
        <f t="shared" si="38"/>
        <v>334096.77</v>
      </c>
      <c r="AO83" s="145"/>
      <c r="AP83" s="149">
        <f>SUM(AP57:AP82)</f>
        <v>32793.82</v>
      </c>
      <c r="AQ83" s="149">
        <f>SUM(AQ57:AQ82)</f>
        <v>83887.4</v>
      </c>
      <c r="AR83" s="149">
        <f>SUM(AR57:AR82)</f>
        <v>140282.59</v>
      </c>
      <c r="AS83" s="149">
        <f>SUM(AS57:AS82)</f>
        <v>30052.479999999996</v>
      </c>
      <c r="AT83" s="149">
        <f>SUM(AT57:AT82)</f>
        <v>287016.29000000004</v>
      </c>
      <c r="AU83" s="145"/>
      <c r="AV83" s="149">
        <f>SUM(AV57:AV82)</f>
        <v>46078.42</v>
      </c>
      <c r="AW83" s="149">
        <f>SUM(AW57:AW82)</f>
        <v>317756.04</v>
      </c>
      <c r="AX83" s="149">
        <f>SUM(AX57:AX82)</f>
        <v>114937.92</v>
      </c>
      <c r="AY83" s="149">
        <f>SUM(AY57:AY82)</f>
        <v>40227.21</v>
      </c>
      <c r="AZ83" s="149">
        <f>SUM(AZ57:AZ82)</f>
        <v>518999.5899999999</v>
      </c>
      <c r="BA83" s="145"/>
      <c r="BB83" s="149">
        <f>SUM(BB57:BB82)</f>
        <v>52854.479999999996</v>
      </c>
      <c r="BC83" s="149">
        <f>SUM(BC57:BC82)</f>
        <v>47795.270000000004</v>
      </c>
      <c r="BD83" s="149">
        <f>SUM(BD57:BD82)</f>
        <v>149520.04</v>
      </c>
      <c r="BE83" s="149">
        <f>SUM(BE57:BE82)</f>
        <v>161054.15</v>
      </c>
      <c r="BF83" s="149">
        <f>SUM(BF57:BF82)</f>
        <v>411223.94</v>
      </c>
      <c r="BG83" s="145"/>
      <c r="BH83" s="149">
        <f>SUM(BH57:BH82)</f>
        <v>20447.8</v>
      </c>
      <c r="BI83" s="149">
        <f>SUM(BI57:BI82)</f>
        <v>40716.31</v>
      </c>
      <c r="BJ83" s="149">
        <f>SUM(BJ57:BJ82)</f>
        <v>245185.40999999997</v>
      </c>
      <c r="BK83" s="149">
        <f>SUM(BK57:BK82)</f>
        <v>103282.24</v>
      </c>
      <c r="BL83" s="149">
        <f>SUM(BL57:BL82)</f>
        <v>409631.76000000007</v>
      </c>
      <c r="BM83" s="145"/>
      <c r="BN83" s="149">
        <f>SUM(BN57:BN82)</f>
        <v>39061.54</v>
      </c>
      <c r="BO83" s="149">
        <f>SUM(BO57:BO82)</f>
        <v>33640.02</v>
      </c>
      <c r="BP83" s="149">
        <f>SUM(BP57:BP82)</f>
        <v>123415.06999999999</v>
      </c>
      <c r="BQ83" s="149">
        <f>SUM(BQ57:BQ82)</f>
        <v>100435.8</v>
      </c>
      <c r="BR83" s="149">
        <f>SUM(BR57:BR82)</f>
        <v>296552.43000000005</v>
      </c>
      <c r="BS83" s="145"/>
      <c r="BT83" s="149">
        <f>SUM(BT57:BT82)</f>
        <v>51625.4</v>
      </c>
      <c r="BU83" s="149">
        <f>SUM(BU57:BU82)</f>
        <v>37668.95</v>
      </c>
      <c r="BV83" s="149">
        <f>SUM(BV57:BV82)</f>
        <v>124224.75</v>
      </c>
      <c r="BW83" s="149">
        <f>SUM(BW57:BW82)</f>
        <v>36846.36</v>
      </c>
      <c r="BX83" s="149">
        <f>SUM(BX57:BX82)</f>
        <v>250365.46000000002</v>
      </c>
      <c r="BY83" s="139"/>
      <c r="BZ83" s="139"/>
      <c r="CA83" s="139"/>
      <c r="CB83" s="139"/>
      <c r="CC83" s="139"/>
      <c r="CD83" s="139"/>
      <c r="CE83" s="139"/>
      <c r="CF83" s="139"/>
      <c r="CG83" s="139"/>
      <c r="CH83" s="139"/>
      <c r="CI83" s="139"/>
      <c r="CJ83" s="139"/>
      <c r="CK83" s="139"/>
      <c r="CL83" s="139"/>
    </row>
    <row r="84" spans="1:90" s="78" customFormat="1" ht="15" customHeight="1">
      <c r="A84" s="174"/>
      <c r="B84" s="175"/>
      <c r="C84" s="85"/>
      <c r="D84" s="85"/>
      <c r="E84" s="86"/>
      <c r="F84" s="86"/>
      <c r="G84" s="86"/>
      <c r="H84" s="87"/>
      <c r="I84" s="89"/>
      <c r="J84" s="216"/>
      <c r="K84" s="209"/>
      <c r="L84" s="141"/>
      <c r="M84" s="141">
        <f t="shared" si="18"/>
        <v>15138</v>
      </c>
      <c r="N84" s="141">
        <f t="shared" si="32"/>
        <v>7443.14</v>
      </c>
      <c r="O84" s="141">
        <f t="shared" si="21"/>
        <v>7888</v>
      </c>
      <c r="P84" s="141">
        <f t="shared" si="33"/>
        <v>-370</v>
      </c>
      <c r="Q84" s="141">
        <f t="shared" si="34"/>
        <v>0</v>
      </c>
      <c r="R84" s="145"/>
      <c r="S84" s="145"/>
      <c r="T84" s="141">
        <v>6358.82</v>
      </c>
      <c r="U84" s="141"/>
      <c r="V84" s="141"/>
      <c r="W84" s="141"/>
      <c r="X84" s="141">
        <f t="shared" si="36"/>
        <v>6358.82</v>
      </c>
      <c r="Y84" s="145"/>
      <c r="Z84" s="141"/>
      <c r="AA84" s="141"/>
      <c r="AB84" s="141"/>
      <c r="AC84" s="141"/>
      <c r="AD84" s="141">
        <f t="shared" si="37"/>
        <v>0</v>
      </c>
      <c r="AE84" s="141"/>
      <c r="AF84" s="141"/>
      <c r="AG84" s="141"/>
      <c r="AH84" s="141"/>
      <c r="AI84" s="149">
        <f t="shared" si="35"/>
        <v>0</v>
      </c>
      <c r="AJ84" s="141"/>
      <c r="AK84" s="141"/>
      <c r="AL84" s="141"/>
      <c r="AM84" s="141"/>
      <c r="AN84" s="149">
        <f>SUM(AJ84:AM84)</f>
        <v>0</v>
      </c>
      <c r="AO84" s="145"/>
      <c r="AP84" s="141">
        <v>87989.48</v>
      </c>
      <c r="AQ84" s="141"/>
      <c r="AR84" s="141"/>
      <c r="AS84" s="141"/>
      <c r="AT84" s="149">
        <f>SUM(AP84:AS84)</f>
        <v>87989.48</v>
      </c>
      <c r="AU84" s="145"/>
      <c r="AV84" s="141">
        <v>15138</v>
      </c>
      <c r="AW84" s="141"/>
      <c r="AX84" s="141"/>
      <c r="AY84" s="141"/>
      <c r="AZ84" s="149">
        <f>SUM(AV84:AY84)</f>
        <v>15138</v>
      </c>
      <c r="BA84" s="145"/>
      <c r="BB84" s="141">
        <v>7443.14</v>
      </c>
      <c r="BC84" s="141"/>
      <c r="BD84" s="141"/>
      <c r="BE84" s="141"/>
      <c r="BF84" s="149">
        <f>SUM(BB84:BE84)</f>
        <v>7443.14</v>
      </c>
      <c r="BG84" s="145"/>
      <c r="BH84" s="141">
        <v>7888</v>
      </c>
      <c r="BI84" s="141"/>
      <c r="BJ84" s="141"/>
      <c r="BK84" s="141"/>
      <c r="BL84" s="149">
        <f>SUM(BH84:BK84)</f>
        <v>7888</v>
      </c>
      <c r="BM84" s="145"/>
      <c r="BN84" s="141">
        <f>14768-15138</f>
        <v>-370</v>
      </c>
      <c r="BO84" s="141"/>
      <c r="BP84" s="141"/>
      <c r="BQ84" s="141"/>
      <c r="BR84" s="149">
        <f>SUM(BN84:BQ84)</f>
        <v>-370</v>
      </c>
      <c r="BS84" s="145"/>
      <c r="BT84" s="141"/>
      <c r="BU84" s="141"/>
      <c r="BV84" s="141"/>
      <c r="BW84" s="141"/>
      <c r="BX84" s="149">
        <f>SUM(BT84:BW84)</f>
        <v>0</v>
      </c>
      <c r="BY84" s="139"/>
      <c r="BZ84" s="139"/>
      <c r="CA84" s="139"/>
      <c r="CB84" s="139"/>
      <c r="CC84" s="139"/>
      <c r="CD84" s="139"/>
      <c r="CE84" s="139"/>
      <c r="CF84" s="139"/>
      <c r="CG84" s="139"/>
      <c r="CH84" s="139"/>
      <c r="CI84" s="139"/>
      <c r="CJ84" s="139"/>
      <c r="CK84" s="139"/>
      <c r="CL84" s="139"/>
    </row>
    <row r="85" spans="1:90" s="78" customFormat="1" ht="15" customHeight="1">
      <c r="A85" s="174"/>
      <c r="B85" s="175"/>
      <c r="C85" s="85"/>
      <c r="D85" s="85"/>
      <c r="E85" s="86"/>
      <c r="F85" s="86"/>
      <c r="G85" s="86"/>
      <c r="H85" s="87"/>
      <c r="I85" s="89"/>
      <c r="J85" s="216"/>
      <c r="K85" s="209"/>
      <c r="L85" s="141"/>
      <c r="M85" s="141">
        <f t="shared" si="18"/>
        <v>0</v>
      </c>
      <c r="N85" s="141">
        <f t="shared" si="32"/>
        <v>0</v>
      </c>
      <c r="O85" s="141">
        <f t="shared" si="21"/>
        <v>0</v>
      </c>
      <c r="P85" s="141">
        <f t="shared" si="33"/>
        <v>0</v>
      </c>
      <c r="Q85" s="141">
        <f t="shared" si="34"/>
        <v>0</v>
      </c>
      <c r="R85" s="145"/>
      <c r="S85" s="145"/>
      <c r="T85" s="141"/>
      <c r="U85" s="141"/>
      <c r="V85" s="141"/>
      <c r="W85" s="141"/>
      <c r="X85" s="141">
        <f t="shared" si="36"/>
        <v>0</v>
      </c>
      <c r="Y85" s="145"/>
      <c r="Z85" s="141"/>
      <c r="AA85" s="141"/>
      <c r="AB85" s="141"/>
      <c r="AC85" s="141"/>
      <c r="AD85" s="141">
        <f t="shared" si="37"/>
        <v>0</v>
      </c>
      <c r="AE85" s="141"/>
      <c r="AF85" s="141"/>
      <c r="AG85" s="141"/>
      <c r="AH85" s="141"/>
      <c r="AI85" s="149">
        <f t="shared" si="35"/>
        <v>0</v>
      </c>
      <c r="AJ85" s="141"/>
      <c r="AK85" s="141"/>
      <c r="AL85" s="141"/>
      <c r="AM85" s="141"/>
      <c r="AN85" s="149">
        <f>SUM(AJ85:AM85)</f>
        <v>0</v>
      </c>
      <c r="AO85" s="145"/>
      <c r="AP85" s="141"/>
      <c r="AQ85" s="141"/>
      <c r="AR85" s="141"/>
      <c r="AS85" s="141"/>
      <c r="AT85" s="149">
        <f>SUM(AP85:AS85)</f>
        <v>0</v>
      </c>
      <c r="AU85" s="145"/>
      <c r="AV85" s="141"/>
      <c r="AW85" s="141"/>
      <c r="AX85" s="141"/>
      <c r="AY85" s="141"/>
      <c r="AZ85" s="149">
        <f>SUM(AV85:AY85)</f>
        <v>0</v>
      </c>
      <c r="BA85" s="145"/>
      <c r="BB85" s="141"/>
      <c r="BC85" s="141"/>
      <c r="BD85" s="141"/>
      <c r="BE85" s="141"/>
      <c r="BF85" s="149">
        <f>SUM(BB85:BE85)</f>
        <v>0</v>
      </c>
      <c r="BG85" s="145"/>
      <c r="BH85" s="141"/>
      <c r="BI85" s="141"/>
      <c r="BJ85" s="141"/>
      <c r="BK85" s="141"/>
      <c r="BL85" s="149">
        <f>SUM(BH85:BK85)</f>
        <v>0</v>
      </c>
      <c r="BM85" s="145"/>
      <c r="BN85" s="141"/>
      <c r="BO85" s="141"/>
      <c r="BP85" s="141"/>
      <c r="BQ85" s="141"/>
      <c r="BR85" s="149">
        <f>SUM(BN85:BQ85)</f>
        <v>0</v>
      </c>
      <c r="BS85" s="145"/>
      <c r="BT85" s="141"/>
      <c r="BU85" s="141"/>
      <c r="BV85" s="141"/>
      <c r="BW85" s="141"/>
      <c r="BX85" s="149">
        <f>SUM(BT85:BW85)</f>
        <v>0</v>
      </c>
      <c r="BY85" s="139"/>
      <c r="BZ85" s="139"/>
      <c r="CA85" s="139"/>
      <c r="CB85" s="139"/>
      <c r="CC85" s="139"/>
      <c r="CD85" s="139"/>
      <c r="CE85" s="139"/>
      <c r="CF85" s="139"/>
      <c r="CG85" s="139"/>
      <c r="CH85" s="139"/>
      <c r="CI85" s="139"/>
      <c r="CJ85" s="139"/>
      <c r="CK85" s="139"/>
      <c r="CL85" s="139"/>
    </row>
    <row r="86" spans="1:90" s="78" customFormat="1" ht="15" customHeight="1">
      <c r="A86" s="168"/>
      <c r="B86" s="169" t="s">
        <v>56</v>
      </c>
      <c r="C86" s="187">
        <f>SUM(C53:C85)</f>
        <v>4653939.2</v>
      </c>
      <c r="D86" s="224">
        <f>SUM(D53:D85)</f>
        <v>4103659.2800000003</v>
      </c>
      <c r="E86" s="187">
        <f>SUM(E53:E85)</f>
        <v>675202.98</v>
      </c>
      <c r="F86" s="90"/>
      <c r="G86" s="187">
        <f>SUM(G53:G85)</f>
        <v>4103659.48</v>
      </c>
      <c r="H86" s="95">
        <v>0</v>
      </c>
      <c r="I86" s="187">
        <f>SUM(I53:I85)</f>
        <v>-0.2000000000698492</v>
      </c>
      <c r="J86" s="216"/>
      <c r="K86" s="209"/>
      <c r="L86" s="141"/>
      <c r="M86" s="141">
        <f t="shared" si="18"/>
        <v>4582</v>
      </c>
      <c r="N86" s="141">
        <f t="shared" si="32"/>
        <v>0</v>
      </c>
      <c r="O86" s="141">
        <f t="shared" si="21"/>
        <v>34802.61</v>
      </c>
      <c r="P86" s="141">
        <f t="shared" si="33"/>
        <v>0</v>
      </c>
      <c r="Q86" s="141">
        <f t="shared" si="34"/>
        <v>0</v>
      </c>
      <c r="R86" s="145"/>
      <c r="S86" s="145"/>
      <c r="T86" s="141">
        <v>9599</v>
      </c>
      <c r="U86" s="141"/>
      <c r="V86" s="141"/>
      <c r="W86" s="141"/>
      <c r="X86" s="141">
        <f t="shared" si="36"/>
        <v>9599</v>
      </c>
      <c r="Y86" s="145"/>
      <c r="Z86" s="141"/>
      <c r="AA86" s="141"/>
      <c r="AB86" s="141"/>
      <c r="AC86" s="141"/>
      <c r="AD86" s="141">
        <f t="shared" si="37"/>
        <v>0</v>
      </c>
      <c r="AE86" s="141"/>
      <c r="AF86" s="141"/>
      <c r="AG86" s="141"/>
      <c r="AH86" s="141"/>
      <c r="AI86" s="149">
        <f t="shared" si="35"/>
        <v>0</v>
      </c>
      <c r="AJ86" s="141"/>
      <c r="AK86" s="141"/>
      <c r="AL86" s="141"/>
      <c r="AM86" s="141"/>
      <c r="AN86" s="149">
        <f>SUM(AJ86:AM86)</f>
        <v>0</v>
      </c>
      <c r="AO86" s="145"/>
      <c r="AP86" s="141"/>
      <c r="AQ86" s="141"/>
      <c r="AR86" s="141"/>
      <c r="AS86" s="141"/>
      <c r="AT86" s="149">
        <f>SUM(AP86:AS86)</f>
        <v>0</v>
      </c>
      <c r="AU86" s="145"/>
      <c r="AV86" s="141">
        <v>4582</v>
      </c>
      <c r="AW86" s="141"/>
      <c r="AX86" s="141"/>
      <c r="AY86" s="141"/>
      <c r="AZ86" s="149">
        <f>SUM(AV86:AY86)</f>
        <v>4582</v>
      </c>
      <c r="BA86" s="145"/>
      <c r="BB86" s="141"/>
      <c r="BC86" s="141"/>
      <c r="BD86" s="141"/>
      <c r="BE86" s="141"/>
      <c r="BF86" s="149">
        <f>SUM(BB86:BE86)</f>
        <v>0</v>
      </c>
      <c r="BG86" s="145"/>
      <c r="BH86" s="141">
        <v>34802.61</v>
      </c>
      <c r="BI86" s="141"/>
      <c r="BJ86" s="141"/>
      <c r="BK86" s="141"/>
      <c r="BL86" s="149">
        <f>SUM(BH86:BK86)</f>
        <v>34802.61</v>
      </c>
      <c r="BM86" s="145"/>
      <c r="BN86" s="141"/>
      <c r="BO86" s="141"/>
      <c r="BP86" s="141"/>
      <c r="BQ86" s="141"/>
      <c r="BR86" s="149">
        <f>SUM(BN86:BQ86)</f>
        <v>0</v>
      </c>
      <c r="BS86" s="145"/>
      <c r="BT86" s="141"/>
      <c r="BU86" s="141"/>
      <c r="BV86" s="141"/>
      <c r="BW86" s="141"/>
      <c r="BX86" s="149">
        <f>SUM(BT86:BW86)</f>
        <v>0</v>
      </c>
      <c r="BY86" s="139"/>
      <c r="BZ86" s="139"/>
      <c r="CA86" s="139"/>
      <c r="CB86" s="139"/>
      <c r="CC86" s="139"/>
      <c r="CD86" s="139"/>
      <c r="CE86" s="139"/>
      <c r="CF86" s="139"/>
      <c r="CG86" s="139"/>
      <c r="CH86" s="139"/>
      <c r="CI86" s="139"/>
      <c r="CJ86" s="139"/>
      <c r="CK86" s="139"/>
      <c r="CL86" s="139"/>
    </row>
    <row r="87" spans="1:90" s="78" customFormat="1" ht="15" customHeight="1">
      <c r="A87" s="96">
        <v>51901</v>
      </c>
      <c r="B87" s="176" t="s">
        <v>157</v>
      </c>
      <c r="C87" s="85">
        <v>0</v>
      </c>
      <c r="D87" s="85">
        <v>48033.53</v>
      </c>
      <c r="E87" s="86">
        <v>0</v>
      </c>
      <c r="F87" s="86"/>
      <c r="G87" s="86">
        <v>48033.53</v>
      </c>
      <c r="H87" s="87">
        <f aca="true" t="shared" si="39" ref="H87:H93">G87/D87</f>
        <v>1</v>
      </c>
      <c r="I87" s="89">
        <f aca="true" t="shared" si="40" ref="I87:I93">D87-G87</f>
        <v>0</v>
      </c>
      <c r="J87" s="216"/>
      <c r="K87" s="209"/>
      <c r="L87" s="141"/>
      <c r="M87" s="141">
        <f>AZ87</f>
        <v>0</v>
      </c>
      <c r="N87" s="141">
        <f t="shared" si="32"/>
        <v>0</v>
      </c>
      <c r="O87" s="141">
        <f t="shared" si="21"/>
        <v>0</v>
      </c>
      <c r="P87" s="141">
        <f t="shared" si="33"/>
        <v>0</v>
      </c>
      <c r="Q87" s="141">
        <f t="shared" si="34"/>
        <v>0</v>
      </c>
      <c r="R87" s="145"/>
      <c r="S87" s="145"/>
      <c r="T87" s="141">
        <v>9240</v>
      </c>
      <c r="U87" s="141"/>
      <c r="V87" s="141"/>
      <c r="W87" s="141"/>
      <c r="X87" s="141">
        <f t="shared" si="36"/>
        <v>9240</v>
      </c>
      <c r="Y87" s="145"/>
      <c r="Z87" s="141"/>
      <c r="AA87" s="141"/>
      <c r="AB87" s="141"/>
      <c r="AC87" s="141"/>
      <c r="AD87" s="141">
        <f t="shared" si="37"/>
        <v>0</v>
      </c>
      <c r="AE87" s="141">
        <v>10788</v>
      </c>
      <c r="AF87" s="141"/>
      <c r="AG87" s="141"/>
      <c r="AH87" s="141"/>
      <c r="AI87" s="149">
        <f t="shared" si="35"/>
        <v>10788</v>
      </c>
      <c r="AJ87" s="141">
        <v>19669.76</v>
      </c>
      <c r="AK87" s="141"/>
      <c r="AL87" s="141"/>
      <c r="AM87" s="141"/>
      <c r="AN87" s="149">
        <f>SUM(AJ87:AM87)</f>
        <v>19669.76</v>
      </c>
      <c r="AO87" s="145"/>
      <c r="AP87" s="141">
        <v>3654</v>
      </c>
      <c r="AQ87" s="141"/>
      <c r="AR87" s="141"/>
      <c r="AS87" s="141"/>
      <c r="AT87" s="149">
        <f>SUM(AP87:AS87)</f>
        <v>3654</v>
      </c>
      <c r="AU87" s="145"/>
      <c r="AV87" s="141"/>
      <c r="AW87" s="141"/>
      <c r="AX87" s="141"/>
      <c r="AY87" s="141"/>
      <c r="AZ87" s="149">
        <f>SUM(AV87:AY87)</f>
        <v>0</v>
      </c>
      <c r="BA87" s="145"/>
      <c r="BB87" s="141"/>
      <c r="BC87" s="141"/>
      <c r="BD87" s="141"/>
      <c r="BE87" s="141"/>
      <c r="BF87" s="149">
        <f>SUM(BB87:BE87)</f>
        <v>0</v>
      </c>
      <c r="BG87" s="145"/>
      <c r="BH87" s="141"/>
      <c r="BI87" s="141"/>
      <c r="BJ87" s="141"/>
      <c r="BK87" s="141"/>
      <c r="BL87" s="149">
        <f>SUM(BH87:BK87)</f>
        <v>0</v>
      </c>
      <c r="BM87" s="145"/>
      <c r="BN87" s="141"/>
      <c r="BO87" s="141"/>
      <c r="BP87" s="141"/>
      <c r="BQ87" s="141"/>
      <c r="BR87" s="149">
        <f>SUM(BN87:BQ87)</f>
        <v>0</v>
      </c>
      <c r="BS87" s="145"/>
      <c r="BT87" s="141"/>
      <c r="BU87" s="141"/>
      <c r="BV87" s="141"/>
      <c r="BW87" s="141"/>
      <c r="BX87" s="149">
        <f>SUM(BT87:BW87)</f>
        <v>0</v>
      </c>
      <c r="BY87" s="139"/>
      <c r="BZ87" s="139"/>
      <c r="CA87" s="139"/>
      <c r="CB87" s="139"/>
      <c r="CC87" s="139"/>
      <c r="CD87" s="139"/>
      <c r="CE87" s="139"/>
      <c r="CF87" s="139"/>
      <c r="CG87" s="139"/>
      <c r="CH87" s="139"/>
      <c r="CI87" s="139"/>
      <c r="CJ87" s="139"/>
      <c r="CK87" s="139"/>
      <c r="CL87" s="139"/>
    </row>
    <row r="88" spans="1:90" s="78" customFormat="1" ht="12.75">
      <c r="A88" s="96">
        <v>56401</v>
      </c>
      <c r="B88" s="177" t="s">
        <v>158</v>
      </c>
      <c r="C88" s="85">
        <v>0</v>
      </c>
      <c r="D88" s="85">
        <v>872.52</v>
      </c>
      <c r="E88" s="86">
        <v>0</v>
      </c>
      <c r="F88" s="185"/>
      <c r="G88" s="86">
        <v>872.52</v>
      </c>
      <c r="H88" s="87">
        <f t="shared" si="39"/>
        <v>1</v>
      </c>
      <c r="I88" s="89">
        <f t="shared" si="40"/>
        <v>0</v>
      </c>
      <c r="J88" s="216"/>
      <c r="K88" s="209"/>
      <c r="L88" s="141"/>
      <c r="M88" s="141">
        <f>AZ88</f>
        <v>0</v>
      </c>
      <c r="N88" s="141">
        <f t="shared" si="32"/>
        <v>0</v>
      </c>
      <c r="O88" s="141">
        <f t="shared" si="21"/>
        <v>0</v>
      </c>
      <c r="P88" s="141">
        <f t="shared" si="33"/>
        <v>0</v>
      </c>
      <c r="Q88" s="141">
        <f t="shared" si="34"/>
        <v>123446</v>
      </c>
      <c r="R88" s="145"/>
      <c r="S88" s="145"/>
      <c r="T88" s="141">
        <v>400000</v>
      </c>
      <c r="U88" s="141"/>
      <c r="V88" s="141"/>
      <c r="W88" s="141"/>
      <c r="X88" s="141">
        <f t="shared" si="36"/>
        <v>400000</v>
      </c>
      <c r="Y88" s="145"/>
      <c r="Z88" s="141">
        <v>169890</v>
      </c>
      <c r="AA88" s="141"/>
      <c r="AB88" s="141"/>
      <c r="AC88" s="141"/>
      <c r="AD88" s="141">
        <f t="shared" si="37"/>
        <v>169890</v>
      </c>
      <c r="AE88" s="141"/>
      <c r="AF88" s="141"/>
      <c r="AG88" s="141"/>
      <c r="AH88" s="141"/>
      <c r="AI88" s="149">
        <f t="shared" si="35"/>
        <v>0</v>
      </c>
      <c r="AJ88" s="141">
        <v>357000</v>
      </c>
      <c r="AK88" s="141"/>
      <c r="AL88" s="141"/>
      <c r="AM88" s="141"/>
      <c r="AN88" s="149">
        <f>SUM(AJ88:AM88)</f>
        <v>357000</v>
      </c>
      <c r="AO88" s="145"/>
      <c r="AP88" s="141"/>
      <c r="AQ88" s="141"/>
      <c r="AR88" s="141"/>
      <c r="AS88" s="141"/>
      <c r="AT88" s="149">
        <f>SUM(AP88:AS88)</f>
        <v>0</v>
      </c>
      <c r="AU88" s="145"/>
      <c r="AV88" s="141"/>
      <c r="AW88" s="141"/>
      <c r="AX88" s="141"/>
      <c r="AY88" s="141"/>
      <c r="AZ88" s="149">
        <f>SUM(AV88:AY88)</f>
        <v>0</v>
      </c>
      <c r="BA88" s="145"/>
      <c r="BB88" s="141"/>
      <c r="BC88" s="141"/>
      <c r="BD88" s="141"/>
      <c r="BE88" s="141"/>
      <c r="BF88" s="149">
        <f>SUM(BB88:BE88)</f>
        <v>0</v>
      </c>
      <c r="BG88" s="145"/>
      <c r="BH88" s="141"/>
      <c r="BI88" s="141"/>
      <c r="BJ88" s="141"/>
      <c r="BK88" s="141"/>
      <c r="BL88" s="149">
        <f>SUM(BH88:BK88)</f>
        <v>0</v>
      </c>
      <c r="BM88" s="145"/>
      <c r="BN88" s="141"/>
      <c r="BO88" s="141"/>
      <c r="BP88" s="141"/>
      <c r="BQ88" s="141"/>
      <c r="BR88" s="149">
        <f>SUM(BN88:BQ88)</f>
        <v>0</v>
      </c>
      <c r="BS88" s="145"/>
      <c r="BT88" s="141">
        <v>123446</v>
      </c>
      <c r="BU88" s="141"/>
      <c r="BV88" s="141"/>
      <c r="BW88" s="141"/>
      <c r="BX88" s="149">
        <f>SUM(BT88:BW88)</f>
        <v>123446</v>
      </c>
      <c r="BY88" s="139"/>
      <c r="BZ88" s="139"/>
      <c r="CA88" s="139"/>
      <c r="CB88" s="139"/>
      <c r="CC88" s="139"/>
      <c r="CD88" s="139"/>
      <c r="CE88" s="139"/>
      <c r="CF88" s="139"/>
      <c r="CG88" s="139"/>
      <c r="CH88" s="139"/>
      <c r="CI88" s="139"/>
      <c r="CJ88" s="139"/>
      <c r="CK88" s="139"/>
      <c r="CL88" s="139"/>
    </row>
    <row r="89" spans="1:90" s="78" customFormat="1" ht="22.5">
      <c r="A89" s="96">
        <v>51501</v>
      </c>
      <c r="B89" s="164" t="s">
        <v>159</v>
      </c>
      <c r="C89" s="85">
        <v>0</v>
      </c>
      <c r="D89" s="85">
        <v>96480.87</v>
      </c>
      <c r="E89" s="86">
        <v>0</v>
      </c>
      <c r="F89" s="185"/>
      <c r="G89" s="86">
        <v>96480.87</v>
      </c>
      <c r="H89" s="87">
        <f t="shared" si="39"/>
        <v>1</v>
      </c>
      <c r="I89" s="89">
        <f t="shared" si="40"/>
        <v>0</v>
      </c>
      <c r="J89" s="218"/>
      <c r="K89" s="210"/>
      <c r="L89" s="149"/>
      <c r="M89" s="149">
        <f>SUM(M84:M88)</f>
        <v>19720</v>
      </c>
      <c r="N89" s="149">
        <f>SUM(N84:N88)</f>
        <v>7443.14</v>
      </c>
      <c r="O89" s="149">
        <f>SUM(O84:O88)</f>
        <v>42690.61</v>
      </c>
      <c r="P89" s="149">
        <f>SUM(P84:P88)</f>
        <v>-370</v>
      </c>
      <c r="Q89" s="149">
        <f>SUM(Q84:Q88)</f>
        <v>123446</v>
      </c>
      <c r="R89" s="145"/>
      <c r="S89" s="145"/>
      <c r="T89" s="149">
        <f>SUM(T84:T88)</f>
        <v>425197.82</v>
      </c>
      <c r="U89" s="149">
        <f>SUM(U84:U88)</f>
        <v>0</v>
      </c>
      <c r="V89" s="149">
        <f>SUM(V84:V88)</f>
        <v>0</v>
      </c>
      <c r="W89" s="149">
        <f>SUM(W84:W88)</f>
        <v>0</v>
      </c>
      <c r="X89" s="141">
        <f t="shared" si="36"/>
        <v>425197.82</v>
      </c>
      <c r="Y89" s="145"/>
      <c r="Z89" s="149">
        <f>SUM(Z84:Z88)</f>
        <v>169890</v>
      </c>
      <c r="AA89" s="149">
        <f>SUM(AA84:AA88)</f>
        <v>0</v>
      </c>
      <c r="AB89" s="149">
        <f>SUM(AB84:AB88)</f>
        <v>0</v>
      </c>
      <c r="AC89" s="149">
        <f>SUM(AC84:AC88)</f>
        <v>0</v>
      </c>
      <c r="AD89" s="149">
        <f t="shared" si="37"/>
        <v>169890</v>
      </c>
      <c r="AE89" s="149">
        <f aca="true" t="shared" si="41" ref="AE89:AN89">SUM(AE84:AE88)</f>
        <v>10788</v>
      </c>
      <c r="AF89" s="149">
        <f t="shared" si="41"/>
        <v>0</v>
      </c>
      <c r="AG89" s="149">
        <f t="shared" si="41"/>
        <v>0</v>
      </c>
      <c r="AH89" s="149">
        <f t="shared" si="41"/>
        <v>0</v>
      </c>
      <c r="AI89" s="149">
        <f t="shared" si="41"/>
        <v>10788</v>
      </c>
      <c r="AJ89" s="149">
        <f t="shared" si="41"/>
        <v>376669.76</v>
      </c>
      <c r="AK89" s="149">
        <f t="shared" si="41"/>
        <v>0</v>
      </c>
      <c r="AL89" s="149">
        <f t="shared" si="41"/>
        <v>0</v>
      </c>
      <c r="AM89" s="149">
        <f t="shared" si="41"/>
        <v>0</v>
      </c>
      <c r="AN89" s="149">
        <f t="shared" si="41"/>
        <v>376669.76</v>
      </c>
      <c r="AO89" s="145"/>
      <c r="AP89" s="149">
        <f>SUM(AP84:AP88)</f>
        <v>91643.48</v>
      </c>
      <c r="AQ89" s="149">
        <f>SUM(AQ84:AQ88)</f>
        <v>0</v>
      </c>
      <c r="AR89" s="149">
        <f>SUM(AR84:AR88)</f>
        <v>0</v>
      </c>
      <c r="AS89" s="149">
        <f>SUM(AS84:AS88)</f>
        <v>0</v>
      </c>
      <c r="AT89" s="149">
        <f>SUM(AT84:AT88)</f>
        <v>91643.48</v>
      </c>
      <c r="AU89" s="145"/>
      <c r="AV89" s="149">
        <f>SUM(AV84:AV88)</f>
        <v>19720</v>
      </c>
      <c r="AW89" s="149">
        <f>SUM(AW84:AW88)</f>
        <v>0</v>
      </c>
      <c r="AX89" s="149">
        <f>SUM(AX84:AX88)</f>
        <v>0</v>
      </c>
      <c r="AY89" s="149">
        <f>SUM(AY84:AY88)</f>
        <v>0</v>
      </c>
      <c r="AZ89" s="149">
        <f>SUM(AZ84:AZ88)</f>
        <v>19720</v>
      </c>
      <c r="BA89" s="145"/>
      <c r="BB89" s="149">
        <f>SUM(BB84:BB88)</f>
        <v>7443.14</v>
      </c>
      <c r="BC89" s="149">
        <f>SUM(BC84:BC88)</f>
        <v>0</v>
      </c>
      <c r="BD89" s="149">
        <f>SUM(BD84:BD88)</f>
        <v>0</v>
      </c>
      <c r="BE89" s="149">
        <f>SUM(BE84:BE88)</f>
        <v>0</v>
      </c>
      <c r="BF89" s="149">
        <f>SUM(BF84:BF88)</f>
        <v>7443.14</v>
      </c>
      <c r="BG89" s="145"/>
      <c r="BH89" s="149">
        <f>SUM(BH84:BH88)</f>
        <v>42690.61</v>
      </c>
      <c r="BI89" s="149">
        <f>SUM(BI84:BI88)</f>
        <v>0</v>
      </c>
      <c r="BJ89" s="149">
        <f>SUM(BJ84:BJ88)</f>
        <v>0</v>
      </c>
      <c r="BK89" s="149">
        <f>SUM(BK84:BK88)</f>
        <v>0</v>
      </c>
      <c r="BL89" s="149">
        <f>SUM(BL84:BL88)</f>
        <v>42690.61</v>
      </c>
      <c r="BM89" s="145"/>
      <c r="BN89" s="149">
        <f>SUM(BN84:BN88)</f>
        <v>-370</v>
      </c>
      <c r="BO89" s="149">
        <f>SUM(BO84:BO88)</f>
        <v>0</v>
      </c>
      <c r="BP89" s="149">
        <f>SUM(BP84:BP88)</f>
        <v>0</v>
      </c>
      <c r="BQ89" s="149">
        <f>SUM(BQ84:BQ88)</f>
        <v>0</v>
      </c>
      <c r="BR89" s="149">
        <f>SUM(BR84:BR88)</f>
        <v>-370</v>
      </c>
      <c r="BS89" s="145"/>
      <c r="BT89" s="149">
        <f>SUM(BT84:BT88)</f>
        <v>123446</v>
      </c>
      <c r="BU89" s="149">
        <f>SUM(BU84:BU88)</f>
        <v>0</v>
      </c>
      <c r="BV89" s="149">
        <f>SUM(BV84:BV88)</f>
        <v>0</v>
      </c>
      <c r="BW89" s="149">
        <f>SUM(BW84:BW88)</f>
        <v>0</v>
      </c>
      <c r="BX89" s="149">
        <f>SUM(BX84:BX88)</f>
        <v>123446</v>
      </c>
      <c r="BY89" s="139"/>
      <c r="BZ89" s="139"/>
      <c r="CA89" s="139"/>
      <c r="CB89" s="139"/>
      <c r="CC89" s="139"/>
      <c r="CD89" s="139"/>
      <c r="CE89" s="139"/>
      <c r="CF89" s="139"/>
      <c r="CG89" s="139"/>
      <c r="CH89" s="139"/>
      <c r="CI89" s="139"/>
      <c r="CJ89" s="139"/>
      <c r="CK89" s="139"/>
      <c r="CL89" s="139"/>
    </row>
    <row r="90" spans="1:90" s="78" customFormat="1" ht="22.5">
      <c r="A90" s="96">
        <v>56501</v>
      </c>
      <c r="B90" s="178" t="s">
        <v>162</v>
      </c>
      <c r="C90" s="85">
        <v>0</v>
      </c>
      <c r="D90" s="85">
        <v>14236.24</v>
      </c>
      <c r="E90" s="86">
        <v>0</v>
      </c>
      <c r="F90" s="185"/>
      <c r="G90" s="86">
        <v>14236.24</v>
      </c>
      <c r="H90" s="87">
        <f t="shared" si="39"/>
        <v>1</v>
      </c>
      <c r="I90" s="89">
        <f t="shared" si="40"/>
        <v>0</v>
      </c>
      <c r="J90" s="218"/>
      <c r="K90" s="210"/>
      <c r="L90" s="149"/>
      <c r="M90" s="149"/>
      <c r="N90" s="149"/>
      <c r="O90" s="149"/>
      <c r="P90" s="149"/>
      <c r="Q90" s="149"/>
      <c r="R90" s="145"/>
      <c r="S90" s="145"/>
      <c r="T90" s="149"/>
      <c r="U90" s="149"/>
      <c r="V90" s="149"/>
      <c r="W90" s="149"/>
      <c r="X90" s="141"/>
      <c r="Y90" s="145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5"/>
      <c r="AP90" s="149"/>
      <c r="AQ90" s="149"/>
      <c r="AR90" s="149"/>
      <c r="AS90" s="149"/>
      <c r="AT90" s="149"/>
      <c r="AU90" s="145"/>
      <c r="AV90" s="149"/>
      <c r="AW90" s="149"/>
      <c r="AX90" s="149"/>
      <c r="AY90" s="149"/>
      <c r="AZ90" s="149"/>
      <c r="BA90" s="145"/>
      <c r="BB90" s="149"/>
      <c r="BC90" s="149"/>
      <c r="BD90" s="149"/>
      <c r="BE90" s="149"/>
      <c r="BF90" s="149"/>
      <c r="BG90" s="145"/>
      <c r="BH90" s="149"/>
      <c r="BI90" s="149"/>
      <c r="BJ90" s="149"/>
      <c r="BK90" s="149"/>
      <c r="BL90" s="149"/>
      <c r="BM90" s="145"/>
      <c r="BN90" s="149"/>
      <c r="BO90" s="149"/>
      <c r="BP90" s="149"/>
      <c r="BQ90" s="149"/>
      <c r="BR90" s="149"/>
      <c r="BS90" s="145"/>
      <c r="BT90" s="149"/>
      <c r="BU90" s="149"/>
      <c r="BV90" s="149"/>
      <c r="BW90" s="149"/>
      <c r="BX90" s="149"/>
      <c r="BY90" s="139"/>
      <c r="BZ90" s="139"/>
      <c r="CA90" s="139"/>
      <c r="CB90" s="139"/>
      <c r="CC90" s="139"/>
      <c r="CD90" s="139"/>
      <c r="CE90" s="139"/>
      <c r="CF90" s="139"/>
      <c r="CG90" s="139"/>
      <c r="CH90" s="139"/>
      <c r="CI90" s="139"/>
      <c r="CJ90" s="139"/>
      <c r="CK90" s="139"/>
      <c r="CL90" s="139"/>
    </row>
    <row r="91" spans="1:90" s="94" customFormat="1" ht="15" customHeight="1">
      <c r="A91" s="96">
        <v>52101</v>
      </c>
      <c r="B91" s="178" t="s">
        <v>163</v>
      </c>
      <c r="C91" s="85">
        <v>0</v>
      </c>
      <c r="D91" s="202">
        <v>9289.28</v>
      </c>
      <c r="E91" s="202">
        <v>0</v>
      </c>
      <c r="F91" s="97"/>
      <c r="G91" s="202">
        <v>9289.28</v>
      </c>
      <c r="H91" s="87">
        <f t="shared" si="39"/>
        <v>1</v>
      </c>
      <c r="I91" s="89">
        <f t="shared" si="40"/>
        <v>0</v>
      </c>
      <c r="J91" s="218"/>
      <c r="K91" s="210"/>
      <c r="L91" s="149"/>
      <c r="M91" s="149"/>
      <c r="N91" s="149"/>
      <c r="O91" s="149"/>
      <c r="P91" s="149"/>
      <c r="Q91" s="149"/>
      <c r="R91" s="145"/>
      <c r="S91" s="145"/>
      <c r="T91" s="141"/>
      <c r="U91" s="141"/>
      <c r="V91" s="141"/>
      <c r="W91" s="141"/>
      <c r="X91" s="141">
        <f t="shared" si="36"/>
        <v>0</v>
      </c>
      <c r="Y91" s="145"/>
      <c r="Z91" s="141"/>
      <c r="AA91" s="141"/>
      <c r="AB91" s="141"/>
      <c r="AC91" s="141"/>
      <c r="AD91" s="141">
        <f t="shared" si="37"/>
        <v>0</v>
      </c>
      <c r="AE91" s="141"/>
      <c r="AF91" s="141"/>
      <c r="AG91" s="141"/>
      <c r="AH91" s="141"/>
      <c r="AI91" s="146"/>
      <c r="AJ91" s="141"/>
      <c r="AK91" s="141"/>
      <c r="AL91" s="141"/>
      <c r="AM91" s="141"/>
      <c r="AN91" s="146"/>
      <c r="AO91" s="145"/>
      <c r="AP91" s="141"/>
      <c r="AQ91" s="141"/>
      <c r="AR91" s="141"/>
      <c r="AS91" s="141"/>
      <c r="AT91" s="146"/>
      <c r="AU91" s="145"/>
      <c r="AV91" s="141"/>
      <c r="AW91" s="141"/>
      <c r="AX91" s="141"/>
      <c r="AY91" s="141"/>
      <c r="AZ91" s="146"/>
      <c r="BA91" s="145"/>
      <c r="BB91" s="141"/>
      <c r="BC91" s="141"/>
      <c r="BD91" s="141"/>
      <c r="BE91" s="141"/>
      <c r="BF91" s="146"/>
      <c r="BG91" s="145"/>
      <c r="BH91" s="141"/>
      <c r="BI91" s="141"/>
      <c r="BJ91" s="141"/>
      <c r="BK91" s="141"/>
      <c r="BL91" s="146"/>
      <c r="BM91" s="145"/>
      <c r="BN91" s="141"/>
      <c r="BO91" s="141"/>
      <c r="BP91" s="141"/>
      <c r="BQ91" s="141"/>
      <c r="BR91" s="146"/>
      <c r="BS91" s="145"/>
      <c r="BT91" s="141"/>
      <c r="BU91" s="141"/>
      <c r="BV91" s="141"/>
      <c r="BW91" s="141"/>
      <c r="BX91" s="146"/>
      <c r="BY91" s="139"/>
      <c r="BZ91" s="139"/>
      <c r="CA91" s="139"/>
      <c r="CB91" s="139"/>
      <c r="CC91" s="139"/>
      <c r="CD91" s="139"/>
      <c r="CE91" s="139"/>
      <c r="CF91" s="139"/>
      <c r="CG91" s="139"/>
      <c r="CH91" s="139"/>
      <c r="CI91" s="139"/>
      <c r="CJ91" s="139"/>
      <c r="CK91" s="139"/>
      <c r="CL91" s="139"/>
    </row>
    <row r="92" spans="1:90" s="94" customFormat="1" ht="15" customHeight="1">
      <c r="A92" s="204">
        <v>51101</v>
      </c>
      <c r="B92" s="216" t="s">
        <v>168</v>
      </c>
      <c r="C92" s="85">
        <v>0</v>
      </c>
      <c r="D92" s="202">
        <v>2424.4</v>
      </c>
      <c r="E92" s="202">
        <v>2424.4</v>
      </c>
      <c r="F92" s="97"/>
      <c r="G92" s="202">
        <v>2424.4</v>
      </c>
      <c r="H92" s="87">
        <f>G92/D92</f>
        <v>1</v>
      </c>
      <c r="I92" s="89">
        <f>D92-G92</f>
        <v>0</v>
      </c>
      <c r="J92" s="216"/>
      <c r="K92" s="209"/>
      <c r="L92" s="149"/>
      <c r="M92" s="149"/>
      <c r="N92" s="149"/>
      <c r="O92" s="149"/>
      <c r="P92" s="149"/>
      <c r="Q92" s="149"/>
      <c r="R92" s="145"/>
      <c r="S92" s="145"/>
      <c r="T92" s="141"/>
      <c r="U92" s="141"/>
      <c r="V92" s="141"/>
      <c r="W92" s="141"/>
      <c r="X92" s="141"/>
      <c r="Y92" s="145"/>
      <c r="Z92" s="141"/>
      <c r="AA92" s="141"/>
      <c r="AB92" s="141"/>
      <c r="AC92" s="141"/>
      <c r="AD92" s="141"/>
      <c r="AE92" s="141"/>
      <c r="AF92" s="141"/>
      <c r="AG92" s="141"/>
      <c r="AH92" s="141"/>
      <c r="AI92" s="146"/>
      <c r="AJ92" s="141"/>
      <c r="AK92" s="141"/>
      <c r="AL92" s="141"/>
      <c r="AM92" s="141"/>
      <c r="AN92" s="146"/>
      <c r="AO92" s="145"/>
      <c r="AP92" s="141"/>
      <c r="AQ92" s="141"/>
      <c r="AR92" s="141"/>
      <c r="AS92" s="141"/>
      <c r="AT92" s="146"/>
      <c r="AU92" s="145"/>
      <c r="AV92" s="141"/>
      <c r="AW92" s="141"/>
      <c r="AX92" s="141"/>
      <c r="AY92" s="141"/>
      <c r="AZ92" s="146"/>
      <c r="BA92" s="145"/>
      <c r="BB92" s="141"/>
      <c r="BC92" s="141"/>
      <c r="BD92" s="141"/>
      <c r="BE92" s="141"/>
      <c r="BF92" s="146"/>
      <c r="BG92" s="145"/>
      <c r="BH92" s="141"/>
      <c r="BI92" s="141"/>
      <c r="BJ92" s="141"/>
      <c r="BK92" s="141"/>
      <c r="BL92" s="146"/>
      <c r="BM92" s="145"/>
      <c r="BN92" s="141"/>
      <c r="BO92" s="141"/>
      <c r="BP92" s="141"/>
      <c r="BQ92" s="141"/>
      <c r="BR92" s="146"/>
      <c r="BS92" s="145"/>
      <c r="BT92" s="141"/>
      <c r="BU92" s="141"/>
      <c r="BV92" s="141"/>
      <c r="BW92" s="141"/>
      <c r="BX92" s="146"/>
      <c r="BY92" s="139"/>
      <c r="BZ92" s="139"/>
      <c r="CA92" s="139"/>
      <c r="CB92" s="139"/>
      <c r="CC92" s="139"/>
      <c r="CD92" s="139"/>
      <c r="CE92" s="139"/>
      <c r="CF92" s="139"/>
      <c r="CG92" s="139"/>
      <c r="CH92" s="139"/>
      <c r="CI92" s="139"/>
      <c r="CJ92" s="139"/>
      <c r="CK92" s="139"/>
      <c r="CL92" s="139"/>
    </row>
    <row r="93" spans="1:90" s="78" customFormat="1" ht="15" customHeight="1">
      <c r="A93" s="204">
        <v>54101</v>
      </c>
      <c r="B93" s="203" t="s">
        <v>164</v>
      </c>
      <c r="C93" s="88">
        <v>0</v>
      </c>
      <c r="D93" s="88">
        <v>258600</v>
      </c>
      <c r="E93" s="86">
        <v>0</v>
      </c>
      <c r="F93" s="86"/>
      <c r="G93" s="86">
        <v>258600</v>
      </c>
      <c r="H93" s="87">
        <f t="shared" si="39"/>
        <v>1</v>
      </c>
      <c r="I93" s="89">
        <f t="shared" si="40"/>
        <v>0</v>
      </c>
      <c r="J93" s="216"/>
      <c r="K93" s="209"/>
      <c r="L93" s="141"/>
      <c r="M93" s="141">
        <v>0</v>
      </c>
      <c r="N93" s="141">
        <v>0</v>
      </c>
      <c r="O93" s="141">
        <f>+T93+U93+V93+W93</f>
        <v>0</v>
      </c>
      <c r="P93" s="141">
        <v>0</v>
      </c>
      <c r="Q93" s="141">
        <v>0</v>
      </c>
      <c r="R93" s="145"/>
      <c r="S93" s="145"/>
      <c r="T93" s="141"/>
      <c r="U93" s="141"/>
      <c r="V93" s="141"/>
      <c r="W93" s="141"/>
      <c r="X93" s="141">
        <f t="shared" si="36"/>
        <v>0</v>
      </c>
      <c r="Y93" s="145"/>
      <c r="Z93" s="141"/>
      <c r="AA93" s="141"/>
      <c r="AB93" s="141"/>
      <c r="AC93" s="141"/>
      <c r="AD93" s="141">
        <f t="shared" si="37"/>
        <v>0</v>
      </c>
      <c r="AE93" s="141"/>
      <c r="AF93" s="141"/>
      <c r="AG93" s="141"/>
      <c r="AH93" s="141"/>
      <c r="AI93" s="146"/>
      <c r="AJ93" s="141"/>
      <c r="AK93" s="141"/>
      <c r="AL93" s="141"/>
      <c r="AM93" s="141"/>
      <c r="AN93" s="146"/>
      <c r="AO93" s="145"/>
      <c r="AP93" s="141"/>
      <c r="AQ93" s="141"/>
      <c r="AR93" s="141"/>
      <c r="AS93" s="141"/>
      <c r="AT93" s="146"/>
      <c r="AU93" s="145"/>
      <c r="AV93" s="141"/>
      <c r="AW93" s="141"/>
      <c r="AX93" s="141"/>
      <c r="AY93" s="141"/>
      <c r="AZ93" s="146"/>
      <c r="BA93" s="145"/>
      <c r="BB93" s="141"/>
      <c r="BC93" s="141"/>
      <c r="BD93" s="141"/>
      <c r="BE93" s="141"/>
      <c r="BF93" s="146"/>
      <c r="BG93" s="145"/>
      <c r="BH93" s="141"/>
      <c r="BI93" s="141"/>
      <c r="BJ93" s="141"/>
      <c r="BK93" s="141"/>
      <c r="BL93" s="146"/>
      <c r="BM93" s="145"/>
      <c r="BN93" s="141"/>
      <c r="BO93" s="141"/>
      <c r="BP93" s="141"/>
      <c r="BQ93" s="141"/>
      <c r="BR93" s="146"/>
      <c r="BS93" s="145"/>
      <c r="BT93" s="141"/>
      <c r="BU93" s="141"/>
      <c r="BV93" s="141"/>
      <c r="BW93" s="141"/>
      <c r="BX93" s="146"/>
      <c r="BY93" s="139"/>
      <c r="BZ93" s="139"/>
      <c r="CA93" s="139"/>
      <c r="CB93" s="139"/>
      <c r="CC93" s="139"/>
      <c r="CD93" s="139"/>
      <c r="CE93" s="139"/>
      <c r="CF93" s="139"/>
      <c r="CG93" s="139"/>
      <c r="CH93" s="139"/>
      <c r="CI93" s="139"/>
      <c r="CJ93" s="139"/>
      <c r="CK93" s="139"/>
      <c r="CL93" s="139"/>
    </row>
    <row r="94" spans="1:90" s="78" customFormat="1" ht="15" customHeight="1">
      <c r="A94" s="168"/>
      <c r="B94" s="169" t="s">
        <v>57</v>
      </c>
      <c r="C94" s="191">
        <f>SUM(C87:C93)</f>
        <v>0</v>
      </c>
      <c r="D94" s="191">
        <f>SUM(D87:D93)</f>
        <v>429936.83999999997</v>
      </c>
      <c r="E94" s="191">
        <f>SUM(E87:E93)</f>
        <v>2424.4</v>
      </c>
      <c r="F94" s="90"/>
      <c r="G94" s="191">
        <f>SUM(G87:G93)</f>
        <v>429936.83999999997</v>
      </c>
      <c r="H94" s="95">
        <v>0</v>
      </c>
      <c r="I94" s="191">
        <f>SUM(I87:I93)</f>
        <v>0</v>
      </c>
      <c r="J94" s="219"/>
      <c r="K94" s="211"/>
      <c r="L94" s="141"/>
      <c r="M94" s="141">
        <v>0</v>
      </c>
      <c r="N94" s="141">
        <v>0</v>
      </c>
      <c r="O94" s="141">
        <f>+T94+U94+V94+W94</f>
        <v>0</v>
      </c>
      <c r="P94" s="141">
        <v>0</v>
      </c>
      <c r="Q94" s="141">
        <v>0</v>
      </c>
      <c r="R94" s="145"/>
      <c r="S94" s="145"/>
      <c r="T94" s="141"/>
      <c r="U94" s="141"/>
      <c r="V94" s="141"/>
      <c r="W94" s="141"/>
      <c r="X94" s="141">
        <f t="shared" si="36"/>
        <v>0</v>
      </c>
      <c r="Y94" s="145"/>
      <c r="Z94" s="141"/>
      <c r="AA94" s="141"/>
      <c r="AB94" s="141"/>
      <c r="AC94" s="141"/>
      <c r="AD94" s="141">
        <f t="shared" si="37"/>
        <v>0</v>
      </c>
      <c r="AE94" s="141"/>
      <c r="AF94" s="141"/>
      <c r="AG94" s="141"/>
      <c r="AH94" s="141"/>
      <c r="AI94" s="146"/>
      <c r="AJ94" s="141"/>
      <c r="AK94" s="141"/>
      <c r="AL94" s="141"/>
      <c r="AM94" s="141"/>
      <c r="AN94" s="146"/>
      <c r="AO94" s="145"/>
      <c r="AP94" s="141"/>
      <c r="AQ94" s="141"/>
      <c r="AR94" s="141"/>
      <c r="AS94" s="141"/>
      <c r="AT94" s="146"/>
      <c r="AU94" s="145"/>
      <c r="AV94" s="141"/>
      <c r="AW94" s="141"/>
      <c r="AX94" s="141"/>
      <c r="AY94" s="141"/>
      <c r="AZ94" s="146"/>
      <c r="BA94" s="145"/>
      <c r="BB94" s="141"/>
      <c r="BC94" s="141"/>
      <c r="BD94" s="141"/>
      <c r="BE94" s="141"/>
      <c r="BF94" s="146"/>
      <c r="BG94" s="145"/>
      <c r="BH94" s="141"/>
      <c r="BI94" s="141"/>
      <c r="BJ94" s="141"/>
      <c r="BK94" s="141"/>
      <c r="BL94" s="146"/>
      <c r="BM94" s="145"/>
      <c r="BN94" s="141"/>
      <c r="BO94" s="141"/>
      <c r="BP94" s="141"/>
      <c r="BQ94" s="141"/>
      <c r="BR94" s="146"/>
      <c r="BS94" s="145"/>
      <c r="BT94" s="141"/>
      <c r="BU94" s="141"/>
      <c r="BV94" s="141"/>
      <c r="BW94" s="141"/>
      <c r="BX94" s="146"/>
      <c r="BY94" s="139"/>
      <c r="BZ94" s="139"/>
      <c r="CA94" s="139"/>
      <c r="CB94" s="139"/>
      <c r="CC94" s="139"/>
      <c r="CD94" s="139"/>
      <c r="CE94" s="139"/>
      <c r="CF94" s="139"/>
      <c r="CG94" s="139"/>
      <c r="CH94" s="139"/>
      <c r="CI94" s="139"/>
      <c r="CJ94" s="139"/>
      <c r="CK94" s="139"/>
      <c r="CL94" s="139"/>
    </row>
    <row r="95" spans="1:90" s="78" customFormat="1" ht="15" customHeight="1">
      <c r="A95" s="179"/>
      <c r="B95" s="180"/>
      <c r="C95" s="188">
        <f>SUM(C93:C94)</f>
        <v>0</v>
      </c>
      <c r="D95" s="188"/>
      <c r="E95" s="185"/>
      <c r="F95" s="185"/>
      <c r="G95" s="185"/>
      <c r="H95" s="186"/>
      <c r="I95" s="185"/>
      <c r="J95" s="219"/>
      <c r="K95" s="211"/>
      <c r="L95" s="152"/>
      <c r="M95" s="152">
        <v>0</v>
      </c>
      <c r="N95" s="152">
        <v>0</v>
      </c>
      <c r="O95" s="152">
        <v>0</v>
      </c>
      <c r="P95" s="152">
        <v>0</v>
      </c>
      <c r="Q95" s="152">
        <v>0</v>
      </c>
      <c r="R95" s="145"/>
      <c r="S95" s="145"/>
      <c r="T95" s="152">
        <v>0</v>
      </c>
      <c r="U95" s="152">
        <v>0</v>
      </c>
      <c r="V95" s="152">
        <v>0</v>
      </c>
      <c r="W95" s="152">
        <v>0</v>
      </c>
      <c r="X95" s="141">
        <f t="shared" si="36"/>
        <v>0</v>
      </c>
      <c r="Y95" s="145"/>
      <c r="Z95" s="152">
        <v>0</v>
      </c>
      <c r="AA95" s="152">
        <v>0</v>
      </c>
      <c r="AB95" s="152">
        <v>0</v>
      </c>
      <c r="AC95" s="152">
        <v>0</v>
      </c>
      <c r="AD95" s="149">
        <f t="shared" si="37"/>
        <v>0</v>
      </c>
      <c r="AE95" s="152">
        <v>0</v>
      </c>
      <c r="AF95" s="152">
        <v>0</v>
      </c>
      <c r="AG95" s="152">
        <v>0</v>
      </c>
      <c r="AH95" s="152">
        <v>0</v>
      </c>
      <c r="AI95" s="146"/>
      <c r="AJ95" s="152">
        <v>0</v>
      </c>
      <c r="AK95" s="152">
        <v>0</v>
      </c>
      <c r="AL95" s="152">
        <v>0</v>
      </c>
      <c r="AM95" s="152">
        <v>0</v>
      </c>
      <c r="AN95" s="146"/>
      <c r="AO95" s="145"/>
      <c r="AP95" s="152">
        <v>0</v>
      </c>
      <c r="AQ95" s="152">
        <v>0</v>
      </c>
      <c r="AR95" s="152">
        <v>0</v>
      </c>
      <c r="AS95" s="152">
        <v>0</v>
      </c>
      <c r="AT95" s="146"/>
      <c r="AU95" s="145"/>
      <c r="AV95" s="152">
        <v>0</v>
      </c>
      <c r="AW95" s="152">
        <v>0</v>
      </c>
      <c r="AX95" s="152">
        <v>0</v>
      </c>
      <c r="AY95" s="152">
        <v>0</v>
      </c>
      <c r="AZ95" s="146"/>
      <c r="BA95" s="145"/>
      <c r="BB95" s="152">
        <v>0</v>
      </c>
      <c r="BC95" s="152">
        <v>0</v>
      </c>
      <c r="BD95" s="152">
        <v>0</v>
      </c>
      <c r="BE95" s="152">
        <v>0</v>
      </c>
      <c r="BF95" s="146"/>
      <c r="BG95" s="145"/>
      <c r="BH95" s="152">
        <v>0</v>
      </c>
      <c r="BI95" s="152">
        <v>0</v>
      </c>
      <c r="BJ95" s="152">
        <v>0</v>
      </c>
      <c r="BK95" s="152">
        <v>0</v>
      </c>
      <c r="BL95" s="146"/>
      <c r="BM95" s="145"/>
      <c r="BN95" s="152">
        <v>0</v>
      </c>
      <c r="BO95" s="152">
        <v>0</v>
      </c>
      <c r="BP95" s="152">
        <v>0</v>
      </c>
      <c r="BQ95" s="152">
        <v>0</v>
      </c>
      <c r="BR95" s="146"/>
      <c r="BS95" s="145"/>
      <c r="BT95" s="152">
        <v>0</v>
      </c>
      <c r="BU95" s="152">
        <v>0</v>
      </c>
      <c r="BV95" s="152">
        <v>0</v>
      </c>
      <c r="BW95" s="152">
        <v>0</v>
      </c>
      <c r="BX95" s="146"/>
      <c r="BY95" s="139"/>
      <c r="BZ95" s="139"/>
      <c r="CA95" s="139"/>
      <c r="CB95" s="139"/>
      <c r="CC95" s="139"/>
      <c r="CD95" s="139"/>
      <c r="CE95" s="139"/>
      <c r="CF95" s="139"/>
      <c r="CG95" s="139"/>
      <c r="CH95" s="139"/>
      <c r="CI95" s="139"/>
      <c r="CJ95" s="139"/>
      <c r="CK95" s="139"/>
      <c r="CL95" s="139"/>
    </row>
    <row r="96" spans="1:90" s="78" customFormat="1" ht="15" customHeight="1">
      <c r="A96" s="166">
        <v>61416</v>
      </c>
      <c r="B96" s="181" t="s">
        <v>58</v>
      </c>
      <c r="C96" s="188">
        <v>130000000</v>
      </c>
      <c r="D96" s="188">
        <v>154987092.16</v>
      </c>
      <c r="E96" s="188">
        <v>47338598.33</v>
      </c>
      <c r="F96" s="188">
        <f>F95+F89+F83+F56+F39</f>
        <v>0</v>
      </c>
      <c r="G96" s="188">
        <v>94500367.36</v>
      </c>
      <c r="H96" s="87">
        <f aca="true" t="shared" si="42" ref="H96:H101">G96/D96</f>
        <v>0.6097305655779587</v>
      </c>
      <c r="I96" s="89">
        <f aca="true" t="shared" si="43" ref="I96:I103">D96-G96</f>
        <v>60486724.8</v>
      </c>
      <c r="J96" s="216"/>
      <c r="K96" s="209"/>
      <c r="L96" s="152"/>
      <c r="M96" s="152"/>
      <c r="N96" s="152"/>
      <c r="O96" s="152"/>
      <c r="P96" s="152"/>
      <c r="Q96" s="152"/>
      <c r="R96" s="145"/>
      <c r="S96" s="145"/>
      <c r="T96" s="141"/>
      <c r="U96" s="141"/>
      <c r="V96" s="141"/>
      <c r="W96" s="141"/>
      <c r="X96" s="141">
        <f t="shared" si="36"/>
        <v>0</v>
      </c>
      <c r="Y96" s="145"/>
      <c r="Z96" s="145"/>
      <c r="AA96" s="141"/>
      <c r="AB96" s="141"/>
      <c r="AC96" s="141"/>
      <c r="AD96" s="141">
        <f t="shared" si="37"/>
        <v>0</v>
      </c>
      <c r="AE96" s="145"/>
      <c r="AF96" s="141"/>
      <c r="AG96" s="141"/>
      <c r="AH96" s="141"/>
      <c r="AI96" s="146"/>
      <c r="AJ96" s="145"/>
      <c r="AK96" s="141"/>
      <c r="AL96" s="141"/>
      <c r="AM96" s="141"/>
      <c r="AN96" s="146"/>
      <c r="AO96" s="145"/>
      <c r="AP96" s="145"/>
      <c r="AQ96" s="141"/>
      <c r="AR96" s="141"/>
      <c r="AS96" s="141"/>
      <c r="AT96" s="146"/>
      <c r="AU96" s="145"/>
      <c r="AV96" s="145"/>
      <c r="AW96" s="141"/>
      <c r="AX96" s="141"/>
      <c r="AY96" s="141"/>
      <c r="AZ96" s="146"/>
      <c r="BA96" s="145"/>
      <c r="BB96" s="145"/>
      <c r="BC96" s="141"/>
      <c r="BD96" s="141"/>
      <c r="BE96" s="141"/>
      <c r="BF96" s="146"/>
      <c r="BG96" s="145"/>
      <c r="BH96" s="145"/>
      <c r="BI96" s="141"/>
      <c r="BJ96" s="141"/>
      <c r="BK96" s="141"/>
      <c r="BL96" s="146"/>
      <c r="BM96" s="145"/>
      <c r="BN96" s="145"/>
      <c r="BO96" s="141"/>
      <c r="BP96" s="141"/>
      <c r="BQ96" s="141"/>
      <c r="BR96" s="146"/>
      <c r="BS96" s="145"/>
      <c r="BT96" s="145"/>
      <c r="BU96" s="141"/>
      <c r="BV96" s="141"/>
      <c r="BW96" s="141"/>
      <c r="BX96" s="146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</row>
    <row r="97" spans="1:90" s="78" customFormat="1" ht="15" customHeight="1">
      <c r="A97" s="166">
        <v>6102</v>
      </c>
      <c r="B97" s="181" t="s">
        <v>59</v>
      </c>
      <c r="C97" s="188">
        <v>0</v>
      </c>
      <c r="D97" s="188">
        <f>695000+410000+580234+1015197+350000+3409821.05+1000000+534803</f>
        <v>7995055.05</v>
      </c>
      <c r="E97" s="188">
        <v>5959821.05</v>
      </c>
      <c r="F97" s="86"/>
      <c r="G97" s="188">
        <v>7645055.05</v>
      </c>
      <c r="H97" s="87">
        <f t="shared" si="42"/>
        <v>0.9562229405787519</v>
      </c>
      <c r="I97" s="89">
        <f t="shared" si="43"/>
        <v>350000</v>
      </c>
      <c r="J97" s="216"/>
      <c r="K97" s="209"/>
      <c r="L97" s="141"/>
      <c r="M97" s="141">
        <f aca="true" t="shared" si="44" ref="M97:M104">AZ97</f>
        <v>5800466.24</v>
      </c>
      <c r="N97" s="141">
        <f aca="true" t="shared" si="45" ref="N97:N104">BF97</f>
        <v>15243535.23</v>
      </c>
      <c r="O97" s="141">
        <f aca="true" t="shared" si="46" ref="O97:O104">BL97</f>
        <v>12619949.61</v>
      </c>
      <c r="P97" s="141">
        <f aca="true" t="shared" si="47" ref="P97:P104">BR97</f>
        <v>9613323.79</v>
      </c>
      <c r="Q97" s="141">
        <f aca="true" t="shared" si="48" ref="Q97:Q104">BX97</f>
        <v>-40205.880000000005</v>
      </c>
      <c r="R97" s="145"/>
      <c r="S97" s="145"/>
      <c r="T97" s="141"/>
      <c r="U97" s="141">
        <v>238575.89</v>
      </c>
      <c r="V97" s="141"/>
      <c r="W97" s="141"/>
      <c r="X97" s="141">
        <f t="shared" si="36"/>
        <v>238575.89</v>
      </c>
      <c r="Y97" s="145"/>
      <c r="Z97" s="141"/>
      <c r="AA97" s="141">
        <v>3846485.44</v>
      </c>
      <c r="AB97" s="141"/>
      <c r="AC97" s="141"/>
      <c r="AD97" s="141">
        <f t="shared" si="37"/>
        <v>3846485.44</v>
      </c>
      <c r="AE97" s="141">
        <v>11725721.95</v>
      </c>
      <c r="AF97" s="141"/>
      <c r="AG97" s="141"/>
      <c r="AH97" s="141"/>
      <c r="AI97" s="149">
        <f aca="true" t="shared" si="49" ref="AI97:AI104">SUM(AE97:AH97)</f>
        <v>11725721.95</v>
      </c>
      <c r="AJ97" s="141"/>
      <c r="AK97" s="141">
        <f>17957193.03-505702.4</f>
        <v>17451490.630000003</v>
      </c>
      <c r="AL97" s="141"/>
      <c r="AM97" s="141"/>
      <c r="AN97" s="149">
        <f aca="true" t="shared" si="50" ref="AN97:AN104">SUM(AJ97:AM97)</f>
        <v>17451490.630000003</v>
      </c>
      <c r="AO97" s="145"/>
      <c r="AP97" s="141"/>
      <c r="AQ97" s="141"/>
      <c r="AR97" s="141"/>
      <c r="AS97" s="141">
        <v>29149114.55</v>
      </c>
      <c r="AT97" s="149">
        <f aca="true" t="shared" si="51" ref="AT97:AT104">SUM(AP97:AS97)</f>
        <v>29149114.55</v>
      </c>
      <c r="AU97" s="145"/>
      <c r="AV97" s="141"/>
      <c r="AW97" s="141"/>
      <c r="AX97" s="141"/>
      <c r="AY97" s="141">
        <v>5800466.24</v>
      </c>
      <c r="AZ97" s="149">
        <f aca="true" t="shared" si="52" ref="AZ97:AZ104">SUM(AV97:AY97)</f>
        <v>5800466.24</v>
      </c>
      <c r="BA97" s="145"/>
      <c r="BB97" s="141"/>
      <c r="BC97" s="141"/>
      <c r="BD97" s="141"/>
      <c r="BE97" s="141">
        <v>15243535.23</v>
      </c>
      <c r="BF97" s="149">
        <f aca="true" t="shared" si="53" ref="BF97:BF104">SUM(BB97:BE97)</f>
        <v>15243535.23</v>
      </c>
      <c r="BG97" s="145"/>
      <c r="BH97" s="141"/>
      <c r="BI97" s="141"/>
      <c r="BJ97" s="141"/>
      <c r="BK97" s="141">
        <v>12619949.61</v>
      </c>
      <c r="BL97" s="149">
        <f aca="true" t="shared" si="54" ref="BL97:BL104">SUM(BH97:BK97)</f>
        <v>12619949.61</v>
      </c>
      <c r="BM97" s="145"/>
      <c r="BN97" s="141"/>
      <c r="BO97" s="141"/>
      <c r="BP97" s="141"/>
      <c r="BQ97" s="141">
        <f>9808303.79-194980</f>
        <v>9613323.79</v>
      </c>
      <c r="BR97" s="149">
        <f aca="true" t="shared" si="55" ref="BR97:BR104">SUM(BN97:BQ97)</f>
        <v>9613323.79</v>
      </c>
      <c r="BS97" s="145"/>
      <c r="BT97" s="141"/>
      <c r="BU97" s="141"/>
      <c r="BV97" s="141"/>
      <c r="BW97" s="141">
        <f>236872.94-277078.82</f>
        <v>-40205.880000000005</v>
      </c>
      <c r="BX97" s="149">
        <f aca="true" t="shared" si="56" ref="BX97:BX104">SUM(BT97:BW97)</f>
        <v>-40205.880000000005</v>
      </c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</row>
    <row r="98" spans="1:90" s="78" customFormat="1" ht="15" customHeight="1">
      <c r="A98" s="166">
        <v>6103</v>
      </c>
      <c r="B98" s="181" t="s">
        <v>60</v>
      </c>
      <c r="C98" s="188">
        <v>0</v>
      </c>
      <c r="D98" s="188">
        <v>0</v>
      </c>
      <c r="E98" s="188">
        <v>0</v>
      </c>
      <c r="F98" s="132"/>
      <c r="G98" s="188">
        <v>0</v>
      </c>
      <c r="H98" s="87">
        <v>0</v>
      </c>
      <c r="I98" s="89">
        <f t="shared" si="43"/>
        <v>0</v>
      </c>
      <c r="J98" s="216"/>
      <c r="K98" s="209"/>
      <c r="L98" s="141"/>
      <c r="M98" s="141">
        <f t="shared" si="44"/>
        <v>0</v>
      </c>
      <c r="N98" s="141">
        <f t="shared" si="45"/>
        <v>0</v>
      </c>
      <c r="O98" s="141">
        <f t="shared" si="46"/>
        <v>500000</v>
      </c>
      <c r="P98" s="141">
        <f t="shared" si="47"/>
        <v>604095</v>
      </c>
      <c r="Q98" s="141">
        <f t="shared" si="48"/>
        <v>5034344</v>
      </c>
      <c r="R98" s="145"/>
      <c r="S98" s="145"/>
      <c r="T98" s="141"/>
      <c r="U98" s="141"/>
      <c r="V98" s="141"/>
      <c r="W98" s="141"/>
      <c r="X98" s="141">
        <f t="shared" si="36"/>
        <v>0</v>
      </c>
      <c r="Y98" s="145"/>
      <c r="Z98" s="141"/>
      <c r="AA98" s="141"/>
      <c r="AB98" s="141"/>
      <c r="AC98" s="141"/>
      <c r="AD98" s="141">
        <f t="shared" si="37"/>
        <v>0</v>
      </c>
      <c r="AE98" s="141"/>
      <c r="AF98" s="141"/>
      <c r="AG98" s="141"/>
      <c r="AH98" s="141"/>
      <c r="AI98" s="149">
        <f t="shared" si="49"/>
        <v>0</v>
      </c>
      <c r="AJ98" s="141"/>
      <c r="AK98" s="141">
        <v>193825</v>
      </c>
      <c r="AL98" s="141"/>
      <c r="AM98" s="141"/>
      <c r="AN98" s="149">
        <f t="shared" si="50"/>
        <v>193825</v>
      </c>
      <c r="AO98" s="145"/>
      <c r="AP98" s="141"/>
      <c r="AQ98" s="141"/>
      <c r="AR98" s="141"/>
      <c r="AS98" s="141"/>
      <c r="AT98" s="149">
        <f t="shared" si="51"/>
        <v>0</v>
      </c>
      <c r="AU98" s="145"/>
      <c r="AV98" s="141"/>
      <c r="AW98" s="141"/>
      <c r="AX98" s="141"/>
      <c r="AY98" s="141"/>
      <c r="AZ98" s="149">
        <f t="shared" si="52"/>
        <v>0</v>
      </c>
      <c r="BA98" s="145"/>
      <c r="BB98" s="141"/>
      <c r="BC98" s="141"/>
      <c r="BD98" s="141"/>
      <c r="BE98" s="141"/>
      <c r="BF98" s="149">
        <f t="shared" si="53"/>
        <v>0</v>
      </c>
      <c r="BG98" s="145"/>
      <c r="BH98" s="141"/>
      <c r="BI98" s="141"/>
      <c r="BJ98" s="141"/>
      <c r="BK98" s="141">
        <v>500000</v>
      </c>
      <c r="BL98" s="149">
        <f t="shared" si="54"/>
        <v>500000</v>
      </c>
      <c r="BM98" s="145"/>
      <c r="BN98" s="141"/>
      <c r="BO98" s="141"/>
      <c r="BP98" s="141"/>
      <c r="BQ98" s="141">
        <v>604095</v>
      </c>
      <c r="BR98" s="149">
        <f t="shared" si="55"/>
        <v>604095</v>
      </c>
      <c r="BS98" s="145"/>
      <c r="BT98" s="141"/>
      <c r="BU98" s="141"/>
      <c r="BV98" s="141"/>
      <c r="BW98" s="141">
        <v>5034344</v>
      </c>
      <c r="BX98" s="149">
        <f t="shared" si="56"/>
        <v>5034344</v>
      </c>
      <c r="BY98" s="142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</row>
    <row r="99" spans="1:90" s="78" customFormat="1" ht="15" customHeight="1">
      <c r="A99" s="166">
        <f>+566448.5+6219378.97</f>
        <v>6785827.47</v>
      </c>
      <c r="B99" s="181" t="s">
        <v>61</v>
      </c>
      <c r="C99" s="188">
        <v>36681460</v>
      </c>
      <c r="D99" s="188">
        <f>36681460+566448.5+6219378.97</f>
        <v>43467287.47</v>
      </c>
      <c r="E99" s="188">
        <v>12997097.23</v>
      </c>
      <c r="F99" s="86"/>
      <c r="G99" s="188">
        <v>43351779.43</v>
      </c>
      <c r="H99" s="87">
        <f t="shared" si="42"/>
        <v>0.9973426443948287</v>
      </c>
      <c r="I99" s="89">
        <f t="shared" si="43"/>
        <v>115508.0399999991</v>
      </c>
      <c r="J99" s="216"/>
      <c r="K99" s="209"/>
      <c r="L99" s="141"/>
      <c r="M99" s="141">
        <f t="shared" si="44"/>
        <v>0</v>
      </c>
      <c r="N99" s="141">
        <f t="shared" si="45"/>
        <v>0</v>
      </c>
      <c r="O99" s="141">
        <f t="shared" si="46"/>
        <v>0</v>
      </c>
      <c r="P99" s="141">
        <f t="shared" si="47"/>
        <v>0</v>
      </c>
      <c r="Q99" s="141">
        <f t="shared" si="48"/>
        <v>0</v>
      </c>
      <c r="R99" s="145"/>
      <c r="S99" s="145"/>
      <c r="T99" s="141"/>
      <c r="U99" s="141"/>
      <c r="V99" s="141"/>
      <c r="W99" s="141"/>
      <c r="X99" s="141">
        <f t="shared" si="36"/>
        <v>0</v>
      </c>
      <c r="Y99" s="145"/>
      <c r="Z99" s="141"/>
      <c r="AA99" s="141"/>
      <c r="AB99" s="141"/>
      <c r="AC99" s="141"/>
      <c r="AD99" s="141">
        <f t="shared" si="37"/>
        <v>0</v>
      </c>
      <c r="AE99" s="141"/>
      <c r="AF99" s="141"/>
      <c r="AG99" s="141"/>
      <c r="AH99" s="141"/>
      <c r="AI99" s="149">
        <f t="shared" si="49"/>
        <v>0</v>
      </c>
      <c r="AJ99" s="141"/>
      <c r="AK99" s="141"/>
      <c r="AL99" s="141"/>
      <c r="AM99" s="141"/>
      <c r="AN99" s="149">
        <f t="shared" si="50"/>
        <v>0</v>
      </c>
      <c r="AO99" s="145"/>
      <c r="AP99" s="141"/>
      <c r="AQ99" s="141"/>
      <c r="AR99" s="141"/>
      <c r="AS99" s="141"/>
      <c r="AT99" s="149">
        <f t="shared" si="51"/>
        <v>0</v>
      </c>
      <c r="AU99" s="145"/>
      <c r="AV99" s="141"/>
      <c r="AW99" s="141"/>
      <c r="AX99" s="141"/>
      <c r="AY99" s="141"/>
      <c r="AZ99" s="149">
        <f t="shared" si="52"/>
        <v>0</v>
      </c>
      <c r="BA99" s="145"/>
      <c r="BB99" s="141"/>
      <c r="BC99" s="141"/>
      <c r="BD99" s="141"/>
      <c r="BE99" s="141"/>
      <c r="BF99" s="149">
        <f t="shared" si="53"/>
        <v>0</v>
      </c>
      <c r="BG99" s="145"/>
      <c r="BH99" s="141"/>
      <c r="BI99" s="141"/>
      <c r="BJ99" s="141"/>
      <c r="BK99" s="141"/>
      <c r="BL99" s="149">
        <f t="shared" si="54"/>
        <v>0</v>
      </c>
      <c r="BM99" s="145"/>
      <c r="BN99" s="141"/>
      <c r="BO99" s="141"/>
      <c r="BP99" s="141"/>
      <c r="BQ99" s="141"/>
      <c r="BR99" s="149">
        <f t="shared" si="55"/>
        <v>0</v>
      </c>
      <c r="BS99" s="145"/>
      <c r="BT99" s="141"/>
      <c r="BU99" s="141"/>
      <c r="BV99" s="141"/>
      <c r="BW99" s="141"/>
      <c r="BX99" s="149">
        <f t="shared" si="56"/>
        <v>0</v>
      </c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</row>
    <row r="100" spans="1:90" s="78" customFormat="1" ht="15" customHeight="1">
      <c r="A100" s="166">
        <v>6105</v>
      </c>
      <c r="B100" s="181" t="s">
        <v>62</v>
      </c>
      <c r="C100" s="188">
        <v>0</v>
      </c>
      <c r="D100" s="188">
        <v>0</v>
      </c>
      <c r="E100" s="188">
        <v>0</v>
      </c>
      <c r="F100" s="86"/>
      <c r="G100" s="188">
        <v>0</v>
      </c>
      <c r="H100" s="87">
        <v>0</v>
      </c>
      <c r="I100" s="89">
        <f t="shared" si="43"/>
        <v>0</v>
      </c>
      <c r="J100" s="216"/>
      <c r="K100" s="209"/>
      <c r="L100" s="141"/>
      <c r="M100" s="141">
        <f t="shared" si="44"/>
        <v>13309665.84</v>
      </c>
      <c r="N100" s="141">
        <f t="shared" si="45"/>
        <v>4274532.1</v>
      </c>
      <c r="O100" s="141">
        <f t="shared" si="46"/>
        <v>16267042.22</v>
      </c>
      <c r="P100" s="141">
        <f t="shared" si="47"/>
        <v>7878912.3</v>
      </c>
      <c r="Q100" s="141">
        <f t="shared" si="48"/>
        <v>4604035.55</v>
      </c>
      <c r="R100" s="145"/>
      <c r="S100" s="145"/>
      <c r="T100" s="141"/>
      <c r="U100" s="141">
        <v>15768353.84</v>
      </c>
      <c r="V100" s="141"/>
      <c r="W100" s="141"/>
      <c r="X100" s="141">
        <f t="shared" si="36"/>
        <v>15768353.84</v>
      </c>
      <c r="Y100" s="145"/>
      <c r="Z100" s="145"/>
      <c r="AA100" s="141">
        <v>12435247.87</v>
      </c>
      <c r="AB100" s="141"/>
      <c r="AC100" s="141"/>
      <c r="AD100" s="141">
        <f t="shared" si="37"/>
        <v>12435247.87</v>
      </c>
      <c r="AE100" s="141">
        <v>10782933.84</v>
      </c>
      <c r="AF100" s="141"/>
      <c r="AG100" s="141"/>
      <c r="AH100" s="141"/>
      <c r="AI100" s="149">
        <f t="shared" si="49"/>
        <v>10782933.84</v>
      </c>
      <c r="AJ100" s="141"/>
      <c r="AK100" s="141">
        <v>19043756.72</v>
      </c>
      <c r="AL100" s="141"/>
      <c r="AM100" s="141"/>
      <c r="AN100" s="149">
        <f t="shared" si="50"/>
        <v>19043756.72</v>
      </c>
      <c r="AO100" s="145"/>
      <c r="AP100" s="141"/>
      <c r="AQ100" s="141"/>
      <c r="AR100" s="141"/>
      <c r="AS100" s="141">
        <v>17368327.91</v>
      </c>
      <c r="AT100" s="149">
        <f t="shared" si="51"/>
        <v>17368327.91</v>
      </c>
      <c r="AU100" s="145"/>
      <c r="AV100" s="141"/>
      <c r="AW100" s="141"/>
      <c r="AX100" s="141"/>
      <c r="AY100" s="141">
        <v>13309665.84</v>
      </c>
      <c r="AZ100" s="149">
        <f t="shared" si="52"/>
        <v>13309665.84</v>
      </c>
      <c r="BA100" s="145"/>
      <c r="BB100" s="141"/>
      <c r="BC100" s="141"/>
      <c r="BD100" s="141"/>
      <c r="BE100" s="141">
        <v>4274532.1</v>
      </c>
      <c r="BF100" s="149">
        <f t="shared" si="53"/>
        <v>4274532.1</v>
      </c>
      <c r="BG100" s="145"/>
      <c r="BH100" s="141"/>
      <c r="BI100" s="141"/>
      <c r="BJ100" s="141"/>
      <c r="BK100" s="141">
        <v>16267042.22</v>
      </c>
      <c r="BL100" s="149">
        <f t="shared" si="54"/>
        <v>16267042.22</v>
      </c>
      <c r="BM100" s="145"/>
      <c r="BN100" s="141"/>
      <c r="BO100" s="141"/>
      <c r="BP100" s="141"/>
      <c r="BQ100" s="141">
        <v>7878912.3</v>
      </c>
      <c r="BR100" s="149">
        <f t="shared" si="55"/>
        <v>7878912.3</v>
      </c>
      <c r="BS100" s="145"/>
      <c r="BT100" s="141"/>
      <c r="BU100" s="141"/>
      <c r="BV100" s="141"/>
      <c r="BW100" s="141">
        <v>4604035.55</v>
      </c>
      <c r="BX100" s="149">
        <f t="shared" si="56"/>
        <v>4604035.55</v>
      </c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</row>
    <row r="101" spans="1:90" s="78" customFormat="1" ht="15" customHeight="1">
      <c r="A101" s="166">
        <v>62000</v>
      </c>
      <c r="B101" s="181" t="s">
        <v>160</v>
      </c>
      <c r="C101" s="188">
        <v>36681460</v>
      </c>
      <c r="D101" s="188">
        <f>36681460+131832+2500000+2500000+1546867.98+209530.8+569803-24987092.16</f>
        <v>19152401.619999994</v>
      </c>
      <c r="E101" s="188">
        <v>8168024.0200000005</v>
      </c>
      <c r="F101" s="86"/>
      <c r="G101" s="188">
        <v>45338550.63</v>
      </c>
      <c r="H101" s="87">
        <f t="shared" si="42"/>
        <v>2.367251456478178</v>
      </c>
      <c r="I101" s="89">
        <f t="shared" si="43"/>
        <v>-26186149.01000001</v>
      </c>
      <c r="J101" s="216"/>
      <c r="K101" s="209"/>
      <c r="L101" s="141"/>
      <c r="M101" s="141">
        <f t="shared" si="44"/>
        <v>0</v>
      </c>
      <c r="N101" s="141">
        <f t="shared" si="45"/>
        <v>0</v>
      </c>
      <c r="O101" s="141">
        <f t="shared" si="46"/>
        <v>0</v>
      </c>
      <c r="P101" s="141">
        <f t="shared" si="47"/>
        <v>0</v>
      </c>
      <c r="Q101" s="141">
        <f t="shared" si="48"/>
        <v>0</v>
      </c>
      <c r="R101" s="145"/>
      <c r="S101" s="145"/>
      <c r="T101" s="141"/>
      <c r="U101" s="141"/>
      <c r="V101" s="141"/>
      <c r="W101" s="141"/>
      <c r="X101" s="141">
        <f t="shared" si="36"/>
        <v>0</v>
      </c>
      <c r="Y101" s="145"/>
      <c r="Z101" s="145"/>
      <c r="AA101" s="141"/>
      <c r="AB101" s="141"/>
      <c r="AC101" s="141"/>
      <c r="AD101" s="141">
        <f t="shared" si="37"/>
        <v>0</v>
      </c>
      <c r="AE101" s="141"/>
      <c r="AF101" s="141"/>
      <c r="AG101" s="141"/>
      <c r="AH101" s="141"/>
      <c r="AI101" s="149">
        <f t="shared" si="49"/>
        <v>0</v>
      </c>
      <c r="AJ101" s="141"/>
      <c r="AK101" s="141"/>
      <c r="AL101" s="141"/>
      <c r="AM101" s="141"/>
      <c r="AN101" s="149">
        <f t="shared" si="50"/>
        <v>0</v>
      </c>
      <c r="AO101" s="145"/>
      <c r="AP101" s="141"/>
      <c r="AQ101" s="141"/>
      <c r="AR101" s="141"/>
      <c r="AS101" s="141"/>
      <c r="AT101" s="149">
        <f t="shared" si="51"/>
        <v>0</v>
      </c>
      <c r="AU101" s="145"/>
      <c r="AV101" s="141"/>
      <c r="AW101" s="141"/>
      <c r="AX101" s="141"/>
      <c r="AY101" s="141"/>
      <c r="AZ101" s="149">
        <f t="shared" si="52"/>
        <v>0</v>
      </c>
      <c r="BA101" s="145"/>
      <c r="BB101" s="141"/>
      <c r="BC101" s="141"/>
      <c r="BD101" s="141"/>
      <c r="BE101" s="141"/>
      <c r="BF101" s="149">
        <f t="shared" si="53"/>
        <v>0</v>
      </c>
      <c r="BG101" s="145"/>
      <c r="BH101" s="141"/>
      <c r="BI101" s="141"/>
      <c r="BJ101" s="141"/>
      <c r="BK101" s="141"/>
      <c r="BL101" s="149">
        <f t="shared" si="54"/>
        <v>0</v>
      </c>
      <c r="BM101" s="145"/>
      <c r="BN101" s="141"/>
      <c r="BO101" s="141"/>
      <c r="BP101" s="141"/>
      <c r="BQ101" s="141"/>
      <c r="BR101" s="149">
        <f t="shared" si="55"/>
        <v>0</v>
      </c>
      <c r="BS101" s="145"/>
      <c r="BT101" s="141"/>
      <c r="BU101" s="141"/>
      <c r="BV101" s="141"/>
      <c r="BW101" s="141"/>
      <c r="BX101" s="149">
        <f t="shared" si="56"/>
        <v>0</v>
      </c>
      <c r="BY101" s="139"/>
      <c r="BZ101" s="139"/>
      <c r="CA101" s="139"/>
      <c r="CB101" s="139"/>
      <c r="CC101" s="139"/>
      <c r="CD101" s="139"/>
      <c r="CE101" s="139"/>
      <c r="CF101" s="139"/>
      <c r="CG101" s="139"/>
      <c r="CH101" s="139"/>
      <c r="CI101" s="139"/>
      <c r="CJ101" s="139"/>
      <c r="CK101" s="139"/>
      <c r="CL101" s="139"/>
    </row>
    <row r="102" spans="1:90" s="78" customFormat="1" ht="15" customHeight="1">
      <c r="A102" s="166">
        <v>6108</v>
      </c>
      <c r="B102" s="181" t="s">
        <v>60</v>
      </c>
      <c r="C102" s="188">
        <v>0</v>
      </c>
      <c r="D102" s="188">
        <v>0</v>
      </c>
      <c r="E102" s="188">
        <v>0</v>
      </c>
      <c r="F102" s="86"/>
      <c r="G102" s="188">
        <v>0</v>
      </c>
      <c r="H102" s="87">
        <v>0</v>
      </c>
      <c r="I102" s="89">
        <f t="shared" si="43"/>
        <v>0</v>
      </c>
      <c r="J102" s="216"/>
      <c r="K102" s="209"/>
      <c r="L102" s="141"/>
      <c r="M102" s="141">
        <f t="shared" si="44"/>
        <v>3537873.66</v>
      </c>
      <c r="N102" s="141">
        <f t="shared" si="45"/>
        <v>3932387.09</v>
      </c>
      <c r="O102" s="141">
        <f t="shared" si="46"/>
        <v>3742366.88</v>
      </c>
      <c r="P102" s="141">
        <f t="shared" si="47"/>
        <v>1952264.5699999998</v>
      </c>
      <c r="Q102" s="141">
        <f t="shared" si="48"/>
        <v>6687716.32</v>
      </c>
      <c r="R102" s="145">
        <f>725446.61-771918.93</f>
        <v>-46472.320000000065</v>
      </c>
      <c r="S102" s="145"/>
      <c r="T102" s="141"/>
      <c r="U102" s="141">
        <v>2181605.06</v>
      </c>
      <c r="V102" s="141"/>
      <c r="W102" s="141"/>
      <c r="X102" s="141">
        <f t="shared" si="36"/>
        <v>2181605.06</v>
      </c>
      <c r="Y102" s="145"/>
      <c r="Z102" s="145"/>
      <c r="AA102" s="141">
        <v>1141883.69</v>
      </c>
      <c r="AB102" s="141"/>
      <c r="AC102" s="141"/>
      <c r="AD102" s="141">
        <f t="shared" si="37"/>
        <v>1141883.69</v>
      </c>
      <c r="AE102" s="141">
        <v>1323281.26</v>
      </c>
      <c r="AF102" s="141"/>
      <c r="AG102" s="141"/>
      <c r="AH102" s="141"/>
      <c r="AI102" s="149">
        <f t="shared" si="49"/>
        <v>1323281.26</v>
      </c>
      <c r="AJ102" s="141"/>
      <c r="AK102" s="141">
        <v>1640329.75</v>
      </c>
      <c r="AL102" s="141"/>
      <c r="AM102" s="141"/>
      <c r="AN102" s="149">
        <f t="shared" si="50"/>
        <v>1640329.75</v>
      </c>
      <c r="AO102" s="145"/>
      <c r="AP102" s="141"/>
      <c r="AQ102" s="141"/>
      <c r="AR102" s="141"/>
      <c r="AS102" s="141">
        <f>9464+90912+809900.02-53780</f>
        <v>856496.02</v>
      </c>
      <c r="AT102" s="149">
        <f t="shared" si="51"/>
        <v>856496.02</v>
      </c>
      <c r="AU102" s="145"/>
      <c r="AV102" s="141"/>
      <c r="AW102" s="141"/>
      <c r="AX102" s="141"/>
      <c r="AY102" s="141">
        <f>6000+3531873.66</f>
        <v>3537873.66</v>
      </c>
      <c r="AZ102" s="149">
        <f t="shared" si="52"/>
        <v>3537873.66</v>
      </c>
      <c r="BA102" s="145"/>
      <c r="BB102" s="141"/>
      <c r="BC102" s="141"/>
      <c r="BD102" s="141"/>
      <c r="BE102" s="141">
        <f>6000+3927887.09-1500</f>
        <v>3932387.09</v>
      </c>
      <c r="BF102" s="149">
        <f t="shared" si="53"/>
        <v>3932387.09</v>
      </c>
      <c r="BG102" s="145"/>
      <c r="BH102" s="141"/>
      <c r="BI102" s="141"/>
      <c r="BJ102" s="141"/>
      <c r="BK102" s="141">
        <f>8586+6000+3730680.88-2900</f>
        <v>3742366.88</v>
      </c>
      <c r="BL102" s="149">
        <f t="shared" si="54"/>
        <v>3742366.88</v>
      </c>
      <c r="BM102" s="145"/>
      <c r="BN102" s="141"/>
      <c r="BO102" s="141"/>
      <c r="BP102" s="141"/>
      <c r="BQ102" s="141">
        <f>37482+9025+1924291.17-18533.6</f>
        <v>1952264.5699999998</v>
      </c>
      <c r="BR102" s="149">
        <f t="shared" si="55"/>
        <v>1952264.5699999998</v>
      </c>
      <c r="BS102" s="145"/>
      <c r="BT102" s="141"/>
      <c r="BU102" s="141"/>
      <c r="BV102" s="141"/>
      <c r="BW102" s="141">
        <f>109169.45+6000+6572546.87</f>
        <v>6687716.32</v>
      </c>
      <c r="BX102" s="149">
        <f t="shared" si="56"/>
        <v>6687716.32</v>
      </c>
      <c r="BY102" s="139"/>
      <c r="BZ102" s="139"/>
      <c r="CA102" s="139"/>
      <c r="CB102" s="139"/>
      <c r="CC102" s="139"/>
      <c r="CD102" s="139"/>
      <c r="CE102" s="139"/>
      <c r="CF102" s="139"/>
      <c r="CG102" s="139"/>
      <c r="CH102" s="139"/>
      <c r="CI102" s="139"/>
      <c r="CJ102" s="139"/>
      <c r="CK102" s="139"/>
      <c r="CL102" s="139"/>
    </row>
    <row r="103" spans="1:90" s="78" customFormat="1" ht="15" customHeight="1">
      <c r="A103" s="166">
        <v>6112</v>
      </c>
      <c r="B103" s="181" t="s">
        <v>63</v>
      </c>
      <c r="C103" s="188">
        <f>'[1]Hoja1'!$C$101</f>
        <v>0</v>
      </c>
      <c r="D103" s="188">
        <f>'[1]Hoja1'!$F$101</f>
        <v>0</v>
      </c>
      <c r="E103" s="86">
        <v>0</v>
      </c>
      <c r="F103" s="86"/>
      <c r="G103" s="89">
        <v>0</v>
      </c>
      <c r="H103" s="87"/>
      <c r="I103" s="89">
        <f t="shared" si="43"/>
        <v>0</v>
      </c>
      <c r="J103" s="216"/>
      <c r="K103" s="209"/>
      <c r="L103" s="141"/>
      <c r="M103" s="141">
        <f t="shared" si="44"/>
        <v>0</v>
      </c>
      <c r="N103" s="141">
        <f t="shared" si="45"/>
        <v>0</v>
      </c>
      <c r="O103" s="141">
        <f t="shared" si="46"/>
        <v>0</v>
      </c>
      <c r="P103" s="141">
        <f t="shared" si="47"/>
        <v>0</v>
      </c>
      <c r="Q103" s="141">
        <f t="shared" si="48"/>
        <v>0</v>
      </c>
      <c r="R103" s="145">
        <f>771918.93-752266.61</f>
        <v>19652.320000000065</v>
      </c>
      <c r="S103" s="145"/>
      <c r="T103" s="141"/>
      <c r="U103" s="141">
        <v>7157.28</v>
      </c>
      <c r="V103" s="141"/>
      <c r="W103" s="141"/>
      <c r="X103" s="141">
        <f t="shared" si="36"/>
        <v>7157.28</v>
      </c>
      <c r="Y103" s="145"/>
      <c r="Z103" s="141"/>
      <c r="AA103" s="141">
        <v>0</v>
      </c>
      <c r="AB103" s="141"/>
      <c r="AC103" s="141"/>
      <c r="AD103" s="141">
        <f t="shared" si="37"/>
        <v>0</v>
      </c>
      <c r="AE103" s="141"/>
      <c r="AF103" s="141"/>
      <c r="AG103" s="141"/>
      <c r="AH103" s="141"/>
      <c r="AI103" s="149">
        <f t="shared" si="49"/>
        <v>0</v>
      </c>
      <c r="AJ103" s="141"/>
      <c r="AK103" s="141"/>
      <c r="AL103" s="141"/>
      <c r="AM103" s="141"/>
      <c r="AN103" s="149">
        <f t="shared" si="50"/>
        <v>0</v>
      </c>
      <c r="AO103" s="145"/>
      <c r="AP103" s="141"/>
      <c r="AQ103" s="141"/>
      <c r="AR103" s="141"/>
      <c r="AS103" s="141"/>
      <c r="AT103" s="149">
        <f t="shared" si="51"/>
        <v>0</v>
      </c>
      <c r="AU103" s="145"/>
      <c r="AV103" s="141"/>
      <c r="AW103" s="141"/>
      <c r="AX103" s="141"/>
      <c r="AY103" s="141"/>
      <c r="AZ103" s="149">
        <f t="shared" si="52"/>
        <v>0</v>
      </c>
      <c r="BA103" s="145"/>
      <c r="BB103" s="141"/>
      <c r="BC103" s="141"/>
      <c r="BD103" s="141"/>
      <c r="BE103" s="141"/>
      <c r="BF103" s="149">
        <f t="shared" si="53"/>
        <v>0</v>
      </c>
      <c r="BG103" s="145"/>
      <c r="BH103" s="141"/>
      <c r="BI103" s="141"/>
      <c r="BJ103" s="141"/>
      <c r="BK103" s="141"/>
      <c r="BL103" s="149">
        <f t="shared" si="54"/>
        <v>0</v>
      </c>
      <c r="BM103" s="145"/>
      <c r="BN103" s="141"/>
      <c r="BO103" s="141"/>
      <c r="BP103" s="141"/>
      <c r="BQ103" s="141"/>
      <c r="BR103" s="149">
        <f t="shared" si="55"/>
        <v>0</v>
      </c>
      <c r="BS103" s="145"/>
      <c r="BT103" s="141"/>
      <c r="BU103" s="141"/>
      <c r="BV103" s="141"/>
      <c r="BW103" s="141"/>
      <c r="BX103" s="149">
        <f t="shared" si="56"/>
        <v>0</v>
      </c>
      <c r="BY103" s="139"/>
      <c r="BZ103" s="139"/>
      <c r="CA103" s="139"/>
      <c r="CB103" s="139"/>
      <c r="CC103" s="139"/>
      <c r="CD103" s="139"/>
      <c r="CE103" s="139"/>
      <c r="CF103" s="139"/>
      <c r="CG103" s="139"/>
      <c r="CH103" s="139"/>
      <c r="CI103" s="139"/>
      <c r="CJ103" s="139"/>
      <c r="CK103" s="139"/>
      <c r="CL103" s="139"/>
    </row>
    <row r="104" spans="1:90" s="78" customFormat="1" ht="15" customHeight="1">
      <c r="A104" s="168"/>
      <c r="B104" s="182" t="s">
        <v>64</v>
      </c>
      <c r="C104" s="191">
        <f>SUM(C95:C103)</f>
        <v>203362920</v>
      </c>
      <c r="D104" s="223">
        <f>SUM(D95:D103)</f>
        <v>225601836.3</v>
      </c>
      <c r="E104" s="191">
        <f>SUM(E95:E103)</f>
        <v>74463540.63</v>
      </c>
      <c r="F104" s="90"/>
      <c r="G104" s="191">
        <f>SUM(G95:G103)</f>
        <v>190835752.47</v>
      </c>
      <c r="H104" s="95">
        <v>0</v>
      </c>
      <c r="I104" s="191">
        <f>SUM(I95:I103)</f>
        <v>34766083.82999998</v>
      </c>
      <c r="J104" s="218"/>
      <c r="K104" s="210"/>
      <c r="L104" s="141"/>
      <c r="M104" s="141">
        <f t="shared" si="44"/>
        <v>0</v>
      </c>
      <c r="N104" s="141">
        <f t="shared" si="45"/>
        <v>0</v>
      </c>
      <c r="O104" s="141">
        <f t="shared" si="46"/>
        <v>0</v>
      </c>
      <c r="P104" s="141">
        <f t="shared" si="47"/>
        <v>0</v>
      </c>
      <c r="Q104" s="141">
        <f t="shared" si="48"/>
        <v>0</v>
      </c>
      <c r="R104" s="145"/>
      <c r="S104" s="145"/>
      <c r="T104" s="141"/>
      <c r="U104" s="141"/>
      <c r="V104" s="141"/>
      <c r="W104" s="141"/>
      <c r="X104" s="141">
        <f t="shared" si="36"/>
        <v>0</v>
      </c>
      <c r="Y104" s="145"/>
      <c r="Z104" s="141"/>
      <c r="AA104" s="141"/>
      <c r="AB104" s="141"/>
      <c r="AC104" s="141"/>
      <c r="AD104" s="141">
        <f t="shared" si="37"/>
        <v>0</v>
      </c>
      <c r="AE104" s="141"/>
      <c r="AF104" s="141"/>
      <c r="AG104" s="141"/>
      <c r="AH104" s="141"/>
      <c r="AI104" s="149">
        <f t="shared" si="49"/>
        <v>0</v>
      </c>
      <c r="AJ104" s="141"/>
      <c r="AK104" s="141"/>
      <c r="AL104" s="141"/>
      <c r="AM104" s="141"/>
      <c r="AN104" s="149">
        <f t="shared" si="50"/>
        <v>0</v>
      </c>
      <c r="AO104" s="145"/>
      <c r="AP104" s="141"/>
      <c r="AQ104" s="141"/>
      <c r="AR104" s="141"/>
      <c r="AS104" s="141"/>
      <c r="AT104" s="149">
        <f t="shared" si="51"/>
        <v>0</v>
      </c>
      <c r="AU104" s="145"/>
      <c r="AV104" s="141"/>
      <c r="AW104" s="141"/>
      <c r="AX104" s="141"/>
      <c r="AY104" s="141"/>
      <c r="AZ104" s="149">
        <f t="shared" si="52"/>
        <v>0</v>
      </c>
      <c r="BA104" s="145"/>
      <c r="BB104" s="141"/>
      <c r="BC104" s="141"/>
      <c r="BD104" s="141"/>
      <c r="BE104" s="141"/>
      <c r="BF104" s="149">
        <f t="shared" si="53"/>
        <v>0</v>
      </c>
      <c r="BG104" s="145"/>
      <c r="BH104" s="141"/>
      <c r="BI104" s="141"/>
      <c r="BJ104" s="141"/>
      <c r="BK104" s="141"/>
      <c r="BL104" s="149">
        <f t="shared" si="54"/>
        <v>0</v>
      </c>
      <c r="BM104" s="145"/>
      <c r="BN104" s="141"/>
      <c r="BO104" s="141"/>
      <c r="BP104" s="141"/>
      <c r="BQ104" s="141"/>
      <c r="BR104" s="149">
        <f t="shared" si="55"/>
        <v>0</v>
      </c>
      <c r="BS104" s="145"/>
      <c r="BT104" s="141"/>
      <c r="BU104" s="141"/>
      <c r="BV104" s="141"/>
      <c r="BW104" s="141"/>
      <c r="BX104" s="149">
        <f t="shared" si="56"/>
        <v>0</v>
      </c>
      <c r="BY104" s="139"/>
      <c r="BZ104" s="139"/>
      <c r="CA104" s="139"/>
      <c r="CB104" s="139"/>
      <c r="CC104" s="139"/>
      <c r="CD104" s="139"/>
      <c r="CE104" s="139"/>
      <c r="CF104" s="139"/>
      <c r="CG104" s="139"/>
      <c r="CH104" s="139"/>
      <c r="CI104" s="139"/>
      <c r="CJ104" s="139"/>
      <c r="CK104" s="139"/>
      <c r="CL104" s="139"/>
    </row>
    <row r="105" spans="1:90" s="78" customFormat="1" ht="15" customHeight="1">
      <c r="A105" s="166">
        <v>7303</v>
      </c>
      <c r="B105" s="181" t="s">
        <v>65</v>
      </c>
      <c r="C105" s="184"/>
      <c r="D105" s="184"/>
      <c r="E105" s="184"/>
      <c r="F105" s="184"/>
      <c r="G105" s="184"/>
      <c r="H105" s="192"/>
      <c r="I105" s="184"/>
      <c r="J105" s="216"/>
      <c r="K105" s="209"/>
      <c r="L105" s="149"/>
      <c r="M105" s="149">
        <f>SUM(M97:M104)</f>
        <v>22648005.74</v>
      </c>
      <c r="N105" s="149">
        <f>SUM(N97:N104)</f>
        <v>23450454.419999998</v>
      </c>
      <c r="O105" s="149">
        <f>SUM(O97:O104)</f>
        <v>33129358.709999997</v>
      </c>
      <c r="P105" s="149">
        <f>SUM(P97:P104)</f>
        <v>20048595.66</v>
      </c>
      <c r="Q105" s="149">
        <f>SUM(Q97:Q104)</f>
        <v>16285889.99</v>
      </c>
      <c r="R105" s="145"/>
      <c r="S105" s="145"/>
      <c r="T105" s="149">
        <f>SUM(T97:T104)</f>
        <v>0</v>
      </c>
      <c r="U105" s="149">
        <f>SUM(U97:U104)</f>
        <v>18195692.07</v>
      </c>
      <c r="V105" s="149">
        <f>SUM(V97:V104)</f>
        <v>0</v>
      </c>
      <c r="W105" s="149">
        <f>SUM(W97:W104)</f>
        <v>0</v>
      </c>
      <c r="X105" s="141">
        <f t="shared" si="36"/>
        <v>18195692.07</v>
      </c>
      <c r="Y105" s="145"/>
      <c r="Z105" s="149">
        <f>SUM(Z97:Z104)</f>
        <v>0</v>
      </c>
      <c r="AA105" s="149">
        <f>SUM(AA97:AA104)</f>
        <v>17423617</v>
      </c>
      <c r="AB105" s="149">
        <f>SUM(AB97:AB104)</f>
        <v>0</v>
      </c>
      <c r="AC105" s="149">
        <f>SUM(AC97:AC104)</f>
        <v>0</v>
      </c>
      <c r="AD105" s="149">
        <f t="shared" si="37"/>
        <v>17423617</v>
      </c>
      <c r="AE105" s="149">
        <f aca="true" t="shared" si="57" ref="AE105:AN105">SUM(AE97:AE104)</f>
        <v>23831937.05</v>
      </c>
      <c r="AF105" s="149">
        <f t="shared" si="57"/>
        <v>0</v>
      </c>
      <c r="AG105" s="149">
        <f t="shared" si="57"/>
        <v>0</v>
      </c>
      <c r="AH105" s="149">
        <f t="shared" si="57"/>
        <v>0</v>
      </c>
      <c r="AI105" s="149">
        <f t="shared" si="57"/>
        <v>23831937.05</v>
      </c>
      <c r="AJ105" s="149">
        <f t="shared" si="57"/>
        <v>0</v>
      </c>
      <c r="AK105" s="149">
        <f t="shared" si="57"/>
        <v>38329402.1</v>
      </c>
      <c r="AL105" s="149">
        <f t="shared" si="57"/>
        <v>0</v>
      </c>
      <c r="AM105" s="149">
        <f t="shared" si="57"/>
        <v>0</v>
      </c>
      <c r="AN105" s="149">
        <f t="shared" si="57"/>
        <v>38329402.1</v>
      </c>
      <c r="AO105" s="145"/>
      <c r="AP105" s="149">
        <f>SUM(AP97:AP104)</f>
        <v>0</v>
      </c>
      <c r="AQ105" s="149">
        <f>SUM(AQ97:AQ104)</f>
        <v>0</v>
      </c>
      <c r="AR105" s="149">
        <f>SUM(AR97:AR104)</f>
        <v>0</v>
      </c>
      <c r="AS105" s="149">
        <f>SUM(AS97:AS104)</f>
        <v>47373938.480000004</v>
      </c>
      <c r="AT105" s="149">
        <f>SUM(AT97:AT104)</f>
        <v>47373938.480000004</v>
      </c>
      <c r="AU105" s="141"/>
      <c r="AV105" s="149">
        <f>SUM(AV97:AV104)</f>
        <v>0</v>
      </c>
      <c r="AW105" s="149">
        <f>SUM(AW97:AW104)</f>
        <v>0</v>
      </c>
      <c r="AX105" s="149">
        <f>SUM(AX97:AX104)</f>
        <v>0</v>
      </c>
      <c r="AY105" s="149">
        <f>SUM(AY97:AY104)</f>
        <v>22648005.74</v>
      </c>
      <c r="AZ105" s="149">
        <f>SUM(AZ97:AZ104)</f>
        <v>22648005.74</v>
      </c>
      <c r="BA105" s="145"/>
      <c r="BB105" s="149">
        <f>SUM(BB97:BB104)</f>
        <v>0</v>
      </c>
      <c r="BC105" s="149">
        <f>SUM(BC97:BC104)</f>
        <v>0</v>
      </c>
      <c r="BD105" s="149">
        <f>SUM(BD97:BD104)</f>
        <v>0</v>
      </c>
      <c r="BE105" s="149">
        <f>SUM(BE97:BE104)</f>
        <v>23450454.419999998</v>
      </c>
      <c r="BF105" s="149">
        <f>SUM(BF97:BF104)</f>
        <v>23450454.419999998</v>
      </c>
      <c r="BG105" s="145"/>
      <c r="BH105" s="149">
        <f>SUM(BH97:BH104)</f>
        <v>0</v>
      </c>
      <c r="BI105" s="149">
        <f>SUM(BI97:BI104)</f>
        <v>0</v>
      </c>
      <c r="BJ105" s="149">
        <f>SUM(BJ97:BJ104)</f>
        <v>0</v>
      </c>
      <c r="BK105" s="149">
        <f>SUM(BK97:BK104)</f>
        <v>33129358.709999997</v>
      </c>
      <c r="BL105" s="149">
        <f>SUM(BL97:BL104)</f>
        <v>33129358.709999997</v>
      </c>
      <c r="BM105" s="145"/>
      <c r="BN105" s="149">
        <f>SUM(BN97:BN104)</f>
        <v>0</v>
      </c>
      <c r="BO105" s="149">
        <f>SUM(BO97:BO104)</f>
        <v>0</v>
      </c>
      <c r="BP105" s="149">
        <f>SUM(BP97:BP104)</f>
        <v>0</v>
      </c>
      <c r="BQ105" s="149">
        <f>SUM(BQ97:BQ104)</f>
        <v>20048595.66</v>
      </c>
      <c r="BR105" s="149">
        <f>SUM(BR97:BR104)</f>
        <v>20048595.66</v>
      </c>
      <c r="BS105" s="145"/>
      <c r="BT105" s="149">
        <f>SUM(BT97:BT104)</f>
        <v>0</v>
      </c>
      <c r="BU105" s="149">
        <f>SUM(BU97:BU104)</f>
        <v>0</v>
      </c>
      <c r="BV105" s="149">
        <f>SUM(BV97:BV104)</f>
        <v>0</v>
      </c>
      <c r="BW105" s="149">
        <f>SUM(BW97:BW104)</f>
        <v>16285889.99</v>
      </c>
      <c r="BX105" s="149">
        <f>SUM(BX97:BX104)</f>
        <v>16285889.99</v>
      </c>
      <c r="BY105" s="139"/>
      <c r="BZ105" s="139"/>
      <c r="CA105" s="139"/>
      <c r="CB105" s="139"/>
      <c r="CC105" s="139"/>
      <c r="CD105" s="139"/>
      <c r="CE105" s="139"/>
      <c r="CF105" s="139"/>
      <c r="CG105" s="139"/>
      <c r="CH105" s="139"/>
      <c r="CI105" s="139"/>
      <c r="CJ105" s="139"/>
      <c r="CK105" s="139"/>
      <c r="CL105" s="139"/>
    </row>
    <row r="106" spans="1:90" s="78" customFormat="1" ht="15" customHeight="1">
      <c r="A106" s="183"/>
      <c r="B106" s="182" t="s">
        <v>66</v>
      </c>
      <c r="C106" s="191"/>
      <c r="D106" s="193"/>
      <c r="E106" s="90">
        <f>SUM(O106:Q106)</f>
        <v>0</v>
      </c>
      <c r="F106" s="90"/>
      <c r="G106" s="90">
        <f>SUM(J106:Q106)</f>
        <v>0</v>
      </c>
      <c r="H106" s="95">
        <v>0</v>
      </c>
      <c r="I106" s="90">
        <f>D106-G106</f>
        <v>0</v>
      </c>
      <c r="J106" s="218"/>
      <c r="K106" s="210"/>
      <c r="L106" s="141"/>
      <c r="M106" s="141"/>
      <c r="N106" s="141"/>
      <c r="O106" s="141"/>
      <c r="P106" s="141"/>
      <c r="Q106" s="141"/>
      <c r="R106" s="145"/>
      <c r="S106" s="145"/>
      <c r="T106" s="141"/>
      <c r="U106" s="141"/>
      <c r="V106" s="141"/>
      <c r="W106" s="141"/>
      <c r="X106" s="141">
        <f t="shared" si="36"/>
        <v>0</v>
      </c>
      <c r="Y106" s="145"/>
      <c r="Z106" s="141"/>
      <c r="AA106" s="141"/>
      <c r="AB106" s="141"/>
      <c r="AC106" s="141"/>
      <c r="AD106" s="141">
        <f t="shared" si="37"/>
        <v>0</v>
      </c>
      <c r="AE106" s="141"/>
      <c r="AF106" s="141"/>
      <c r="AG106" s="141"/>
      <c r="AH106" s="141"/>
      <c r="AI106" s="146"/>
      <c r="AJ106" s="141"/>
      <c r="AK106" s="141"/>
      <c r="AL106" s="141"/>
      <c r="AM106" s="141"/>
      <c r="AN106" s="146"/>
      <c r="AO106" s="145"/>
      <c r="AP106" s="141"/>
      <c r="AQ106" s="141"/>
      <c r="AR106" s="141"/>
      <c r="AS106" s="141"/>
      <c r="AT106" s="146"/>
      <c r="AU106" s="141"/>
      <c r="AV106" s="141"/>
      <c r="AW106" s="141"/>
      <c r="AX106" s="141"/>
      <c r="AY106" s="141"/>
      <c r="AZ106" s="146"/>
      <c r="BA106" s="145"/>
      <c r="BB106" s="141"/>
      <c r="BC106" s="141"/>
      <c r="BD106" s="141"/>
      <c r="BE106" s="141"/>
      <c r="BF106" s="146"/>
      <c r="BG106" s="145"/>
      <c r="BH106" s="141"/>
      <c r="BI106" s="141"/>
      <c r="BJ106" s="141"/>
      <c r="BK106" s="141"/>
      <c r="BL106" s="146"/>
      <c r="BM106" s="145"/>
      <c r="BN106" s="141"/>
      <c r="BO106" s="141"/>
      <c r="BP106" s="141"/>
      <c r="BQ106" s="141"/>
      <c r="BR106" s="146"/>
      <c r="BS106" s="145"/>
      <c r="BT106" s="141"/>
      <c r="BU106" s="141"/>
      <c r="BV106" s="141"/>
      <c r="BW106" s="141"/>
      <c r="BX106" s="146"/>
      <c r="BY106" s="139"/>
      <c r="BZ106" s="139"/>
      <c r="CA106" s="139"/>
      <c r="CB106" s="139"/>
      <c r="CC106" s="139"/>
      <c r="CD106" s="139"/>
      <c r="CE106" s="139"/>
      <c r="CF106" s="139"/>
      <c r="CG106" s="139"/>
      <c r="CH106" s="139"/>
      <c r="CI106" s="139"/>
      <c r="CJ106" s="139"/>
      <c r="CK106" s="139"/>
      <c r="CL106" s="139"/>
    </row>
    <row r="107" spans="1:90" s="78" customFormat="1" ht="15" customHeight="1">
      <c r="A107" s="164"/>
      <c r="B107" s="164"/>
      <c r="C107" s="184">
        <f>SUM(C105)</f>
        <v>0</v>
      </c>
      <c r="D107" s="184"/>
      <c r="E107" s="184"/>
      <c r="F107" s="184"/>
      <c r="G107" s="184"/>
      <c r="H107" s="133"/>
      <c r="I107" s="184"/>
      <c r="L107" s="149"/>
      <c r="M107" s="149">
        <f>SUM(M106)</f>
        <v>0</v>
      </c>
      <c r="N107" s="149">
        <f>SUM(N106)</f>
        <v>0</v>
      </c>
      <c r="O107" s="149">
        <f>SUM(O106)</f>
        <v>0</v>
      </c>
      <c r="P107" s="149">
        <f>SUM(P106)</f>
        <v>0</v>
      </c>
      <c r="Q107" s="149">
        <f>SUM(Q106)</f>
        <v>0</v>
      </c>
      <c r="R107" s="145"/>
      <c r="S107" s="145"/>
      <c r="T107" s="141"/>
      <c r="U107" s="141"/>
      <c r="V107" s="141"/>
      <c r="W107" s="141"/>
      <c r="X107" s="141">
        <f t="shared" si="36"/>
        <v>0</v>
      </c>
      <c r="Y107" s="145"/>
      <c r="Z107" s="141"/>
      <c r="AA107" s="141"/>
      <c r="AB107" s="141"/>
      <c r="AC107" s="141"/>
      <c r="AD107" s="141">
        <f t="shared" si="37"/>
        <v>0</v>
      </c>
      <c r="AE107" s="141"/>
      <c r="AF107" s="141"/>
      <c r="AG107" s="141"/>
      <c r="AH107" s="141"/>
      <c r="AI107" s="146"/>
      <c r="AJ107" s="141"/>
      <c r="AK107" s="141"/>
      <c r="AL107" s="141"/>
      <c r="AM107" s="141"/>
      <c r="AN107" s="149">
        <f>+AN105+AN89+AN83+AN56+AN39</f>
        <v>40770949.33</v>
      </c>
      <c r="AO107" s="145"/>
      <c r="AP107" s="141"/>
      <c r="AQ107" s="141"/>
      <c r="AR107" s="141"/>
      <c r="AS107" s="141"/>
      <c r="AT107" s="149">
        <f>+AT105+AT89+AT83+AT56+AT39</f>
        <v>49329419.1</v>
      </c>
      <c r="AU107" s="145"/>
      <c r="AV107" s="141"/>
      <c r="AW107" s="141"/>
      <c r="AX107" s="141"/>
      <c r="AY107" s="141"/>
      <c r="AZ107" s="149">
        <f>+AZ105+AZ89+AZ83+AZ56+AZ39</f>
        <v>24572380.419999998</v>
      </c>
      <c r="BA107" s="145"/>
      <c r="BB107" s="141"/>
      <c r="BC107" s="141"/>
      <c r="BD107" s="141"/>
      <c r="BE107" s="141"/>
      <c r="BF107" s="149">
        <f>+BF105+BF89+BF83+BF56+BF39</f>
        <v>25222535.82</v>
      </c>
      <c r="BG107" s="145"/>
      <c r="BH107" s="141"/>
      <c r="BI107" s="141"/>
      <c r="BJ107" s="141"/>
      <c r="BK107" s="141"/>
      <c r="BL107" s="149">
        <f>+BL105+BL89+BL83+BL56+BL39</f>
        <v>35051989.75</v>
      </c>
      <c r="BM107" s="145"/>
      <c r="BN107" s="141"/>
      <c r="BO107" s="141"/>
      <c r="BP107" s="141"/>
      <c r="BQ107" s="141"/>
      <c r="BR107" s="149">
        <f>+BR105+BR89+BR83+BR56+BR39</f>
        <v>22542052.009999998</v>
      </c>
      <c r="BS107" s="145"/>
      <c r="BT107" s="141"/>
      <c r="BU107" s="141"/>
      <c r="BV107" s="141"/>
      <c r="BW107" s="141"/>
      <c r="BX107" s="149">
        <f>+BX105+BX89+BX83+BX56+BX39</f>
        <v>18930198.66</v>
      </c>
      <c r="BY107" s="139"/>
      <c r="BZ107" s="139"/>
      <c r="CA107" s="139"/>
      <c r="CB107" s="139"/>
      <c r="CC107" s="139"/>
      <c r="CD107" s="139"/>
      <c r="CE107" s="139"/>
      <c r="CF107" s="139"/>
      <c r="CG107" s="139"/>
      <c r="CH107" s="139"/>
      <c r="CI107" s="139"/>
      <c r="CJ107" s="139"/>
      <c r="CK107" s="139"/>
      <c r="CL107" s="139"/>
    </row>
    <row r="108" spans="1:90" s="78" customFormat="1" ht="15" customHeight="1">
      <c r="A108" s="168"/>
      <c r="B108" s="169" t="s">
        <v>161</v>
      </c>
      <c r="C108" s="91">
        <f>+C104+C94+C86+C52+C36</f>
        <v>227731479.39999998</v>
      </c>
      <c r="D108" s="91">
        <f>+D104+D94+D86+D52+D36</f>
        <v>249728242.99</v>
      </c>
      <c r="E108" s="91">
        <f>+E104+E94+E86+E52+E36</f>
        <v>82367203.63</v>
      </c>
      <c r="F108" s="91"/>
      <c r="G108" s="91">
        <f>+G104+G94+G86+G52+G36</f>
        <v>216945874.92</v>
      </c>
      <c r="H108" s="92">
        <f>G108/C108</f>
        <v>0.9526389390328618</v>
      </c>
      <c r="I108" s="91">
        <f>+I104+I94+I86+I52+I36</f>
        <v>32782368.069999978</v>
      </c>
      <c r="J108" s="218"/>
      <c r="K108" s="210"/>
      <c r="L108" s="149"/>
      <c r="M108" s="149">
        <f>M107+M105+M95+M89+M83+M56+M39</f>
        <v>24564480.419999998</v>
      </c>
      <c r="N108" s="149">
        <f>N107+N105+N95+N89+N83+N56+N39</f>
        <v>25222535.82</v>
      </c>
      <c r="O108" s="149">
        <f>O107+O105+O95+O89+O83+O56+O39</f>
        <v>35051989.75</v>
      </c>
      <c r="P108" s="149">
        <f>P107+P105+P95+P89+P83+P56+P39</f>
        <v>22542052.009999998</v>
      </c>
      <c r="Q108" s="149">
        <f>Q107+Q105+Q95+Q89+Q83+Q56+Q39</f>
        <v>18930198.66</v>
      </c>
      <c r="R108" s="145"/>
      <c r="S108" s="145"/>
      <c r="T108" s="141"/>
      <c r="U108" s="141"/>
      <c r="V108" s="141"/>
      <c r="W108" s="141"/>
      <c r="X108" s="141">
        <f t="shared" si="36"/>
        <v>0</v>
      </c>
      <c r="Y108" s="145"/>
      <c r="Z108" s="141"/>
      <c r="AA108" s="141"/>
      <c r="AB108" s="141"/>
      <c r="AC108" s="141"/>
      <c r="AD108" s="141">
        <f t="shared" si="37"/>
        <v>0</v>
      </c>
      <c r="AE108" s="141"/>
      <c r="AF108" s="141"/>
      <c r="AG108" s="141"/>
      <c r="AH108" s="141"/>
      <c r="AI108" s="146"/>
      <c r="AJ108" s="141"/>
      <c r="AK108" s="141"/>
      <c r="AL108" s="141"/>
      <c r="AM108" s="141"/>
      <c r="AN108" s="146"/>
      <c r="AO108" s="145"/>
      <c r="AP108" s="141"/>
      <c r="AQ108" s="141"/>
      <c r="AR108" s="141"/>
      <c r="AS108" s="141"/>
      <c r="AT108" s="146"/>
      <c r="AU108" s="145"/>
      <c r="AV108" s="141"/>
      <c r="AW108" s="141"/>
      <c r="AX108" s="141"/>
      <c r="AY108" s="141"/>
      <c r="AZ108" s="146"/>
      <c r="BA108" s="145"/>
      <c r="BB108" s="141"/>
      <c r="BC108" s="141"/>
      <c r="BD108" s="141"/>
      <c r="BE108" s="141"/>
      <c r="BF108" s="146"/>
      <c r="BG108" s="145"/>
      <c r="BH108" s="141"/>
      <c r="BI108" s="141"/>
      <c r="BJ108" s="141"/>
      <c r="BK108" s="141"/>
      <c r="BL108" s="146"/>
      <c r="BM108" s="145"/>
      <c r="BN108" s="141"/>
      <c r="BO108" s="141"/>
      <c r="BP108" s="141"/>
      <c r="BQ108" s="141"/>
      <c r="BR108" s="146"/>
      <c r="BS108" s="145"/>
      <c r="BT108" s="141"/>
      <c r="BU108" s="141"/>
      <c r="BV108" s="141"/>
      <c r="BW108" s="141"/>
      <c r="BX108" s="146"/>
      <c r="BY108" s="139"/>
      <c r="BZ108" s="139"/>
      <c r="CA108" s="139"/>
      <c r="CB108" s="139"/>
      <c r="CC108" s="139"/>
      <c r="CD108" s="139"/>
      <c r="CE108" s="139"/>
      <c r="CF108" s="139"/>
      <c r="CG108" s="139"/>
      <c r="CH108" s="139"/>
      <c r="CI108" s="139"/>
      <c r="CJ108" s="139"/>
      <c r="CK108" s="139"/>
      <c r="CL108" s="139"/>
    </row>
    <row r="109" spans="1:90" s="78" customFormat="1" ht="2.25" customHeight="1" thickBot="1">
      <c r="A109" s="98"/>
      <c r="B109" s="99"/>
      <c r="C109" s="100"/>
      <c r="D109" s="100"/>
      <c r="E109" s="101"/>
      <c r="F109" s="101"/>
      <c r="G109" s="101"/>
      <c r="H109" s="101"/>
      <c r="I109" s="153"/>
      <c r="J109" s="219"/>
      <c r="K109" s="212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1">
        <f t="shared" si="36"/>
        <v>0</v>
      </c>
      <c r="Y109" s="145"/>
      <c r="Z109" s="145"/>
      <c r="AA109" s="145"/>
      <c r="AB109" s="145"/>
      <c r="AC109" s="145"/>
      <c r="AD109" s="141">
        <f t="shared" si="37"/>
        <v>0</v>
      </c>
      <c r="AE109" s="145"/>
      <c r="AF109" s="145"/>
      <c r="AG109" s="145"/>
      <c r="AH109" s="145"/>
      <c r="AI109" s="146"/>
      <c r="AJ109" s="145"/>
      <c r="AK109" s="145"/>
      <c r="AL109" s="145"/>
      <c r="AM109" s="145"/>
      <c r="AN109" s="146"/>
      <c r="AO109" s="145"/>
      <c r="AP109" s="145"/>
      <c r="AQ109" s="145"/>
      <c r="AR109" s="145"/>
      <c r="AS109" s="145"/>
      <c r="AT109" s="146"/>
      <c r="AU109" s="145"/>
      <c r="AV109" s="145"/>
      <c r="AW109" s="145"/>
      <c r="AX109" s="145"/>
      <c r="AY109" s="145"/>
      <c r="AZ109" s="146"/>
      <c r="BA109" s="145"/>
      <c r="BB109" s="145"/>
      <c r="BC109" s="145"/>
      <c r="BD109" s="145"/>
      <c r="BE109" s="145"/>
      <c r="BF109" s="146"/>
      <c r="BG109" s="145"/>
      <c r="BH109" s="145"/>
      <c r="BI109" s="145"/>
      <c r="BJ109" s="145"/>
      <c r="BK109" s="145"/>
      <c r="BL109" s="146"/>
      <c r="BM109" s="145"/>
      <c r="BN109" s="145"/>
      <c r="BO109" s="145"/>
      <c r="BP109" s="145"/>
      <c r="BQ109" s="145"/>
      <c r="BR109" s="146"/>
      <c r="BS109" s="145"/>
      <c r="BT109" s="145"/>
      <c r="BU109" s="145"/>
      <c r="BV109" s="145"/>
      <c r="BW109" s="145"/>
      <c r="BX109" s="146"/>
      <c r="BY109" s="139"/>
      <c r="BZ109" s="139"/>
      <c r="CA109" s="139"/>
      <c r="CB109" s="139"/>
      <c r="CC109" s="139"/>
      <c r="CD109" s="139"/>
      <c r="CE109" s="139"/>
      <c r="CF109" s="139"/>
      <c r="CG109" s="139"/>
      <c r="CH109" s="139"/>
      <c r="CI109" s="139"/>
      <c r="CJ109" s="139"/>
      <c r="CK109" s="139"/>
      <c r="CL109" s="139"/>
    </row>
    <row r="110" spans="1:90" s="78" customFormat="1" ht="15" customHeight="1" thickTop="1">
      <c r="A110" s="102"/>
      <c r="B110" s="103"/>
      <c r="C110" s="104"/>
      <c r="D110" s="104"/>
      <c r="E110" s="105"/>
      <c r="F110" s="105"/>
      <c r="G110" s="105"/>
      <c r="H110" s="105"/>
      <c r="I110" s="105"/>
      <c r="J110" s="213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6"/>
      <c r="AJ110" s="145"/>
      <c r="AK110" s="145"/>
      <c r="AL110" s="145"/>
      <c r="AM110" s="145"/>
      <c r="AN110" s="146"/>
      <c r="AO110" s="145"/>
      <c r="AP110" s="145"/>
      <c r="AQ110" s="145"/>
      <c r="AR110" s="145"/>
      <c r="AS110" s="145"/>
      <c r="AT110" s="146"/>
      <c r="AU110" s="145"/>
      <c r="AV110" s="145"/>
      <c r="AW110" s="145"/>
      <c r="AX110" s="145"/>
      <c r="AY110" s="145"/>
      <c r="AZ110" s="146"/>
      <c r="BA110" s="145"/>
      <c r="BB110" s="145"/>
      <c r="BC110" s="145"/>
      <c r="BD110" s="145"/>
      <c r="BE110" s="145"/>
      <c r="BF110" s="149">
        <v>25226225.82</v>
      </c>
      <c r="BG110" s="145"/>
      <c r="BH110" s="145"/>
      <c r="BI110" s="145"/>
      <c r="BJ110" s="145"/>
      <c r="BK110" s="145"/>
      <c r="BL110" s="149">
        <f>35091056.33-39066.58</f>
        <v>35051989.75</v>
      </c>
      <c r="BM110" s="145"/>
      <c r="BN110" s="145"/>
      <c r="BO110" s="145"/>
      <c r="BP110" s="145"/>
      <c r="BQ110" s="145"/>
      <c r="BR110" s="149">
        <f>35091056.33-39066.58</f>
        <v>35051989.75</v>
      </c>
      <c r="BS110" s="145"/>
      <c r="BT110" s="145"/>
      <c r="BU110" s="145"/>
      <c r="BV110" s="145"/>
      <c r="BW110" s="145"/>
      <c r="BX110" s="149"/>
      <c r="BY110" s="139"/>
      <c r="BZ110" s="139"/>
      <c r="CA110" s="139"/>
      <c r="CB110" s="139"/>
      <c r="CC110" s="139"/>
      <c r="CD110" s="139"/>
      <c r="CE110" s="139"/>
      <c r="CF110" s="139"/>
      <c r="CG110" s="139"/>
      <c r="CH110" s="139"/>
      <c r="CI110" s="139"/>
      <c r="CJ110" s="139"/>
      <c r="CK110" s="139"/>
      <c r="CL110" s="139"/>
    </row>
    <row r="111" spans="3:76" ht="12.75">
      <c r="C111" s="74"/>
      <c r="D111" s="74"/>
      <c r="E111" s="106"/>
      <c r="F111" s="106"/>
      <c r="G111" s="106"/>
      <c r="H111" s="107"/>
      <c r="I111" s="201"/>
      <c r="J111" s="220"/>
      <c r="K111" s="151"/>
      <c r="L111" s="151"/>
      <c r="M111" s="151"/>
      <c r="BF111" s="150">
        <f>+BF110-BF107</f>
        <v>3690</v>
      </c>
      <c r="BL111" s="150"/>
      <c r="BR111" s="150"/>
      <c r="BX111" s="150">
        <f>19137876.04-32790.03</f>
        <v>19105086.009999998</v>
      </c>
    </row>
    <row r="112" spans="3:76" ht="12.75">
      <c r="C112" s="74"/>
      <c r="K112" s="151"/>
      <c r="L112" s="151"/>
      <c r="M112" s="151"/>
      <c r="N112" s="151"/>
      <c r="V112" s="143" t="s">
        <v>90</v>
      </c>
      <c r="BF112" s="144">
        <v>1050</v>
      </c>
      <c r="BX112" s="150">
        <f>+BX107-BX111</f>
        <v>-174887.34999999776</v>
      </c>
    </row>
    <row r="113" spans="4:76" ht="12.75">
      <c r="D113" s="74"/>
      <c r="E113" s="106"/>
      <c r="F113" s="106"/>
      <c r="G113" s="106"/>
      <c r="H113" s="106"/>
      <c r="I113" s="106"/>
      <c r="K113" s="151"/>
      <c r="L113" s="151"/>
      <c r="M113" s="151"/>
      <c r="AK113" s="151">
        <f>19032536.72+11220</f>
        <v>19043756.72</v>
      </c>
      <c r="BF113" s="150">
        <f>+BF111-BF112</f>
        <v>2640</v>
      </c>
      <c r="BL113" s="150"/>
      <c r="BR113" s="150"/>
      <c r="BX113" s="150"/>
    </row>
    <row r="114" spans="5:14" ht="12.75">
      <c r="E114" s="106"/>
      <c r="F114" s="106"/>
      <c r="G114" s="106"/>
      <c r="H114" s="106"/>
      <c r="I114" s="106"/>
      <c r="J114" s="220"/>
      <c r="K114" s="151"/>
      <c r="L114" s="151"/>
      <c r="M114" s="151"/>
      <c r="N114" s="151"/>
    </row>
    <row r="115" spans="4:9" ht="12.75">
      <c r="D115" s="74"/>
      <c r="E115" s="135"/>
      <c r="F115" s="106"/>
      <c r="G115" s="106"/>
      <c r="H115" s="106"/>
      <c r="I115" s="106"/>
    </row>
    <row r="116" spans="5:9" ht="12.75">
      <c r="E116" s="106"/>
      <c r="F116" s="106"/>
      <c r="G116" s="106"/>
      <c r="H116" s="106"/>
      <c r="I116" s="106"/>
    </row>
    <row r="117" spans="5:9" ht="12.75">
      <c r="E117" s="106"/>
      <c r="F117" s="106"/>
      <c r="G117" s="135"/>
      <c r="H117" s="106"/>
      <c r="I117" s="106"/>
    </row>
    <row r="118" spans="5:9" ht="12.75">
      <c r="E118" s="106"/>
      <c r="F118" s="106"/>
      <c r="G118" s="106"/>
      <c r="H118" s="106"/>
      <c r="I118" s="106"/>
    </row>
    <row r="119" spans="5:9" ht="12.75">
      <c r="E119" s="106"/>
      <c r="F119" s="106"/>
      <c r="G119" s="106"/>
      <c r="H119" s="106"/>
      <c r="I119" s="106"/>
    </row>
    <row r="120" spans="5:9" ht="12.75">
      <c r="E120" s="106"/>
      <c r="F120" s="106"/>
      <c r="G120" s="106"/>
      <c r="H120" s="106"/>
      <c r="I120" s="106"/>
    </row>
    <row r="121" spans="5:9" ht="12.75">
      <c r="E121" s="106"/>
      <c r="F121" s="106"/>
      <c r="G121" s="106"/>
      <c r="H121" s="106"/>
      <c r="I121" s="106"/>
    </row>
    <row r="122" spans="5:9" ht="12.75">
      <c r="E122" s="106"/>
      <c r="F122" s="106"/>
      <c r="G122" s="106"/>
      <c r="H122" s="106"/>
      <c r="I122" s="106"/>
    </row>
    <row r="123" spans="5:9" ht="12.75">
      <c r="E123" s="106"/>
      <c r="F123" s="106"/>
      <c r="G123" s="106"/>
      <c r="H123" s="106"/>
      <c r="I123" s="106"/>
    </row>
    <row r="124" spans="5:9" ht="12.75">
      <c r="E124" s="106"/>
      <c r="F124" s="106"/>
      <c r="G124" s="106"/>
      <c r="H124" s="106"/>
      <c r="I124" s="106"/>
    </row>
    <row r="125" spans="5:9" ht="12.75">
      <c r="E125" s="106"/>
      <c r="F125" s="106"/>
      <c r="G125" s="106"/>
      <c r="H125" s="106"/>
      <c r="I125" s="106"/>
    </row>
    <row r="126" spans="5:9" ht="12.75">
      <c r="E126" s="106"/>
      <c r="F126" s="106"/>
      <c r="G126" s="106"/>
      <c r="H126" s="106"/>
      <c r="I126" s="106"/>
    </row>
    <row r="127" spans="5:9" ht="12.75">
      <c r="E127" s="106"/>
      <c r="F127" s="106"/>
      <c r="G127" s="106"/>
      <c r="H127" s="106"/>
      <c r="I127" s="106"/>
    </row>
    <row r="128" spans="5:9" ht="12.75">
      <c r="E128" s="106"/>
      <c r="F128" s="106"/>
      <c r="G128" s="106"/>
      <c r="H128" s="106"/>
      <c r="I128" s="106"/>
    </row>
    <row r="129" spans="5:9" ht="12.75">
      <c r="E129" s="106"/>
      <c r="F129" s="106"/>
      <c r="G129" s="106"/>
      <c r="H129" s="106"/>
      <c r="I129" s="106"/>
    </row>
    <row r="130" spans="5:9" ht="12.75">
      <c r="E130" s="106"/>
      <c r="F130" s="106"/>
      <c r="G130" s="106"/>
      <c r="H130" s="106"/>
      <c r="I130" s="106"/>
    </row>
    <row r="131" spans="5:9" ht="12.75">
      <c r="E131" s="106"/>
      <c r="F131" s="106"/>
      <c r="G131" s="106"/>
      <c r="H131" s="106"/>
      <c r="I131" s="106"/>
    </row>
    <row r="132" spans="5:9" ht="12.75">
      <c r="E132" s="106"/>
      <c r="F132" s="106"/>
      <c r="G132" s="106"/>
      <c r="H132" s="106"/>
      <c r="I132" s="106"/>
    </row>
    <row r="133" spans="5:9" ht="12.75">
      <c r="E133" s="106"/>
      <c r="F133" s="106"/>
      <c r="G133" s="106"/>
      <c r="H133" s="106"/>
      <c r="I133" s="106"/>
    </row>
    <row r="134" spans="5:9" ht="12.75">
      <c r="E134" s="106"/>
      <c r="F134" s="106"/>
      <c r="G134" s="106"/>
      <c r="H134" s="106"/>
      <c r="I134" s="106"/>
    </row>
    <row r="135" spans="5:9" ht="12.75">
      <c r="E135" s="106"/>
      <c r="F135" s="106"/>
      <c r="G135" s="106"/>
      <c r="H135" s="106"/>
      <c r="I135" s="106"/>
    </row>
    <row r="136" spans="5:9" ht="12.75">
      <c r="E136" s="106"/>
      <c r="F136" s="106"/>
      <c r="G136" s="106"/>
      <c r="H136" s="106"/>
      <c r="I136" s="106"/>
    </row>
    <row r="137" spans="5:9" ht="12.75">
      <c r="E137" s="106"/>
      <c r="F137" s="106"/>
      <c r="G137" s="106"/>
      <c r="H137" s="106"/>
      <c r="I137" s="106"/>
    </row>
    <row r="138" spans="5:9" ht="12.75">
      <c r="E138" s="106"/>
      <c r="F138" s="106"/>
      <c r="G138" s="106"/>
      <c r="H138" s="106"/>
      <c r="I138" s="106"/>
    </row>
    <row r="139" spans="5:9" ht="12.75">
      <c r="E139" s="106"/>
      <c r="F139" s="106"/>
      <c r="G139" s="106"/>
      <c r="H139" s="106"/>
      <c r="I139" s="106"/>
    </row>
    <row r="140" spans="5:9" ht="12.75">
      <c r="E140" s="106"/>
      <c r="F140" s="106"/>
      <c r="G140" s="106"/>
      <c r="H140" s="106"/>
      <c r="I140" s="106"/>
    </row>
    <row r="141" spans="5:9" ht="12.75">
      <c r="E141" s="106"/>
      <c r="F141" s="106"/>
      <c r="G141" s="106"/>
      <c r="H141" s="106"/>
      <c r="I141" s="106"/>
    </row>
    <row r="142" spans="5:9" ht="12.75">
      <c r="E142" s="106"/>
      <c r="F142" s="106"/>
      <c r="G142" s="106"/>
      <c r="H142" s="106"/>
      <c r="I142" s="106"/>
    </row>
    <row r="143" spans="5:9" ht="12.75">
      <c r="E143" s="106"/>
      <c r="F143" s="106"/>
      <c r="G143" s="106"/>
      <c r="H143" s="106"/>
      <c r="I143" s="106"/>
    </row>
    <row r="144" spans="5:9" ht="12.75">
      <c r="E144" s="106"/>
      <c r="F144" s="106"/>
      <c r="G144" s="106"/>
      <c r="H144" s="106"/>
      <c r="I144" s="106"/>
    </row>
    <row r="145" spans="5:9" ht="12.75">
      <c r="E145" s="106"/>
      <c r="F145" s="106"/>
      <c r="G145" s="106"/>
      <c r="H145" s="106"/>
      <c r="I145" s="106"/>
    </row>
    <row r="146" spans="5:9" ht="12.75">
      <c r="E146" s="106"/>
      <c r="F146" s="106"/>
      <c r="G146" s="106"/>
      <c r="H146" s="106"/>
      <c r="I146" s="106"/>
    </row>
    <row r="147" spans="5:9" ht="12.75">
      <c r="E147" s="106"/>
      <c r="F147" s="106"/>
      <c r="G147" s="106"/>
      <c r="H147" s="106"/>
      <c r="I147" s="106"/>
    </row>
    <row r="148" spans="5:9" ht="12.75">
      <c r="E148" s="106"/>
      <c r="F148" s="106"/>
      <c r="G148" s="106"/>
      <c r="H148" s="106"/>
      <c r="I148" s="106"/>
    </row>
    <row r="149" spans="5:9" ht="12.75">
      <c r="E149" s="106"/>
      <c r="F149" s="106"/>
      <c r="G149" s="106"/>
      <c r="H149" s="106"/>
      <c r="I149" s="106"/>
    </row>
    <row r="150" spans="5:9" ht="12.75">
      <c r="E150" s="106"/>
      <c r="F150" s="106"/>
      <c r="G150" s="106"/>
      <c r="H150" s="106"/>
      <c r="I150" s="106"/>
    </row>
    <row r="151" spans="5:9" ht="12.75">
      <c r="E151" s="106"/>
      <c r="F151" s="106"/>
      <c r="G151" s="106"/>
      <c r="H151" s="106"/>
      <c r="I151" s="106"/>
    </row>
    <row r="152" spans="5:9" ht="12.75">
      <c r="E152" s="106"/>
      <c r="F152" s="106"/>
      <c r="G152" s="106"/>
      <c r="H152" s="106"/>
      <c r="I152" s="106"/>
    </row>
    <row r="153" spans="5:9" ht="12.75">
      <c r="E153" s="106"/>
      <c r="F153" s="106"/>
      <c r="G153" s="106"/>
      <c r="H153" s="106"/>
      <c r="I153" s="106"/>
    </row>
    <row r="154" spans="5:9" ht="12.75">
      <c r="E154" s="106"/>
      <c r="F154" s="106"/>
      <c r="G154" s="106"/>
      <c r="H154" s="106"/>
      <c r="I154" s="106"/>
    </row>
    <row r="155" spans="5:9" ht="12.75">
      <c r="E155" s="106"/>
      <c r="F155" s="106"/>
      <c r="G155" s="106"/>
      <c r="H155" s="106"/>
      <c r="I155" s="106"/>
    </row>
    <row r="156" spans="5:9" ht="12.75">
      <c r="E156" s="106"/>
      <c r="F156" s="106"/>
      <c r="G156" s="106"/>
      <c r="H156" s="106"/>
      <c r="I156" s="106"/>
    </row>
    <row r="157" spans="5:9" ht="12.75">
      <c r="E157" s="106"/>
      <c r="F157" s="106"/>
      <c r="G157" s="106"/>
      <c r="H157" s="106"/>
      <c r="I157" s="106"/>
    </row>
    <row r="158" spans="5:9" ht="12.75">
      <c r="E158" s="106"/>
      <c r="F158" s="106"/>
      <c r="G158" s="106"/>
      <c r="H158" s="106"/>
      <c r="I158" s="106"/>
    </row>
    <row r="159" spans="5:9" ht="12.75">
      <c r="E159" s="106"/>
      <c r="F159" s="106"/>
      <c r="G159" s="106"/>
      <c r="H159" s="106"/>
      <c r="I159" s="106"/>
    </row>
    <row r="160" spans="5:9" ht="12.75">
      <c r="E160" s="106"/>
      <c r="F160" s="106"/>
      <c r="G160" s="106"/>
      <c r="H160" s="106"/>
      <c r="I160" s="106"/>
    </row>
  </sheetData>
  <sheetProtection/>
  <mergeCells count="17">
    <mergeCell ref="BN9:BQ9"/>
    <mergeCell ref="BT9:BW9"/>
    <mergeCell ref="G5:I5"/>
    <mergeCell ref="G9:H9"/>
    <mergeCell ref="I9:I10"/>
    <mergeCell ref="AV9:AY9"/>
    <mergeCell ref="AP9:AS9"/>
    <mergeCell ref="AJ9:AM9"/>
    <mergeCell ref="AE9:AH9"/>
    <mergeCell ref="BH9:BK9"/>
    <mergeCell ref="BB9:BE9"/>
    <mergeCell ref="A9:A10"/>
    <mergeCell ref="C9:C10"/>
    <mergeCell ref="D9:D10"/>
    <mergeCell ref="E9:E10"/>
    <mergeCell ref="Z9:AC9"/>
    <mergeCell ref="T9:W9"/>
  </mergeCells>
  <printOptions/>
  <pageMargins left="0.19" right="0.14" top="0.24" bottom="0.13" header="0" footer="0"/>
  <pageSetup horizontalDpi="300" verticalDpi="300" orientation="portrait" scale="54" r:id="rId2"/>
  <colBreaks count="1" manualBreakCount="1">
    <brk id="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8.00390625" style="0" customWidth="1"/>
    <col min="2" max="2" width="13.00390625" style="0" bestFit="1" customWidth="1"/>
    <col min="3" max="3" width="8.7109375" style="0" customWidth="1"/>
    <col min="4" max="4" width="6.00390625" style="0" customWidth="1"/>
    <col min="5" max="5" width="8.57421875" style="0" customWidth="1"/>
    <col min="6" max="6" width="9.57421875" style="0" customWidth="1"/>
    <col min="7" max="7" width="10.7109375" style="0" customWidth="1"/>
    <col min="8" max="8" width="11.8515625" style="0" customWidth="1"/>
    <col min="9" max="9" width="12.28125" style="0" customWidth="1"/>
  </cols>
  <sheetData>
    <row r="1" spans="1:9" ht="12.75">
      <c r="A1" s="62"/>
      <c r="B1" s="62"/>
      <c r="C1" s="62"/>
      <c r="D1" s="62"/>
      <c r="E1" s="62"/>
      <c r="F1" s="62"/>
      <c r="G1" s="62"/>
      <c r="H1" s="287" t="s">
        <v>67</v>
      </c>
      <c r="I1" s="287"/>
    </row>
    <row r="2" spans="1:9" ht="15">
      <c r="A2" s="288" t="s">
        <v>1</v>
      </c>
      <c r="B2" s="288"/>
      <c r="C2" s="288"/>
      <c r="D2" s="288"/>
      <c r="E2" s="288"/>
      <c r="F2" s="288"/>
      <c r="G2" s="288"/>
      <c r="H2" s="288"/>
      <c r="I2" s="288"/>
    </row>
    <row r="3" spans="1:9" ht="15">
      <c r="A3" s="288" t="s">
        <v>68</v>
      </c>
      <c r="B3" s="288"/>
      <c r="C3" s="288"/>
      <c r="D3" s="288"/>
      <c r="E3" s="288"/>
      <c r="F3" s="288"/>
      <c r="G3" s="288"/>
      <c r="H3" s="288"/>
      <c r="I3" s="288"/>
    </row>
    <row r="4" spans="1:9" ht="15">
      <c r="A4" s="288"/>
      <c r="B4" s="288"/>
      <c r="C4" s="288"/>
      <c r="D4" s="288"/>
      <c r="E4" s="288"/>
      <c r="F4" s="288"/>
      <c r="G4" s="288"/>
      <c r="H4" s="288"/>
      <c r="I4" s="288"/>
    </row>
    <row r="5" spans="1:9" ht="15.75" thickBot="1">
      <c r="A5" s="278" t="s">
        <v>165</v>
      </c>
      <c r="B5" s="279"/>
      <c r="C5" s="280"/>
      <c r="D5" s="108"/>
      <c r="E5" s="108"/>
      <c r="F5" s="108"/>
      <c r="G5" s="109"/>
      <c r="H5" s="110"/>
      <c r="I5" s="110"/>
    </row>
    <row r="6" spans="1:9" s="78" customFormat="1" ht="18" customHeight="1" thickTop="1">
      <c r="A6" s="111" t="s">
        <v>69</v>
      </c>
      <c r="B6" s="112"/>
      <c r="C6" s="112"/>
      <c r="D6" s="113"/>
      <c r="E6" s="113"/>
      <c r="F6" s="112"/>
      <c r="G6" s="112"/>
      <c r="H6" s="112"/>
      <c r="I6" s="114"/>
    </row>
    <row r="7" spans="1:9" ht="12.75">
      <c r="A7" s="289" t="s">
        <v>70</v>
      </c>
      <c r="B7" s="296" t="s">
        <v>43</v>
      </c>
      <c r="C7" s="284" t="s">
        <v>71</v>
      </c>
      <c r="D7" s="284" t="s">
        <v>72</v>
      </c>
      <c r="E7" s="284" t="s">
        <v>73</v>
      </c>
      <c r="F7" s="284" t="s">
        <v>74</v>
      </c>
      <c r="G7" s="284" t="s">
        <v>75</v>
      </c>
      <c r="H7" s="284" t="s">
        <v>76</v>
      </c>
      <c r="I7" s="300" t="s">
        <v>77</v>
      </c>
    </row>
    <row r="8" spans="1:9" ht="12.75">
      <c r="A8" s="290"/>
      <c r="B8" s="297"/>
      <c r="C8" s="298"/>
      <c r="D8" s="285"/>
      <c r="E8" s="285"/>
      <c r="F8" s="285"/>
      <c r="G8" s="285"/>
      <c r="H8" s="285"/>
      <c r="I8" s="301"/>
    </row>
    <row r="9" spans="1:9" ht="13.5" thickBot="1">
      <c r="A9" s="291"/>
      <c r="B9" s="297"/>
      <c r="C9" s="299"/>
      <c r="D9" s="286"/>
      <c r="E9" s="286"/>
      <c r="F9" s="286"/>
      <c r="G9" s="286"/>
      <c r="H9" s="286"/>
      <c r="I9" s="302"/>
    </row>
    <row r="10" spans="1:9" ht="13.5" thickTop="1">
      <c r="A10" s="115"/>
      <c r="B10" s="116"/>
      <c r="C10" s="116"/>
      <c r="D10" s="116"/>
      <c r="E10" s="116"/>
      <c r="F10" s="116"/>
      <c r="G10" s="116"/>
      <c r="H10" s="116"/>
      <c r="I10" s="117"/>
    </row>
    <row r="11" spans="1:9" ht="12.75">
      <c r="A11" s="118"/>
      <c r="B11" s="119"/>
      <c r="C11" s="119"/>
      <c r="D11" s="119"/>
      <c r="E11" s="119"/>
      <c r="F11" s="119"/>
      <c r="G11" s="119"/>
      <c r="H11" s="119"/>
      <c r="I11" s="120"/>
    </row>
    <row r="12" spans="1:9" ht="12.75">
      <c r="A12" s="118"/>
      <c r="B12" s="119"/>
      <c r="C12" s="119"/>
      <c r="D12" s="119"/>
      <c r="E12" s="119"/>
      <c r="F12" s="119"/>
      <c r="G12" s="119"/>
      <c r="H12" s="119"/>
      <c r="I12" s="120"/>
    </row>
    <row r="13" spans="1:9" ht="12.75">
      <c r="A13" s="118"/>
      <c r="B13" s="119"/>
      <c r="C13" s="119"/>
      <c r="D13" s="119"/>
      <c r="E13" s="119"/>
      <c r="F13" s="119"/>
      <c r="G13" s="119"/>
      <c r="H13" s="119"/>
      <c r="I13" s="120"/>
    </row>
    <row r="14" spans="1:9" ht="12.75">
      <c r="A14" s="118"/>
      <c r="B14" s="119"/>
      <c r="C14" s="119"/>
      <c r="D14" s="119"/>
      <c r="E14" s="119"/>
      <c r="F14" s="119"/>
      <c r="G14" s="119"/>
      <c r="H14" s="119"/>
      <c r="I14" s="120"/>
    </row>
    <row r="15" spans="1:9" ht="12.75">
      <c r="A15" s="118"/>
      <c r="B15" s="119"/>
      <c r="C15" s="119"/>
      <c r="D15" s="119"/>
      <c r="E15" s="119"/>
      <c r="F15" s="119"/>
      <c r="G15" s="119"/>
      <c r="H15" s="119"/>
      <c r="I15" s="120"/>
    </row>
    <row r="16" spans="1:9" ht="12.75">
      <c r="A16" s="118"/>
      <c r="B16" s="119"/>
      <c r="C16" s="119"/>
      <c r="D16" s="119"/>
      <c r="E16" s="119"/>
      <c r="F16" s="119"/>
      <c r="G16" s="119"/>
      <c r="H16" s="119"/>
      <c r="I16" s="120"/>
    </row>
    <row r="17" spans="1:9" ht="12.75">
      <c r="A17" s="118"/>
      <c r="B17" s="119"/>
      <c r="C17" s="119"/>
      <c r="D17" s="119"/>
      <c r="E17" s="119"/>
      <c r="F17" s="119"/>
      <c r="G17" s="119"/>
      <c r="H17" s="119"/>
      <c r="I17" s="120"/>
    </row>
    <row r="18" spans="1:9" ht="12.75">
      <c r="A18" s="118"/>
      <c r="B18" s="119"/>
      <c r="C18" s="119"/>
      <c r="D18" s="119" t="s">
        <v>78</v>
      </c>
      <c r="E18" s="119"/>
      <c r="F18" s="119"/>
      <c r="G18" s="119"/>
      <c r="H18" s="119"/>
      <c r="I18" s="120"/>
    </row>
    <row r="19" spans="1:9" ht="12.75">
      <c r="A19" s="118"/>
      <c r="B19" s="119"/>
      <c r="C19" s="119"/>
      <c r="D19" s="119"/>
      <c r="E19" s="119"/>
      <c r="F19" s="119"/>
      <c r="G19" s="119"/>
      <c r="H19" s="119"/>
      <c r="I19" s="120"/>
    </row>
    <row r="20" spans="1:9" ht="12.75">
      <c r="A20" s="118"/>
      <c r="B20" s="119"/>
      <c r="C20" s="119"/>
      <c r="D20" s="119"/>
      <c r="E20" s="119"/>
      <c r="F20" s="119"/>
      <c r="G20" s="119"/>
      <c r="H20" s="119"/>
      <c r="I20" s="120"/>
    </row>
    <row r="21" spans="1:9" ht="12.75">
      <c r="A21" s="118"/>
      <c r="B21" s="119"/>
      <c r="C21" s="119"/>
      <c r="D21" s="119"/>
      <c r="E21" s="119"/>
      <c r="F21" s="119"/>
      <c r="G21" s="119"/>
      <c r="H21" s="119"/>
      <c r="I21" s="120"/>
    </row>
    <row r="22" spans="1:9" ht="12.75">
      <c r="A22" s="118"/>
      <c r="B22" s="119"/>
      <c r="C22" s="119"/>
      <c r="D22" s="119"/>
      <c r="E22" s="119"/>
      <c r="F22" s="119"/>
      <c r="G22" s="119"/>
      <c r="H22" s="119"/>
      <c r="I22" s="120"/>
    </row>
    <row r="23" spans="1:9" ht="12.75">
      <c r="A23" s="118"/>
      <c r="B23" s="119"/>
      <c r="C23" s="119"/>
      <c r="D23" s="119"/>
      <c r="E23" s="119"/>
      <c r="F23" s="119"/>
      <c r="G23" s="119"/>
      <c r="H23" s="119"/>
      <c r="I23" s="120"/>
    </row>
    <row r="24" spans="1:9" ht="12.75">
      <c r="A24" s="118"/>
      <c r="B24" s="119"/>
      <c r="C24" s="119"/>
      <c r="D24" s="119"/>
      <c r="E24" s="119"/>
      <c r="F24" s="119"/>
      <c r="G24" s="119"/>
      <c r="H24" s="119"/>
      <c r="I24" s="120"/>
    </row>
    <row r="25" spans="1:9" ht="12.75">
      <c r="A25" s="118"/>
      <c r="B25" s="119"/>
      <c r="C25" s="119"/>
      <c r="D25" s="119"/>
      <c r="E25" s="119"/>
      <c r="F25" s="119"/>
      <c r="G25" s="119"/>
      <c r="H25" s="119"/>
      <c r="I25" s="120"/>
    </row>
    <row r="26" spans="1:9" ht="12.75">
      <c r="A26" s="118"/>
      <c r="B26" s="119"/>
      <c r="C26" s="119"/>
      <c r="D26" s="119"/>
      <c r="E26" s="119"/>
      <c r="F26" s="119"/>
      <c r="G26" s="119"/>
      <c r="H26" s="119"/>
      <c r="I26" s="120"/>
    </row>
    <row r="27" spans="1:9" ht="12.75">
      <c r="A27" s="118"/>
      <c r="B27" s="119"/>
      <c r="C27" s="119"/>
      <c r="D27" s="119"/>
      <c r="E27" s="119"/>
      <c r="F27" s="119"/>
      <c r="G27" s="119"/>
      <c r="H27" s="119"/>
      <c r="I27" s="120"/>
    </row>
    <row r="28" spans="1:9" ht="12.75">
      <c r="A28" s="118"/>
      <c r="B28" s="119"/>
      <c r="C28" s="119"/>
      <c r="D28" s="119"/>
      <c r="E28" s="119"/>
      <c r="F28" s="119"/>
      <c r="G28" s="119"/>
      <c r="H28" s="119"/>
      <c r="I28" s="120"/>
    </row>
    <row r="29" spans="1:9" ht="12.75">
      <c r="A29" s="118"/>
      <c r="B29" s="119"/>
      <c r="C29" s="119"/>
      <c r="D29" s="119"/>
      <c r="E29" s="119"/>
      <c r="F29" s="119"/>
      <c r="G29" s="119"/>
      <c r="H29" s="119"/>
      <c r="I29" s="120"/>
    </row>
    <row r="30" spans="1:9" ht="12.75">
      <c r="A30" s="118"/>
      <c r="B30" s="119"/>
      <c r="C30" s="119"/>
      <c r="D30" s="119"/>
      <c r="E30" s="119"/>
      <c r="F30" s="119"/>
      <c r="G30" s="119"/>
      <c r="H30" s="119"/>
      <c r="I30" s="120"/>
    </row>
    <row r="31" spans="1:9" ht="12.75">
      <c r="A31" s="118"/>
      <c r="B31" s="119"/>
      <c r="C31" s="119"/>
      <c r="D31" s="119"/>
      <c r="E31" s="119"/>
      <c r="F31" s="119"/>
      <c r="G31" s="119"/>
      <c r="H31" s="119"/>
      <c r="I31" s="120"/>
    </row>
    <row r="32" spans="1:9" ht="12.75">
      <c r="A32" s="118"/>
      <c r="B32" s="119"/>
      <c r="C32" s="119"/>
      <c r="D32" s="119"/>
      <c r="E32" s="119"/>
      <c r="F32" s="119"/>
      <c r="G32" s="119"/>
      <c r="H32" s="119"/>
      <c r="I32" s="120"/>
    </row>
    <row r="33" spans="1:9" ht="12.75">
      <c r="A33" s="118"/>
      <c r="B33" s="119"/>
      <c r="C33" s="119"/>
      <c r="D33" s="119"/>
      <c r="E33" s="119"/>
      <c r="F33" s="119"/>
      <c r="G33" s="119"/>
      <c r="H33" s="119"/>
      <c r="I33" s="120"/>
    </row>
    <row r="34" spans="1:9" ht="12.75">
      <c r="A34" s="118"/>
      <c r="B34" s="119"/>
      <c r="C34" s="119"/>
      <c r="D34" s="119"/>
      <c r="E34" s="119"/>
      <c r="F34" s="119"/>
      <c r="G34" s="119"/>
      <c r="H34" s="119"/>
      <c r="I34" s="120"/>
    </row>
    <row r="35" spans="1:9" ht="12.75">
      <c r="A35" s="118"/>
      <c r="B35" s="119"/>
      <c r="C35" s="119"/>
      <c r="D35" s="119"/>
      <c r="E35" s="119"/>
      <c r="F35" s="119"/>
      <c r="G35" s="119"/>
      <c r="H35" s="119"/>
      <c r="I35" s="120"/>
    </row>
    <row r="36" spans="1:9" ht="12.75">
      <c r="A36" s="118"/>
      <c r="B36" s="119"/>
      <c r="C36" s="119"/>
      <c r="D36" s="119"/>
      <c r="E36" s="119"/>
      <c r="F36" s="119"/>
      <c r="G36" s="119"/>
      <c r="H36" s="119"/>
      <c r="I36" s="120"/>
    </row>
    <row r="37" spans="1:9" ht="12.75">
      <c r="A37" s="118"/>
      <c r="B37" s="119"/>
      <c r="C37" s="119"/>
      <c r="D37" s="119"/>
      <c r="E37" s="119"/>
      <c r="F37" s="119"/>
      <c r="G37" s="119"/>
      <c r="H37" s="119"/>
      <c r="I37" s="120"/>
    </row>
    <row r="38" spans="1:9" ht="12.75">
      <c r="A38" s="121" t="s">
        <v>79</v>
      </c>
      <c r="B38" s="122"/>
      <c r="C38" s="122"/>
      <c r="D38" s="122"/>
      <c r="E38" s="122"/>
      <c r="F38" s="122"/>
      <c r="G38" s="122"/>
      <c r="H38" s="122"/>
      <c r="I38" s="123"/>
    </row>
    <row r="39" spans="1:9" ht="12.75">
      <c r="A39" s="124"/>
      <c r="B39" s="125"/>
      <c r="C39" s="125"/>
      <c r="D39" s="125"/>
      <c r="E39" s="125"/>
      <c r="F39" s="125"/>
      <c r="G39" s="125"/>
      <c r="H39" s="125"/>
      <c r="I39" s="126"/>
    </row>
    <row r="40" spans="1:9" ht="12.75">
      <c r="A40" s="127"/>
      <c r="B40" s="62"/>
      <c r="C40" s="62"/>
      <c r="D40" s="62"/>
      <c r="E40" s="62"/>
      <c r="F40" s="62"/>
      <c r="G40" s="62"/>
      <c r="H40" s="62"/>
      <c r="I40" s="128"/>
    </row>
    <row r="41" spans="1:9" ht="12.75">
      <c r="A41" s="127"/>
      <c r="B41" s="62"/>
      <c r="C41" s="62"/>
      <c r="D41" s="62"/>
      <c r="E41" s="62"/>
      <c r="F41" s="62"/>
      <c r="G41" s="62"/>
      <c r="H41" s="62"/>
      <c r="I41" s="128"/>
    </row>
    <row r="42" spans="1:9" ht="12.75">
      <c r="A42" s="127"/>
      <c r="B42" s="62"/>
      <c r="C42" s="62"/>
      <c r="D42" s="62"/>
      <c r="E42" s="62"/>
      <c r="F42" s="62"/>
      <c r="G42" s="62"/>
      <c r="H42" s="62"/>
      <c r="I42" s="128"/>
    </row>
    <row r="43" spans="1:9" ht="13.5" thickBot="1">
      <c r="A43" s="129"/>
      <c r="B43" s="108"/>
      <c r="C43" s="108"/>
      <c r="D43" s="108"/>
      <c r="E43" s="108"/>
      <c r="F43" s="108"/>
      <c r="G43" s="108"/>
      <c r="H43" s="108"/>
      <c r="I43" s="130"/>
    </row>
    <row r="44" ht="13.5" thickTop="1"/>
    <row r="47" spans="1:9" ht="12.75">
      <c r="A47" s="62" t="s">
        <v>52</v>
      </c>
      <c r="B47" s="62"/>
      <c r="F47" s="292" t="s">
        <v>31</v>
      </c>
      <c r="G47" s="292"/>
      <c r="H47" s="292"/>
      <c r="I47" s="292"/>
    </row>
    <row r="48" spans="1:9" ht="12.75" customHeight="1">
      <c r="A48" s="293"/>
      <c r="B48" s="293"/>
      <c r="F48" s="294" t="s">
        <v>80</v>
      </c>
      <c r="G48" s="294"/>
      <c r="H48" s="294"/>
      <c r="I48" s="294"/>
    </row>
    <row r="49" spans="1:9" ht="12.75">
      <c r="A49" s="293"/>
      <c r="B49" s="293"/>
      <c r="F49" s="295" t="s">
        <v>81</v>
      </c>
      <c r="G49" s="295"/>
      <c r="H49" s="295"/>
      <c r="I49" s="295"/>
    </row>
    <row r="50" spans="1:2" ht="12.75">
      <c r="A50" s="293"/>
      <c r="B50" s="293"/>
    </row>
  </sheetData>
  <sheetProtection/>
  <mergeCells count="18">
    <mergeCell ref="F47:I47"/>
    <mergeCell ref="A48:B50"/>
    <mergeCell ref="F48:I48"/>
    <mergeCell ref="F49:I49"/>
    <mergeCell ref="B7:B9"/>
    <mergeCell ref="C7:C9"/>
    <mergeCell ref="D7:D9"/>
    <mergeCell ref="I7:I9"/>
    <mergeCell ref="E7:E9"/>
    <mergeCell ref="F7:F9"/>
    <mergeCell ref="G7:G9"/>
    <mergeCell ref="A5:C5"/>
    <mergeCell ref="H1:I1"/>
    <mergeCell ref="A2:I2"/>
    <mergeCell ref="A3:I3"/>
    <mergeCell ref="A4:I4"/>
    <mergeCell ref="H7:H9"/>
    <mergeCell ref="A7:A9"/>
  </mergeCells>
  <printOptions/>
  <pageMargins left="0.75" right="0.75" top="1" bottom="1" header="0" footer="0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14:H22"/>
  <sheetViews>
    <sheetView zoomScalePageLayoutView="0" workbookViewId="0" topLeftCell="A1">
      <selection activeCell="D15" sqref="D15:H22"/>
    </sheetView>
  </sheetViews>
  <sheetFormatPr defaultColWidth="11.421875" defaultRowHeight="12.75"/>
  <cols>
    <col min="5" max="7" width="12.28125" style="0" bestFit="1" customWidth="1"/>
  </cols>
  <sheetData>
    <row r="14" spans="4:8" ht="12.75">
      <c r="D14" s="4"/>
      <c r="E14" s="39"/>
      <c r="F14" s="39"/>
      <c r="G14" s="41"/>
      <c r="H14" s="39"/>
    </row>
    <row r="15" spans="4:8" ht="12.75">
      <c r="D15" s="258" t="s">
        <v>7</v>
      </c>
      <c r="E15" s="260" t="s">
        <v>8</v>
      </c>
      <c r="F15" s="258" t="s">
        <v>9</v>
      </c>
      <c r="G15" s="45"/>
      <c r="H15" s="258" t="s">
        <v>25</v>
      </c>
    </row>
    <row r="16" spans="4:8" ht="12.75">
      <c r="D16" s="266"/>
      <c r="E16" s="261"/>
      <c r="F16" s="259"/>
      <c r="G16" s="47" t="s">
        <v>16</v>
      </c>
      <c r="H16" s="259"/>
    </row>
    <row r="17" spans="4:8" ht="12.75">
      <c r="D17" s="48" t="s">
        <v>26</v>
      </c>
      <c r="E17" s="48"/>
      <c r="F17" s="48"/>
      <c r="G17" s="49"/>
      <c r="H17" s="48"/>
    </row>
    <row r="18" spans="4:8" ht="12.75">
      <c r="D18" s="23">
        <v>1000</v>
      </c>
      <c r="E18" s="20">
        <v>17552257.7</v>
      </c>
      <c r="F18" s="21">
        <v>17552257.7</v>
      </c>
      <c r="G18" s="21">
        <v>19399427.229999997</v>
      </c>
      <c r="H18" s="25">
        <v>1.1052382868102488</v>
      </c>
    </row>
    <row r="19" spans="4:8" ht="12.75">
      <c r="D19" s="23">
        <v>2000</v>
      </c>
      <c r="E19" s="20">
        <v>2162362.5</v>
      </c>
      <c r="F19" s="21">
        <v>2040552.87</v>
      </c>
      <c r="G19" s="21">
        <v>2177098.9</v>
      </c>
      <c r="H19" s="25">
        <v>0.2107459179485401</v>
      </c>
    </row>
    <row r="20" spans="4:8" ht="12.75">
      <c r="D20" s="23">
        <v>3000</v>
      </c>
      <c r="E20" s="20">
        <v>4653939.2</v>
      </c>
      <c r="F20" s="21">
        <v>4103659.2800000003</v>
      </c>
      <c r="G20" s="21">
        <v>4103659.48</v>
      </c>
      <c r="H20" s="25">
        <v>0.8817604407036516</v>
      </c>
    </row>
    <row r="21" spans="4:8" ht="12.75">
      <c r="D21" s="23">
        <v>5000</v>
      </c>
      <c r="E21" s="20">
        <v>0</v>
      </c>
      <c r="F21" s="21"/>
      <c r="G21" s="21">
        <v>429936.84</v>
      </c>
      <c r="H21" s="25">
        <v>1</v>
      </c>
    </row>
    <row r="22" spans="4:8" ht="12.75">
      <c r="D22" s="35" t="s">
        <v>22</v>
      </c>
      <c r="E22" s="36">
        <f>SUM(E18:E21)</f>
        <v>24368559.4</v>
      </c>
      <c r="F22" s="36">
        <f>SUM(F18:F21)</f>
        <v>23696469.85</v>
      </c>
      <c r="G22" s="36">
        <v>26110122.449999996</v>
      </c>
      <c r="H22" s="51">
        <v>1.0714676243848866</v>
      </c>
    </row>
  </sheetData>
  <sheetProtection/>
  <mergeCells count="4">
    <mergeCell ref="D15:D16"/>
    <mergeCell ref="E15:E16"/>
    <mergeCell ref="F15:F16"/>
    <mergeCell ref="H15:H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VERO MONTES</cp:lastModifiedBy>
  <cp:lastPrinted>2012-01-20T20:15:23Z</cp:lastPrinted>
  <dcterms:created xsi:type="dcterms:W3CDTF">2009-10-13T17:12:53Z</dcterms:created>
  <dcterms:modified xsi:type="dcterms:W3CDTF">2012-03-05T15:43:35Z</dcterms:modified>
  <cp:category/>
  <cp:version/>
  <cp:contentType/>
  <cp:contentStatus/>
</cp:coreProperties>
</file>