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estros\Desktop\2016\ETCA\ETCA TRIMESTRALES\ETCA 2DO. TRIM 2016\"/>
    </mc:Choice>
  </mc:AlternateContent>
  <bookViews>
    <workbookView xWindow="0" yWindow="0" windowWidth="28800" windowHeight="12435" tabRatio="898" firstSheet="8" activeTab="18"/>
  </bookViews>
  <sheets>
    <sheet name="Lista  FORMATOS" sheetId="39" r:id="rId1"/>
    <sheet name="ETCA-I-01" sheetId="2" r:id="rId2"/>
    <sheet name="ETCA-I-02" sheetId="1" r:id="rId3"/>
    <sheet name="ETCA-I-03" sheetId="3" r:id="rId4"/>
    <sheet name="ETCA-I-04" sheetId="5" r:id="rId5"/>
    <sheet name="ETCA-I-05" sheetId="23" r:id="rId6"/>
    <sheet name="ETCA-I-06" sheetId="6" r:id="rId7"/>
    <sheet name="ETCA-I-07" sheetId="7" r:id="rId8"/>
    <sheet name="ETCA-I-08" sheetId="26" r:id="rId9"/>
    <sheet name="ETCA-I-09 Notas " sheetId="50" r:id="rId10"/>
    <sheet name="ETCA-II-10 " sheetId="34" r:id="rId11"/>
    <sheet name="ETCA-II-10-A" sheetId="21" r:id="rId12"/>
    <sheet name="ETCA-II-11 " sheetId="35" r:id="rId13"/>
    <sheet name="ETCA-II-11-A " sheetId="37" r:id="rId14"/>
    <sheet name="ETCA-II-11-B1" sheetId="38" r:id="rId15"/>
    <sheet name="ETCA-II-11-B2" sheetId="44" r:id="rId16"/>
    <sheet name="ETCA-11-B3" sheetId="45" r:id="rId17"/>
    <sheet name="ETCA-II-11-C" sheetId="43" r:id="rId18"/>
    <sheet name="ETCA-II-11-D" sheetId="24" r:id="rId19"/>
    <sheet name="ETCA-II-11-E " sheetId="36" r:id="rId20"/>
    <sheet name="ETCA-II-12" sheetId="16" r:id="rId21"/>
    <sheet name="ETCA-II-13" sheetId="19" r:id="rId22"/>
    <sheet name="ETCA-III-14" sheetId="42" r:id="rId23"/>
    <sheet name="ETCA-III-15 (2)" sheetId="51" r:id="rId24"/>
    <sheet name="ETCA-III-15" sheetId="46" r:id="rId25"/>
    <sheet name="ETCA-III-15-A" sheetId="49" r:id="rId26"/>
    <sheet name="ETCA-III-16" sheetId="32" r:id="rId27"/>
    <sheet name="ETCA-IV-17" sheetId="20" r:id="rId28"/>
    <sheet name="ETCA-IV-18" sheetId="27" r:id="rId29"/>
    <sheet name="ETCA-IV-19" sheetId="28" r:id="rId30"/>
    <sheet name="ETCA-IV-20" sheetId="33" r:id="rId31"/>
    <sheet name="ANEXO" sheetId="47" r:id="rId32"/>
  </sheets>
  <externalReferences>
    <externalReference r:id="rId33"/>
    <externalReference r:id="rId34"/>
  </externalReferences>
  <definedNames>
    <definedName name="_xlnm._FilterDatabase" localSheetId="1" hidden="1">'ETCA-I-01'!#REF!</definedName>
    <definedName name="_xlnm._FilterDatabase" localSheetId="4" hidden="1">'ETCA-I-04'!$A$1:$C$77</definedName>
    <definedName name="_ftn1" localSheetId="2">'ETCA-I-02'!#REF!</definedName>
    <definedName name="_ftnref1" localSheetId="2">'ETCA-I-02'!#REF!</definedName>
    <definedName name="_xlnm.Print_Area" localSheetId="16">'ETCA-11-B3'!$A$1:$G$27</definedName>
    <definedName name="_xlnm.Print_Area" localSheetId="1">'ETCA-I-01'!$A$1:$F$58</definedName>
    <definedName name="_xlnm.Print_Area" localSheetId="2">'ETCA-I-02'!$A$1:$D$72</definedName>
    <definedName name="_xlnm.Print_Area" localSheetId="3">'ETCA-I-03'!$A$1:$F$42</definedName>
    <definedName name="_xlnm.Print_Area" localSheetId="4">'ETCA-I-04'!$A$1:$C$67</definedName>
    <definedName name="_xlnm.Print_Area" localSheetId="5">'ETCA-I-05'!$A$1:$D$71</definedName>
    <definedName name="_xlnm.Print_Area" localSheetId="6">'ETCA-I-06'!$A$1:$G$34</definedName>
    <definedName name="_xlnm.Print_Area" localSheetId="7">'ETCA-I-07'!$A$1:$F$46</definedName>
    <definedName name="_xlnm.Print_Area" localSheetId="8">'ETCA-I-08'!$A$1:$I$46</definedName>
    <definedName name="_xlnm.Print_Area" localSheetId="10">'ETCA-II-10 '!$A$1:$H$52</definedName>
    <definedName name="_xlnm.Print_Area" localSheetId="11">'ETCA-II-10-A'!$A$1:$D$23</definedName>
    <definedName name="_xlnm.Print_Area" localSheetId="12">'ETCA-II-11 '!$A$1:$G$85</definedName>
    <definedName name="_xlnm.Print_Area" localSheetId="13">'ETCA-II-11-A '!$A$1:$G$16</definedName>
    <definedName name="_xlnm.Print_Area" localSheetId="14">'ETCA-II-11-B1'!$A$1:$G$32</definedName>
    <definedName name="_xlnm.Print_Area" localSheetId="15">'ETCA-II-11-B2'!$A$1:$G$19</definedName>
    <definedName name="_xlnm.Print_Area" localSheetId="17">'ETCA-II-11-C'!$A$1:$G$49</definedName>
    <definedName name="_xlnm.Print_Area" localSheetId="18">'ETCA-II-11-D'!$A$1:$C$43</definedName>
    <definedName name="_xlnm.Print_Area" localSheetId="19">'ETCA-II-11-E '!$A$1:$I$186</definedName>
    <definedName name="_xlnm.Print_Area" localSheetId="20">'ETCA-II-12'!$A$1:$E$37</definedName>
    <definedName name="_xlnm.Print_Area" localSheetId="21">'ETCA-II-13'!$A$1:$D$38</definedName>
    <definedName name="_xlnm.Print_Area" localSheetId="22">'ETCA-III-14'!$A$1:$G$45</definedName>
    <definedName name="_xlnm.Print_Area" localSheetId="26">'ETCA-III-16'!$A$1:$E$44</definedName>
    <definedName name="_xlnm.Print_Area" localSheetId="27">'ETCA-IV-17'!$A$1:$E$33</definedName>
    <definedName name="_xlnm.Print_Area" localSheetId="28">'ETCA-IV-18'!$A$1:$D$26</definedName>
    <definedName name="_xlnm.Print_Area" localSheetId="29">'ETCA-IV-19'!$A$1:$D$29</definedName>
    <definedName name="_xlnm.Print_Area" localSheetId="30">'ETCA-IV-20'!$A$1:$E$34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8">#REF!</definedName>
    <definedName name="_xlnm.Database" localSheetId="19">#REF!</definedName>
    <definedName name="_xlnm.Database" localSheetId="21">#REF!</definedName>
    <definedName name="_xlnm.Database" localSheetId="24">#REF!</definedName>
    <definedName name="_xlnm.Database" localSheetId="23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0">#REF!</definedName>
    <definedName name="_xlnm.Database">#REF!</definedName>
    <definedName name="Basededatos2" localSheetId="23">#REF!</definedName>
    <definedName name="Basededatos2">#REF!</definedName>
    <definedName name="OLE_LINK18" localSheetId="9">'[1]CPCA-I-05 Notas'!$B$57</definedName>
    <definedName name="OLE_LINK2" localSheetId="9">'[1]CPCA-I-05 Notas'!$B$57</definedName>
    <definedName name="OLE_LINK7" localSheetId="9">'[1]CPCA-I-05 Notas'!$C$7</definedName>
    <definedName name="OLE_LINK8" localSheetId="9">'[1]CPCA-I-05 Notas'!$C$7</definedName>
    <definedName name="ppto">[2]Hoja2!$B$3:$M$95</definedName>
    <definedName name="qw" localSheetId="9">#REF!</definedName>
    <definedName name="qw" localSheetId="24">#REF!</definedName>
    <definedName name="qw" localSheetId="23">#REF!</definedName>
    <definedName name="qw">#REF!</definedName>
    <definedName name="sdad" localSheetId="9">#REF!</definedName>
    <definedName name="sdad" localSheetId="23">#REF!</definedName>
    <definedName name="sdad">#REF!</definedName>
    <definedName name="_xlnm.Print_Titles" localSheetId="2">'ETCA-I-02'!$2:$5</definedName>
    <definedName name="_xlnm.Print_Titles" localSheetId="4">'ETCA-I-04'!$1:$5</definedName>
    <definedName name="_xlnm.Print_Titles" localSheetId="10">'ETCA-II-10 '!$1:$5</definedName>
    <definedName name="_xlnm.Print_Titles" localSheetId="12">'ETCA-II-11 '!$1:$8</definedName>
    <definedName name="_xlnm.Print_Titles" localSheetId="25">'ETCA-III-15-A'!$3:$4</definedName>
  </definedNames>
  <calcPr calcId="152511"/>
</workbook>
</file>

<file path=xl/calcChain.xml><?xml version="1.0" encoding="utf-8"?>
<calcChain xmlns="http://schemas.openxmlformats.org/spreadsheetml/2006/main">
  <c r="C15" i="42" l="1"/>
  <c r="B15" i="42"/>
  <c r="A3" i="50"/>
  <c r="I161" i="36" l="1"/>
  <c r="H161" i="36"/>
  <c r="G161" i="36"/>
  <c r="F161" i="36"/>
  <c r="E161" i="36"/>
  <c r="D161" i="36"/>
  <c r="D180" i="36" l="1"/>
  <c r="C180" i="36"/>
  <c r="D175" i="36"/>
  <c r="C175" i="36"/>
  <c r="C161" i="36"/>
  <c r="D157" i="36"/>
  <c r="C157" i="36"/>
  <c r="D141" i="36"/>
  <c r="C141" i="36"/>
  <c r="D136" i="36"/>
  <c r="C136" i="36"/>
  <c r="D121" i="36"/>
  <c r="C121" i="36"/>
  <c r="D111" i="36"/>
  <c r="C111" i="36"/>
  <c r="D97" i="36"/>
  <c r="C97" i="36"/>
  <c r="F185" i="36"/>
  <c r="G184" i="36"/>
  <c r="G182" i="36"/>
  <c r="G180" i="36"/>
  <c r="G179" i="36"/>
  <c r="G175" i="36"/>
  <c r="G173" i="36"/>
  <c r="G169" i="36"/>
  <c r="G168" i="36"/>
  <c r="G166" i="36"/>
  <c r="G163" i="36"/>
  <c r="G159" i="36"/>
  <c r="G157" i="36"/>
  <c r="G153" i="36"/>
  <c r="G148" i="36"/>
  <c r="G146" i="36"/>
  <c r="G143" i="36"/>
  <c r="G141" i="36"/>
  <c r="G140" i="36"/>
  <c r="G138" i="36"/>
  <c r="G136" i="36"/>
  <c r="G133" i="36"/>
  <c r="G131" i="36"/>
  <c r="G129" i="36"/>
  <c r="G126" i="36"/>
  <c r="G125" i="36"/>
  <c r="G123" i="36"/>
  <c r="G121" i="36"/>
  <c r="G116" i="36"/>
  <c r="G114" i="36"/>
  <c r="G113" i="36"/>
  <c r="G111" i="36"/>
  <c r="G106" i="36"/>
  <c r="G104" i="36"/>
  <c r="G102" i="36"/>
  <c r="G97" i="36"/>
  <c r="G95" i="36"/>
  <c r="G87" i="36"/>
  <c r="G85" i="36"/>
  <c r="G84" i="36"/>
  <c r="G82" i="36"/>
  <c r="G81" i="36"/>
  <c r="G79" i="36"/>
  <c r="G77" i="36"/>
  <c r="G76" i="36"/>
  <c r="G74" i="36"/>
  <c r="G73" i="36"/>
  <c r="G69" i="36"/>
  <c r="G68" i="36"/>
  <c r="G66" i="36"/>
  <c r="G64" i="36"/>
  <c r="G62" i="36"/>
  <c r="G60" i="36"/>
  <c r="G59" i="36"/>
  <c r="G53" i="36"/>
  <c r="G54" i="36"/>
  <c r="G56" i="36"/>
  <c r="G57" i="36"/>
  <c r="F54" i="36"/>
  <c r="G51" i="36"/>
  <c r="G50" i="36"/>
  <c r="G48" i="36"/>
  <c r="G46" i="36"/>
  <c r="G44" i="36"/>
  <c r="G42" i="36"/>
  <c r="G40" i="36"/>
  <c r="G39" i="36"/>
  <c r="G38" i="36"/>
  <c r="G36" i="36"/>
  <c r="G35" i="36"/>
  <c r="G33" i="36"/>
  <c r="G28" i="36"/>
  <c r="G27" i="36"/>
  <c r="G25" i="36"/>
  <c r="G23" i="36"/>
  <c r="G16" i="36"/>
  <c r="G13" i="36"/>
  <c r="G11" i="36"/>
  <c r="I184" i="36"/>
  <c r="E184" i="36"/>
  <c r="D184" i="36"/>
  <c r="B183" i="36"/>
  <c r="H182" i="36"/>
  <c r="E182" i="36"/>
  <c r="I182" i="36" s="1"/>
  <c r="B181" i="36"/>
  <c r="F180" i="36"/>
  <c r="E179" i="36"/>
  <c r="H179" i="36" s="1"/>
  <c r="B178" i="36"/>
  <c r="I177" i="36"/>
  <c r="E177" i="36"/>
  <c r="D177" i="36"/>
  <c r="B176" i="36"/>
  <c r="F175" i="36"/>
  <c r="I174" i="36"/>
  <c r="E174" i="36"/>
  <c r="H174" i="36" s="1"/>
  <c r="H173" i="36"/>
  <c r="D173" i="36"/>
  <c r="E173" i="36" s="1"/>
  <c r="I173" i="36" s="1"/>
  <c r="B172" i="36"/>
  <c r="E171" i="36"/>
  <c r="H171" i="36" s="1"/>
  <c r="B170" i="36"/>
  <c r="I169" i="36"/>
  <c r="E169" i="36"/>
  <c r="H169" i="36" s="1"/>
  <c r="D168" i="36"/>
  <c r="E168" i="36" s="1"/>
  <c r="H168" i="36" s="1"/>
  <c r="B167" i="36"/>
  <c r="E166" i="36"/>
  <c r="H166" i="36" s="1"/>
  <c r="B165" i="36"/>
  <c r="I164" i="36"/>
  <c r="E164" i="36"/>
  <c r="H164" i="36" s="1"/>
  <c r="B162" i="36"/>
  <c r="H160" i="36"/>
  <c r="D160" i="36"/>
  <c r="E160" i="36" s="1"/>
  <c r="I160" i="36" s="1"/>
  <c r="H159" i="36"/>
  <c r="H157" i="36" s="1"/>
  <c r="D159" i="36"/>
  <c r="E159" i="36" s="1"/>
  <c r="I159" i="36" s="1"/>
  <c r="B158" i="36"/>
  <c r="I157" i="36"/>
  <c r="F157" i="36"/>
  <c r="E157" i="36"/>
  <c r="H156" i="36"/>
  <c r="E156" i="36"/>
  <c r="I156" i="36" s="1"/>
  <c r="B155" i="36"/>
  <c r="H154" i="36"/>
  <c r="E154" i="36"/>
  <c r="I154" i="36" s="1"/>
  <c r="E153" i="36"/>
  <c r="H153" i="36" s="1"/>
  <c r="B152" i="36"/>
  <c r="H151" i="36"/>
  <c r="E151" i="36"/>
  <c r="I151" i="36" s="1"/>
  <c r="B150" i="36"/>
  <c r="H149" i="36"/>
  <c r="E149" i="36"/>
  <c r="I149" i="36" s="1"/>
  <c r="E148" i="36"/>
  <c r="I148" i="36" s="1"/>
  <c r="B147" i="36"/>
  <c r="I146" i="36"/>
  <c r="E146" i="36"/>
  <c r="H146" i="36" s="1"/>
  <c r="D146" i="36"/>
  <c r="H145" i="36"/>
  <c r="E145" i="36"/>
  <c r="I145" i="36" s="1"/>
  <c r="B145" i="36"/>
  <c r="B144" i="36" s="1"/>
  <c r="E143" i="36"/>
  <c r="D143" i="36"/>
  <c r="B142" i="36"/>
  <c r="F141" i="36"/>
  <c r="E140" i="36"/>
  <c r="H140" i="36" s="1"/>
  <c r="B139" i="36"/>
  <c r="I138" i="36"/>
  <c r="E138" i="36"/>
  <c r="B137" i="36"/>
  <c r="F136" i="36"/>
  <c r="I135" i="36"/>
  <c r="E135" i="36"/>
  <c r="H135" i="36" s="1"/>
  <c r="B134" i="36"/>
  <c r="E133" i="36"/>
  <c r="H133" i="36" s="1"/>
  <c r="B132" i="36"/>
  <c r="I131" i="36"/>
  <c r="E131" i="36"/>
  <c r="H131" i="36" s="1"/>
  <c r="D131" i="36"/>
  <c r="B130" i="36"/>
  <c r="E129" i="36"/>
  <c r="I129" i="36" s="1"/>
  <c r="B128" i="36"/>
  <c r="E127" i="36"/>
  <c r="H127" i="36" s="1"/>
  <c r="H126" i="36"/>
  <c r="E126" i="36"/>
  <c r="I126" i="36" s="1"/>
  <c r="E125" i="36"/>
  <c r="H125" i="36" s="1"/>
  <c r="B124" i="36"/>
  <c r="I123" i="36"/>
  <c r="E123" i="36"/>
  <c r="D123" i="36"/>
  <c r="B122" i="36"/>
  <c r="F121" i="36"/>
  <c r="E120" i="36"/>
  <c r="H120" i="36" s="1"/>
  <c r="B119" i="36"/>
  <c r="I118" i="36"/>
  <c r="E118" i="36"/>
  <c r="H118" i="36" s="1"/>
  <c r="B117" i="36"/>
  <c r="E116" i="36"/>
  <c r="H116" i="36" s="1"/>
  <c r="D116" i="36"/>
  <c r="H115" i="36"/>
  <c r="B115" i="36"/>
  <c r="I114" i="36"/>
  <c r="E114" i="36"/>
  <c r="H114" i="36" s="1"/>
  <c r="D114" i="36"/>
  <c r="E113" i="36"/>
  <c r="H113" i="36" s="1"/>
  <c r="B112" i="36"/>
  <c r="F111" i="36"/>
  <c r="H110" i="36"/>
  <c r="E110" i="36"/>
  <c r="I110" i="36" s="1"/>
  <c r="B109" i="36"/>
  <c r="H108" i="36"/>
  <c r="E108" i="36"/>
  <c r="I108" i="36" s="1"/>
  <c r="B107" i="36"/>
  <c r="E106" i="36"/>
  <c r="I106" i="36" s="1"/>
  <c r="B105" i="36"/>
  <c r="I104" i="36"/>
  <c r="E104" i="36"/>
  <c r="H104" i="36" s="1"/>
  <c r="D104" i="36"/>
  <c r="B103" i="36"/>
  <c r="H102" i="36"/>
  <c r="D102" i="36"/>
  <c r="E102" i="36" s="1"/>
  <c r="I102" i="36" s="1"/>
  <c r="B101" i="36"/>
  <c r="E100" i="36"/>
  <c r="H99" i="36"/>
  <c r="E99" i="36"/>
  <c r="I99" i="36" s="1"/>
  <c r="B98" i="36"/>
  <c r="F97" i="36"/>
  <c r="F96" i="36" s="1"/>
  <c r="G96" i="36"/>
  <c r="G185" i="36" s="1"/>
  <c r="C96" i="36"/>
  <c r="E95" i="36"/>
  <c r="I95" i="36" s="1"/>
  <c r="D95" i="36"/>
  <c r="B94" i="36"/>
  <c r="H93" i="36"/>
  <c r="E93" i="36"/>
  <c r="I93" i="36" s="1"/>
  <c r="B92" i="36"/>
  <c r="H91" i="36"/>
  <c r="E91" i="36"/>
  <c r="I91" i="36" s="1"/>
  <c r="B90" i="36"/>
  <c r="H89" i="36"/>
  <c r="E89" i="36"/>
  <c r="I89" i="36" s="1"/>
  <c r="B88" i="36"/>
  <c r="D87" i="36"/>
  <c r="E87" i="36" s="1"/>
  <c r="B86" i="36"/>
  <c r="F85" i="36"/>
  <c r="C85" i="36"/>
  <c r="E84" i="36"/>
  <c r="I84" i="36" s="1"/>
  <c r="I82" i="36" s="1"/>
  <c r="B84" i="36"/>
  <c r="F82" i="36"/>
  <c r="E82" i="36"/>
  <c r="D82" i="36"/>
  <c r="C82" i="36"/>
  <c r="H81" i="36"/>
  <c r="E81" i="36"/>
  <c r="I81" i="36" s="1"/>
  <c r="B80" i="36"/>
  <c r="D79" i="36"/>
  <c r="E79" i="36" s="1"/>
  <c r="B78" i="36"/>
  <c r="F77" i="36"/>
  <c r="C77" i="36"/>
  <c r="E76" i="36"/>
  <c r="I76" i="36" s="1"/>
  <c r="I74" i="36" s="1"/>
  <c r="D76" i="36"/>
  <c r="B75" i="36"/>
  <c r="F74" i="36"/>
  <c r="D74" i="36"/>
  <c r="C74" i="36"/>
  <c r="I73" i="36"/>
  <c r="E73" i="36"/>
  <c r="H73" i="36" s="1"/>
  <c r="H69" i="36" s="1"/>
  <c r="B72" i="36"/>
  <c r="H71" i="36"/>
  <c r="E71" i="36"/>
  <c r="I71" i="36" s="1"/>
  <c r="I69" i="36" s="1"/>
  <c r="B70" i="36"/>
  <c r="F69" i="36"/>
  <c r="E69" i="36"/>
  <c r="D69" i="36"/>
  <c r="C69" i="36"/>
  <c r="I68" i="36"/>
  <c r="E68" i="36"/>
  <c r="H68" i="36" s="1"/>
  <c r="B67" i="36"/>
  <c r="E66" i="36"/>
  <c r="I66" i="36" s="1"/>
  <c r="B65" i="36"/>
  <c r="D64" i="36"/>
  <c r="E64" i="36" s="1"/>
  <c r="D62" i="36"/>
  <c r="E62" i="36" s="1"/>
  <c r="F60" i="36"/>
  <c r="D60" i="36"/>
  <c r="C60" i="36"/>
  <c r="E59" i="36"/>
  <c r="H59" i="36" s="1"/>
  <c r="H57" i="36" s="1"/>
  <c r="F57" i="36"/>
  <c r="D57" i="36"/>
  <c r="C57" i="36"/>
  <c r="D56" i="36"/>
  <c r="E56" i="36" s="1"/>
  <c r="D54" i="36"/>
  <c r="C54" i="36"/>
  <c r="E53" i="36"/>
  <c r="H53" i="36" s="1"/>
  <c r="E51" i="36"/>
  <c r="I51" i="36" s="1"/>
  <c r="D51" i="36"/>
  <c r="I50" i="36"/>
  <c r="E50" i="36"/>
  <c r="H50" i="36" s="1"/>
  <c r="D48" i="36"/>
  <c r="E48" i="36" s="1"/>
  <c r="D46" i="36"/>
  <c r="E46" i="36" s="1"/>
  <c r="E44" i="36"/>
  <c r="I44" i="36" s="1"/>
  <c r="D44" i="36"/>
  <c r="D42" i="36"/>
  <c r="E42" i="36" s="1"/>
  <c r="F40" i="36"/>
  <c r="D40" i="36"/>
  <c r="C40" i="36"/>
  <c r="C39" i="36"/>
  <c r="E38" i="36"/>
  <c r="I38" i="36" s="1"/>
  <c r="I36" i="36" s="1"/>
  <c r="D38" i="36"/>
  <c r="F36" i="36"/>
  <c r="D36" i="36"/>
  <c r="C36" i="36"/>
  <c r="E36" i="36" s="1"/>
  <c r="E35" i="36"/>
  <c r="I35" i="36" s="1"/>
  <c r="I33" i="36" s="1"/>
  <c r="D35" i="36"/>
  <c r="F33" i="36"/>
  <c r="E33" i="36"/>
  <c r="D33" i="36"/>
  <c r="C33" i="36"/>
  <c r="E28" i="36"/>
  <c r="I28" i="36" s="1"/>
  <c r="D28" i="36"/>
  <c r="D27" i="36"/>
  <c r="E27" i="36" s="1"/>
  <c r="I25" i="36"/>
  <c r="E25" i="36"/>
  <c r="H25" i="36" s="1"/>
  <c r="D25" i="36"/>
  <c r="F23" i="36"/>
  <c r="C23" i="36"/>
  <c r="E16" i="36"/>
  <c r="I16" i="36" s="1"/>
  <c r="D16" i="36"/>
  <c r="D13" i="36"/>
  <c r="E13" i="36" s="1"/>
  <c r="F11" i="36"/>
  <c r="G10" i="36" s="1"/>
  <c r="D11" i="36"/>
  <c r="C11" i="36"/>
  <c r="E11" i="36" s="1"/>
  <c r="C10" i="36"/>
  <c r="C185" i="36" s="1"/>
  <c r="I153" i="36" l="1"/>
  <c r="H129" i="36"/>
  <c r="I46" i="36"/>
  <c r="H46" i="36"/>
  <c r="H64" i="36"/>
  <c r="I64" i="36"/>
  <c r="I79" i="36"/>
  <c r="I77" i="36" s="1"/>
  <c r="H79" i="36"/>
  <c r="H77" i="36" s="1"/>
  <c r="E77" i="36"/>
  <c r="I87" i="36"/>
  <c r="I85" i="36" s="1"/>
  <c r="H87" i="36"/>
  <c r="E85" i="36"/>
  <c r="D10" i="36"/>
  <c r="H13" i="36"/>
  <c r="I13" i="36"/>
  <c r="I11" i="36" s="1"/>
  <c r="H27" i="36"/>
  <c r="I27" i="36"/>
  <c r="I23" i="36" s="1"/>
  <c r="E23" i="36"/>
  <c r="E10" i="36" s="1"/>
  <c r="H42" i="36"/>
  <c r="E40" i="36"/>
  <c r="I42" i="36"/>
  <c r="H48" i="36"/>
  <c r="I48" i="36"/>
  <c r="H56" i="36"/>
  <c r="H54" i="36" s="1"/>
  <c r="E54" i="36"/>
  <c r="I56" i="36"/>
  <c r="I54" i="36" s="1"/>
  <c r="I62" i="36"/>
  <c r="I60" i="36" s="1"/>
  <c r="E60" i="36"/>
  <c r="H62" i="36"/>
  <c r="H16" i="36"/>
  <c r="H28" i="36"/>
  <c r="H35" i="36"/>
  <c r="H33" i="36" s="1"/>
  <c r="H38" i="36"/>
  <c r="H36" i="36" s="1"/>
  <c r="H44" i="36"/>
  <c r="H51" i="36"/>
  <c r="I53" i="36"/>
  <c r="I59" i="36"/>
  <c r="I57" i="36" s="1"/>
  <c r="H66" i="36"/>
  <c r="H76" i="36"/>
  <c r="H74" i="36" s="1"/>
  <c r="H84" i="36"/>
  <c r="H82" i="36" s="1"/>
  <c r="I97" i="36"/>
  <c r="H100" i="36"/>
  <c r="E97" i="36"/>
  <c r="H106" i="36"/>
  <c r="I140" i="36"/>
  <c r="I136" i="36" s="1"/>
  <c r="H143" i="36"/>
  <c r="E141" i="36"/>
  <c r="H148" i="36"/>
  <c r="I175" i="36"/>
  <c r="I179" i="36"/>
  <c r="F10" i="36"/>
  <c r="D23" i="36"/>
  <c r="F39" i="36"/>
  <c r="E57" i="36"/>
  <c r="E74" i="36"/>
  <c r="D77" i="36"/>
  <c r="D85" i="36"/>
  <c r="D39" i="36" s="1"/>
  <c r="H95" i="36"/>
  <c r="I100" i="36"/>
  <c r="E111" i="36"/>
  <c r="I113" i="36"/>
  <c r="H111" i="36"/>
  <c r="I116" i="36"/>
  <c r="I120" i="36"/>
  <c r="H123" i="36"/>
  <c r="H121" i="36" s="1"/>
  <c r="E121" i="36"/>
  <c r="I125" i="36"/>
  <c r="I127" i="36"/>
  <c r="I121" i="36" s="1"/>
  <c r="I133" i="36"/>
  <c r="H138" i="36"/>
  <c r="H136" i="36" s="1"/>
  <c r="E136" i="36"/>
  <c r="I143" i="36"/>
  <c r="I141" i="36" s="1"/>
  <c r="B146" i="36"/>
  <c r="B149" i="36" s="1"/>
  <c r="E163" i="36"/>
  <c r="D96" i="36"/>
  <c r="I166" i="36"/>
  <c r="I168" i="36"/>
  <c r="I171" i="36"/>
  <c r="H177" i="36"/>
  <c r="H175" i="36" s="1"/>
  <c r="E175" i="36"/>
  <c r="I180" i="36"/>
  <c r="H184" i="36"/>
  <c r="H180" i="36" s="1"/>
  <c r="E180" i="36"/>
  <c r="H85" i="36" l="1"/>
  <c r="I163" i="36"/>
  <c r="H163" i="36"/>
  <c r="E96" i="36"/>
  <c r="E39" i="36"/>
  <c r="I10" i="36"/>
  <c r="D185" i="36"/>
  <c r="I111" i="36"/>
  <c r="I96" i="36" s="1"/>
  <c r="H141" i="36"/>
  <c r="H97" i="36"/>
  <c r="H60" i="36"/>
  <c r="I40" i="36"/>
  <c r="I39" i="36" s="1"/>
  <c r="H40" i="36"/>
  <c r="H39" i="36" s="1"/>
  <c r="H23" i="36"/>
  <c r="H11" i="36"/>
  <c r="H10" i="36" s="1"/>
  <c r="E185" i="36" l="1"/>
  <c r="H96" i="36"/>
  <c r="H185" i="36" s="1"/>
  <c r="I185" i="36"/>
  <c r="F15" i="35" l="1"/>
  <c r="B23" i="45" l="1"/>
  <c r="C23" i="45"/>
  <c r="B73" i="35"/>
  <c r="B69" i="35"/>
  <c r="B61" i="35"/>
  <c r="B57" i="35"/>
  <c r="B47" i="35"/>
  <c r="B37" i="35"/>
  <c r="B27" i="35"/>
  <c r="B17" i="35"/>
  <c r="B9" i="35"/>
  <c r="B81" i="35" s="1"/>
  <c r="C73" i="35"/>
  <c r="C69" i="35"/>
  <c r="C61" i="35"/>
  <c r="C57" i="35"/>
  <c r="C47" i="35"/>
  <c r="C37" i="35"/>
  <c r="C27" i="35"/>
  <c r="C17" i="35"/>
  <c r="D17" i="35" s="1"/>
  <c r="C9" i="35"/>
  <c r="E73" i="35"/>
  <c r="E69" i="35"/>
  <c r="E61" i="35"/>
  <c r="E57" i="35"/>
  <c r="E47" i="35"/>
  <c r="E37" i="35"/>
  <c r="E27" i="35"/>
  <c r="E17" i="35"/>
  <c r="E9" i="35"/>
  <c r="F73" i="35"/>
  <c r="F69" i="35"/>
  <c r="F61" i="35"/>
  <c r="F57" i="35"/>
  <c r="F47" i="35"/>
  <c r="F37" i="35"/>
  <c r="F27" i="35"/>
  <c r="F17" i="35"/>
  <c r="F9" i="35"/>
  <c r="D13" i="38"/>
  <c r="G13" i="38"/>
  <c r="D11" i="38"/>
  <c r="G11" i="38"/>
  <c r="F13" i="34"/>
  <c r="F16" i="34"/>
  <c r="F24" i="34"/>
  <c r="D6" i="21"/>
  <c r="F33" i="34"/>
  <c r="F36" i="34"/>
  <c r="F29" i="34"/>
  <c r="F42" i="34"/>
  <c r="F48" i="34"/>
  <c r="F51" i="34"/>
  <c r="D39" i="42"/>
  <c r="D38" i="42"/>
  <c r="D37" i="42"/>
  <c r="C10" i="24"/>
  <c r="C30" i="24"/>
  <c r="G35" i="49"/>
  <c r="X34" i="49"/>
  <c r="K34" i="49"/>
  <c r="Y34" i="49"/>
  <c r="X33" i="49"/>
  <c r="K33" i="49"/>
  <c r="Y33" i="49"/>
  <c r="K32" i="49"/>
  <c r="Y32" i="49"/>
  <c r="X32" i="49"/>
  <c r="K31" i="49"/>
  <c r="Y31" i="49"/>
  <c r="X31" i="49"/>
  <c r="X30" i="49"/>
  <c r="K30" i="49"/>
  <c r="Y30" i="49"/>
  <c r="X29" i="49"/>
  <c r="K29" i="49"/>
  <c r="Y29" i="49"/>
  <c r="K28" i="49"/>
  <c r="Y28" i="49"/>
  <c r="X28" i="49"/>
  <c r="K27" i="49"/>
  <c r="Y27" i="49"/>
  <c r="X27" i="49"/>
  <c r="X26" i="49"/>
  <c r="K26" i="49"/>
  <c r="Y26" i="49"/>
  <c r="X25" i="49"/>
  <c r="K25" i="49"/>
  <c r="Y25" i="49"/>
  <c r="K24" i="49"/>
  <c r="Y24" i="49"/>
  <c r="X24" i="49"/>
  <c r="K23" i="49"/>
  <c r="Y23" i="49"/>
  <c r="X23" i="49"/>
  <c r="X22" i="49"/>
  <c r="K22" i="49"/>
  <c r="Y22" i="49"/>
  <c r="X21" i="49"/>
  <c r="K21" i="49"/>
  <c r="Y21" i="49"/>
  <c r="K20" i="49"/>
  <c r="Y20" i="49"/>
  <c r="X20" i="49"/>
  <c r="K19" i="49"/>
  <c r="Y19" i="49"/>
  <c r="X19" i="49"/>
  <c r="X18" i="49"/>
  <c r="K18" i="49"/>
  <c r="Y18" i="49"/>
  <c r="X17" i="49"/>
  <c r="K17" i="49"/>
  <c r="Y17" i="49"/>
  <c r="K16" i="49"/>
  <c r="Y16" i="49"/>
  <c r="X16" i="49"/>
  <c r="K15" i="49"/>
  <c r="Y15" i="49"/>
  <c r="X15" i="49"/>
  <c r="X14" i="49"/>
  <c r="K14" i="49"/>
  <c r="Y14" i="49"/>
  <c r="X13" i="49"/>
  <c r="K13" i="49"/>
  <c r="Y13" i="49"/>
  <c r="K12" i="49"/>
  <c r="Y12" i="49"/>
  <c r="X12" i="49"/>
  <c r="K11" i="49"/>
  <c r="Y11" i="49"/>
  <c r="X11" i="49"/>
  <c r="X10" i="49"/>
  <c r="K10" i="49"/>
  <c r="Y10" i="49"/>
  <c r="X9" i="49"/>
  <c r="K9" i="49"/>
  <c r="Y9" i="49"/>
  <c r="K8" i="49"/>
  <c r="Y8" i="49"/>
  <c r="X8" i="49"/>
  <c r="K7" i="49"/>
  <c r="Y7" i="49"/>
  <c r="X7" i="49"/>
  <c r="X6" i="49"/>
  <c r="K6" i="49"/>
  <c r="Y6" i="49"/>
  <c r="X5" i="49"/>
  <c r="K5" i="49"/>
  <c r="Y5" i="49"/>
  <c r="D14" i="38"/>
  <c r="G14" i="38"/>
  <c r="B32" i="38"/>
  <c r="C15" i="37"/>
  <c r="C28" i="3"/>
  <c r="C15" i="3"/>
  <c r="C21" i="3" s="1"/>
  <c r="F20" i="43"/>
  <c r="F29" i="43"/>
  <c r="F40" i="43"/>
  <c r="E20" i="43"/>
  <c r="E29" i="43"/>
  <c r="E40" i="43"/>
  <c r="C10" i="43"/>
  <c r="C20" i="43"/>
  <c r="C29" i="43"/>
  <c r="C40" i="43"/>
  <c r="C45" i="43"/>
  <c r="D80" i="35"/>
  <c r="C19" i="6"/>
  <c r="D19" i="6"/>
  <c r="E19" i="6"/>
  <c r="B31" i="2"/>
  <c r="D61" i="1"/>
  <c r="C61" i="1"/>
  <c r="D54" i="1"/>
  <c r="D48" i="1"/>
  <c r="D34" i="1"/>
  <c r="D30" i="1"/>
  <c r="D44" i="1"/>
  <c r="C54" i="1"/>
  <c r="C48" i="1"/>
  <c r="C34" i="1"/>
  <c r="C30" i="1"/>
  <c r="C44" i="1"/>
  <c r="D20" i="1"/>
  <c r="D17" i="1"/>
  <c r="D8" i="1"/>
  <c r="D27" i="1"/>
  <c r="C20" i="1"/>
  <c r="C17" i="1"/>
  <c r="C8" i="1"/>
  <c r="C27" i="1"/>
  <c r="F12" i="3"/>
  <c r="F13" i="3"/>
  <c r="F11" i="3"/>
  <c r="D10" i="3"/>
  <c r="F8" i="3"/>
  <c r="D13" i="42"/>
  <c r="D12" i="42"/>
  <c r="D11" i="42"/>
  <c r="D22" i="42"/>
  <c r="D21" i="42"/>
  <c r="D20" i="42"/>
  <c r="D19" i="42"/>
  <c r="D18" i="42"/>
  <c r="D17" i="42"/>
  <c r="D16" i="42"/>
  <c r="D15" i="42"/>
  <c r="D14" i="42" s="1"/>
  <c r="D40" i="42" s="1"/>
  <c r="D26" i="42"/>
  <c r="D25" i="42"/>
  <c r="D24" i="42"/>
  <c r="D29" i="42"/>
  <c r="D28" i="42"/>
  <c r="D36" i="42"/>
  <c r="D33" i="42"/>
  <c r="D32" i="42"/>
  <c r="D31" i="42"/>
  <c r="D34" i="42"/>
  <c r="F35" i="42"/>
  <c r="E35" i="42"/>
  <c r="C35" i="42"/>
  <c r="B35" i="42"/>
  <c r="F30" i="42"/>
  <c r="E30" i="42"/>
  <c r="C30" i="42"/>
  <c r="B30" i="42"/>
  <c r="F27" i="42"/>
  <c r="E27" i="42"/>
  <c r="C27" i="42"/>
  <c r="B27" i="42"/>
  <c r="F23" i="42"/>
  <c r="E23" i="42"/>
  <c r="C23" i="42"/>
  <c r="B23" i="42"/>
  <c r="C14" i="42"/>
  <c r="B14" i="42"/>
  <c r="B40" i="42" s="1"/>
  <c r="F10" i="42"/>
  <c r="E10" i="42"/>
  <c r="C10" i="42"/>
  <c r="B10" i="42"/>
  <c r="E11" i="21"/>
  <c r="E12" i="21"/>
  <c r="E13" i="21"/>
  <c r="E10" i="21"/>
  <c r="D31" i="24"/>
  <c r="D9" i="20"/>
  <c r="D12" i="20"/>
  <c r="D15" i="20" s="1"/>
  <c r="D19" i="20" s="1"/>
  <c r="D21" i="20" s="1"/>
  <c r="E9" i="20"/>
  <c r="E12" i="20"/>
  <c r="E15" i="20" s="1"/>
  <c r="E19" i="20" s="1"/>
  <c r="E21" i="20" s="1"/>
  <c r="G13" i="34"/>
  <c r="G16" i="34"/>
  <c r="D16" i="34"/>
  <c r="D13" i="34"/>
  <c r="C16" i="34"/>
  <c r="C13" i="34"/>
  <c r="G36" i="34"/>
  <c r="G33" i="34"/>
  <c r="C36" i="34"/>
  <c r="D36" i="34"/>
  <c r="C33" i="34"/>
  <c r="D33" i="34"/>
  <c r="E65" i="23"/>
  <c r="C24" i="34"/>
  <c r="G24" i="34"/>
  <c r="H25" i="34" s="1"/>
  <c r="D24" i="34"/>
  <c r="D56" i="23"/>
  <c r="C56" i="23"/>
  <c r="F16" i="3"/>
  <c r="E31" i="33"/>
  <c r="E30" i="33"/>
  <c r="E29" i="33"/>
  <c r="E28" i="33"/>
  <c r="E27" i="33"/>
  <c r="E26" i="33"/>
  <c r="E25" i="33"/>
  <c r="E24" i="33"/>
  <c r="E23" i="33"/>
  <c r="E22" i="33"/>
  <c r="E11" i="33"/>
  <c r="E12" i="33"/>
  <c r="E13" i="33"/>
  <c r="E14" i="33"/>
  <c r="E15" i="33"/>
  <c r="E16" i="33"/>
  <c r="E17" i="33"/>
  <c r="E18" i="33"/>
  <c r="E19" i="33"/>
  <c r="E10" i="33"/>
  <c r="D32" i="33"/>
  <c r="C32" i="33"/>
  <c r="E32" i="33"/>
  <c r="D20" i="33"/>
  <c r="D33" i="33" s="1"/>
  <c r="C20" i="33"/>
  <c r="C33" i="33" s="1"/>
  <c r="E27" i="20"/>
  <c r="D27" i="20"/>
  <c r="C27" i="20"/>
  <c r="C12" i="20"/>
  <c r="C9" i="20"/>
  <c r="C40" i="42"/>
  <c r="G29" i="42"/>
  <c r="G34" i="42"/>
  <c r="G36" i="42"/>
  <c r="G35" i="42"/>
  <c r="G38" i="42"/>
  <c r="G26" i="42"/>
  <c r="G25" i="42"/>
  <c r="G18" i="42"/>
  <c r="G20" i="42"/>
  <c r="G21" i="42"/>
  <c r="G22" i="42"/>
  <c r="G16" i="42"/>
  <c r="D35" i="42"/>
  <c r="D32" i="19"/>
  <c r="C32" i="19"/>
  <c r="D20" i="19"/>
  <c r="D33" i="19"/>
  <c r="C20" i="19"/>
  <c r="E30" i="16"/>
  <c r="E29" i="16"/>
  <c r="E28" i="16"/>
  <c r="E27" i="16"/>
  <c r="E26" i="16"/>
  <c r="E25" i="16"/>
  <c r="E24" i="16"/>
  <c r="E23" i="16"/>
  <c r="E22" i="16"/>
  <c r="E21" i="16"/>
  <c r="E10" i="16"/>
  <c r="E11" i="16"/>
  <c r="E12" i="16"/>
  <c r="E13" i="16"/>
  <c r="E14" i="16"/>
  <c r="E15" i="16"/>
  <c r="E16" i="16"/>
  <c r="E17" i="16"/>
  <c r="E18" i="16"/>
  <c r="E9" i="16"/>
  <c r="D31" i="16"/>
  <c r="C31" i="16"/>
  <c r="D19" i="16"/>
  <c r="C19" i="16"/>
  <c r="C32" i="16"/>
  <c r="C33" i="19"/>
  <c r="G32" i="42"/>
  <c r="G33" i="42"/>
  <c r="D27" i="42"/>
  <c r="D32" i="16"/>
  <c r="D23" i="42"/>
  <c r="C15" i="20"/>
  <c r="C19" i="20" s="1"/>
  <c r="C21" i="20" s="1"/>
  <c r="G13" i="42"/>
  <c r="G17" i="42"/>
  <c r="G19" i="42"/>
  <c r="G37" i="42"/>
  <c r="D10" i="42"/>
  <c r="D30" i="42"/>
  <c r="G12" i="42"/>
  <c r="G28" i="42"/>
  <c r="G27" i="42"/>
  <c r="G24" i="42"/>
  <c r="G23" i="42"/>
  <c r="G39" i="42"/>
  <c r="G11" i="42"/>
  <c r="G31" i="42"/>
  <c r="E31" i="16"/>
  <c r="E19" i="16"/>
  <c r="E32" i="16" s="1"/>
  <c r="G30" i="42"/>
  <c r="G10" i="42"/>
  <c r="B40" i="43"/>
  <c r="B29" i="43"/>
  <c r="D29" i="43"/>
  <c r="B20" i="43"/>
  <c r="B10" i="43"/>
  <c r="D10" i="43" s="1"/>
  <c r="D11" i="43"/>
  <c r="G11" i="43"/>
  <c r="D12" i="43"/>
  <c r="G12" i="43"/>
  <c r="D13" i="43"/>
  <c r="G13" i="43"/>
  <c r="D14" i="43"/>
  <c r="G14" i="43"/>
  <c r="D15" i="43"/>
  <c r="G15" i="43"/>
  <c r="D16" i="43"/>
  <c r="G16" i="43"/>
  <c r="D17" i="43"/>
  <c r="G17" i="43"/>
  <c r="D18" i="43"/>
  <c r="D19" i="43"/>
  <c r="G19" i="43"/>
  <c r="D20" i="43"/>
  <c r="D21" i="43"/>
  <c r="G21" i="43"/>
  <c r="D22" i="43"/>
  <c r="D23" i="43"/>
  <c r="G23" i="43"/>
  <c r="D24" i="43"/>
  <c r="G24" i="43"/>
  <c r="D25" i="43"/>
  <c r="G25" i="43"/>
  <c r="D26" i="43"/>
  <c r="G26" i="43"/>
  <c r="D27" i="43"/>
  <c r="G27" i="43"/>
  <c r="D28" i="43"/>
  <c r="G28" i="43"/>
  <c r="D30" i="43"/>
  <c r="G30" i="43"/>
  <c r="D31" i="43"/>
  <c r="G31" i="43"/>
  <c r="D32" i="43"/>
  <c r="G32" i="43"/>
  <c r="D33" i="43"/>
  <c r="G33" i="43"/>
  <c r="D34" i="43"/>
  <c r="G34" i="43"/>
  <c r="D35" i="43"/>
  <c r="G35" i="43"/>
  <c r="D36" i="43"/>
  <c r="G36" i="43"/>
  <c r="D37" i="43"/>
  <c r="G37" i="43"/>
  <c r="D38" i="43"/>
  <c r="G38" i="43"/>
  <c r="D39" i="43"/>
  <c r="G39" i="43"/>
  <c r="D40" i="43"/>
  <c r="D41" i="43"/>
  <c r="D42" i="43"/>
  <c r="G42" i="43"/>
  <c r="D43" i="43"/>
  <c r="G43" i="43"/>
  <c r="D44" i="43"/>
  <c r="G44" i="43"/>
  <c r="G11" i="45"/>
  <c r="G13" i="45"/>
  <c r="G15" i="45"/>
  <c r="G17" i="45"/>
  <c r="G19" i="45"/>
  <c r="G21" i="45"/>
  <c r="D11" i="45"/>
  <c r="D12" i="45"/>
  <c r="G12" i="45"/>
  <c r="D13" i="45"/>
  <c r="D14" i="45"/>
  <c r="G14" i="45"/>
  <c r="D15" i="45"/>
  <c r="D16" i="45"/>
  <c r="G16" i="45"/>
  <c r="D17" i="45"/>
  <c r="D18" i="45"/>
  <c r="G18" i="45"/>
  <c r="D19" i="45"/>
  <c r="D20" i="45"/>
  <c r="G20" i="45" s="1"/>
  <c r="D21" i="45"/>
  <c r="D22" i="45"/>
  <c r="G22" i="45"/>
  <c r="D10" i="45"/>
  <c r="C15" i="44"/>
  <c r="B15" i="44"/>
  <c r="D15" i="44" s="1"/>
  <c r="D11" i="44"/>
  <c r="G11" i="44"/>
  <c r="D12" i="44"/>
  <c r="G12" i="44"/>
  <c r="D13" i="44"/>
  <c r="D10" i="44"/>
  <c r="D31" i="38"/>
  <c r="C32" i="38"/>
  <c r="G21" i="38"/>
  <c r="G22" i="38"/>
  <c r="G23" i="38"/>
  <c r="G24" i="38"/>
  <c r="G25" i="38"/>
  <c r="G26" i="38"/>
  <c r="G27" i="38"/>
  <c r="G28" i="38"/>
  <c r="G29" i="38"/>
  <c r="G30" i="38"/>
  <c r="G31" i="38"/>
  <c r="D10" i="38"/>
  <c r="G10" i="38"/>
  <c r="D12" i="38"/>
  <c r="D15" i="38"/>
  <c r="G15" i="38"/>
  <c r="D16" i="38"/>
  <c r="G16" i="38"/>
  <c r="D21" i="38"/>
  <c r="D22" i="38"/>
  <c r="D23" i="38"/>
  <c r="D24" i="38"/>
  <c r="D25" i="38"/>
  <c r="D26" i="38"/>
  <c r="D27" i="38"/>
  <c r="D28" i="38"/>
  <c r="D29" i="38"/>
  <c r="D30" i="38"/>
  <c r="D9" i="38"/>
  <c r="D10" i="35"/>
  <c r="G10" i="35" s="1"/>
  <c r="D11" i="35"/>
  <c r="G11" i="35"/>
  <c r="D12" i="35"/>
  <c r="G12" i="35" s="1"/>
  <c r="D13" i="35"/>
  <c r="G13" i="35" s="1"/>
  <c r="D14" i="35"/>
  <c r="G14" i="35" s="1"/>
  <c r="D15" i="35"/>
  <c r="G15" i="35"/>
  <c r="D16" i="35"/>
  <c r="G16" i="35"/>
  <c r="D18" i="35"/>
  <c r="G18" i="35" s="1"/>
  <c r="D19" i="35"/>
  <c r="G19" i="35" s="1"/>
  <c r="D20" i="35"/>
  <c r="G20" i="35"/>
  <c r="D21" i="35"/>
  <c r="G21" i="35"/>
  <c r="D22" i="35"/>
  <c r="G22" i="35" s="1"/>
  <c r="D23" i="35"/>
  <c r="G23" i="35" s="1"/>
  <c r="D24" i="35"/>
  <c r="G24" i="35"/>
  <c r="D25" i="35"/>
  <c r="G25" i="35"/>
  <c r="D26" i="35"/>
  <c r="G26" i="35"/>
  <c r="D28" i="35"/>
  <c r="G28" i="35" s="1"/>
  <c r="D29" i="35"/>
  <c r="G29" i="35" s="1"/>
  <c r="D30" i="35"/>
  <c r="G30" i="35" s="1"/>
  <c r="D31" i="35"/>
  <c r="G31" i="35" s="1"/>
  <c r="D32" i="35"/>
  <c r="G32" i="35"/>
  <c r="D33" i="35"/>
  <c r="G33" i="35" s="1"/>
  <c r="D34" i="35"/>
  <c r="G34" i="35" s="1"/>
  <c r="D35" i="35"/>
  <c r="G35" i="35" s="1"/>
  <c r="D36" i="35"/>
  <c r="G36" i="35" s="1"/>
  <c r="D38" i="35"/>
  <c r="G38" i="35"/>
  <c r="D39" i="35"/>
  <c r="G39" i="35"/>
  <c r="D40" i="35"/>
  <c r="G40" i="35"/>
  <c r="D41" i="35"/>
  <c r="G41" i="35"/>
  <c r="D42" i="35"/>
  <c r="G42" i="35"/>
  <c r="D43" i="35"/>
  <c r="G43" i="35"/>
  <c r="D44" i="35"/>
  <c r="G44" i="35"/>
  <c r="D45" i="35"/>
  <c r="G45" i="35"/>
  <c r="D46" i="35"/>
  <c r="G46" i="35"/>
  <c r="D48" i="35"/>
  <c r="G48" i="35"/>
  <c r="D49" i="35"/>
  <c r="G49" i="35"/>
  <c r="D50" i="35"/>
  <c r="G50" i="35"/>
  <c r="D51" i="35"/>
  <c r="G51" i="35"/>
  <c r="D52" i="35"/>
  <c r="G52" i="35"/>
  <c r="D53" i="35"/>
  <c r="G53" i="35"/>
  <c r="D54" i="35"/>
  <c r="G54" i="35"/>
  <c r="D55" i="35"/>
  <c r="G55" i="35"/>
  <c r="D56" i="35"/>
  <c r="G56" i="35"/>
  <c r="D58" i="35"/>
  <c r="G58" i="35"/>
  <c r="D59" i="35"/>
  <c r="G59" i="35"/>
  <c r="D60" i="35"/>
  <c r="G60" i="35"/>
  <c r="D62" i="35"/>
  <c r="G62" i="35"/>
  <c r="D63" i="35"/>
  <c r="G63" i="35"/>
  <c r="D64" i="35"/>
  <c r="G64" i="35"/>
  <c r="D65" i="35"/>
  <c r="G65" i="35"/>
  <c r="D66" i="35"/>
  <c r="G66" i="35"/>
  <c r="D67" i="35"/>
  <c r="G67" i="35"/>
  <c r="D68" i="35"/>
  <c r="G68" i="35"/>
  <c r="D70" i="35"/>
  <c r="G70" i="35"/>
  <c r="D71" i="35"/>
  <c r="G71" i="35"/>
  <c r="D72" i="35"/>
  <c r="G72" i="35"/>
  <c r="D74" i="35"/>
  <c r="G74" i="35"/>
  <c r="D75" i="35"/>
  <c r="G75" i="35"/>
  <c r="D76" i="35"/>
  <c r="G76" i="35"/>
  <c r="D77" i="35"/>
  <c r="G77" i="35"/>
  <c r="D78" i="35"/>
  <c r="G78" i="35"/>
  <c r="D79" i="35"/>
  <c r="G79" i="35"/>
  <c r="G80" i="35"/>
  <c r="D48" i="34"/>
  <c r="G48" i="34"/>
  <c r="C48" i="34"/>
  <c r="C42" i="34"/>
  <c r="D42" i="34"/>
  <c r="G42" i="34"/>
  <c r="D29" i="34"/>
  <c r="C29" i="34"/>
  <c r="G29" i="34"/>
  <c r="H31" i="34"/>
  <c r="H32" i="34"/>
  <c r="H34" i="34"/>
  <c r="H35" i="34"/>
  <c r="H37" i="34"/>
  <c r="H38" i="34"/>
  <c r="H39" i="34"/>
  <c r="H40" i="34"/>
  <c r="H43" i="34"/>
  <c r="H44" i="34"/>
  <c r="H42" i="34" s="1"/>
  <c r="H45" i="34"/>
  <c r="H46" i="34"/>
  <c r="H49" i="34"/>
  <c r="H48" i="34"/>
  <c r="E31" i="34"/>
  <c r="E32" i="34"/>
  <c r="E34" i="34"/>
  <c r="E35" i="34"/>
  <c r="E37" i="34"/>
  <c r="E38" i="34"/>
  <c r="E39" i="34"/>
  <c r="E40" i="34"/>
  <c r="E43" i="34"/>
  <c r="E44" i="34"/>
  <c r="E42" i="34" s="1"/>
  <c r="E45" i="34"/>
  <c r="E46" i="34"/>
  <c r="E49" i="34"/>
  <c r="E48" i="34"/>
  <c r="H30" i="34"/>
  <c r="E30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9" i="34"/>
  <c r="F27" i="6"/>
  <c r="G27" i="6" s="1"/>
  <c r="F28" i="6"/>
  <c r="G28" i="6"/>
  <c r="F26" i="6"/>
  <c r="G26" i="6"/>
  <c r="F25" i="6"/>
  <c r="G25" i="6" s="1"/>
  <c r="F24" i="6"/>
  <c r="G24" i="6" s="1"/>
  <c r="F23" i="6"/>
  <c r="G23" i="6" s="1"/>
  <c r="F22" i="6"/>
  <c r="G22" i="6" s="1"/>
  <c r="F21" i="6"/>
  <c r="G21" i="6"/>
  <c r="F20" i="6"/>
  <c r="G20" i="6"/>
  <c r="F12" i="6"/>
  <c r="G12" i="6" s="1"/>
  <c r="F13" i="6"/>
  <c r="G13" i="6" s="1"/>
  <c r="F14" i="6"/>
  <c r="G14" i="6"/>
  <c r="F15" i="6"/>
  <c r="G15" i="6"/>
  <c r="F16" i="6"/>
  <c r="G16" i="6"/>
  <c r="F17" i="6"/>
  <c r="G17" i="6"/>
  <c r="F11" i="6"/>
  <c r="G11" i="6" s="1"/>
  <c r="B18" i="2"/>
  <c r="D47" i="35"/>
  <c r="G47" i="35"/>
  <c r="G40" i="43"/>
  <c r="H36" i="34"/>
  <c r="G20" i="43"/>
  <c r="D57" i="35"/>
  <c r="G57" i="35"/>
  <c r="G12" i="38"/>
  <c r="D32" i="38"/>
  <c r="D37" i="35"/>
  <c r="G37" i="35"/>
  <c r="D69" i="35"/>
  <c r="G69" i="35"/>
  <c r="D61" i="35"/>
  <c r="G61" i="35"/>
  <c r="G41" i="43"/>
  <c r="G22" i="43"/>
  <c r="G29" i="43"/>
  <c r="G10" i="44"/>
  <c r="D51" i="34"/>
  <c r="G51" i="34"/>
  <c r="H33" i="34"/>
  <c r="E36" i="34"/>
  <c r="E33" i="34"/>
  <c r="C51" i="34"/>
  <c r="F9" i="20"/>
  <c r="H52" i="34"/>
  <c r="H29" i="34"/>
  <c r="E29" i="34"/>
  <c r="B15" i="37"/>
  <c r="D15" i="37" s="1"/>
  <c r="D13" i="37"/>
  <c r="D12" i="37"/>
  <c r="D11" i="37"/>
  <c r="D10" i="37"/>
  <c r="D9" i="37"/>
  <c r="D9" i="21"/>
  <c r="D17" i="21"/>
  <c r="F29" i="7"/>
  <c r="F24" i="7"/>
  <c r="F35" i="7"/>
  <c r="E29" i="7"/>
  <c r="E24" i="7"/>
  <c r="F15" i="7"/>
  <c r="E15" i="7"/>
  <c r="F10" i="7"/>
  <c r="E10" i="7"/>
  <c r="E21" i="7"/>
  <c r="E10" i="6"/>
  <c r="D10" i="6"/>
  <c r="C10" i="6"/>
  <c r="C60" i="5"/>
  <c r="B60" i="5"/>
  <c r="C53" i="5"/>
  <c r="B53" i="5"/>
  <c r="C48" i="5"/>
  <c r="B48" i="5"/>
  <c r="C39" i="5"/>
  <c r="B39" i="5"/>
  <c r="C29" i="5"/>
  <c r="B29" i="5"/>
  <c r="B28" i="5" s="1"/>
  <c r="C17" i="5"/>
  <c r="B17" i="5"/>
  <c r="C8" i="5"/>
  <c r="B8" i="5"/>
  <c r="F21" i="7"/>
  <c r="B47" i="5"/>
  <c r="C7" i="5"/>
  <c r="C47" i="5"/>
  <c r="B7" i="5"/>
  <c r="G10" i="37"/>
  <c r="G11" i="37"/>
  <c r="C28" i="5"/>
  <c r="G12" i="37"/>
  <c r="G13" i="37"/>
  <c r="E8" i="6"/>
  <c r="E35" i="7"/>
  <c r="E39" i="7"/>
  <c r="F39" i="7"/>
  <c r="F32" i="3"/>
  <c r="F31" i="3"/>
  <c r="F30" i="3"/>
  <c r="F29" i="3"/>
  <c r="E28" i="3"/>
  <c r="D28" i="3"/>
  <c r="B28" i="3"/>
  <c r="F26" i="3"/>
  <c r="F25" i="3"/>
  <c r="E23" i="3"/>
  <c r="D23" i="3"/>
  <c r="C23" i="3"/>
  <c r="F19" i="3"/>
  <c r="F18" i="3"/>
  <c r="F17" i="3"/>
  <c r="E15" i="3"/>
  <c r="D15" i="3"/>
  <c r="D21" i="3" s="1"/>
  <c r="B15" i="3"/>
  <c r="E10" i="3"/>
  <c r="E21" i="3" s="1"/>
  <c r="E34" i="3" s="1"/>
  <c r="C10" i="3"/>
  <c r="B10" i="3"/>
  <c r="B21" i="3" s="1"/>
  <c r="D51" i="23"/>
  <c r="D61" i="23"/>
  <c r="C51" i="23"/>
  <c r="C61" i="23"/>
  <c r="D44" i="23"/>
  <c r="C44" i="23"/>
  <c r="D40" i="23"/>
  <c r="D48" i="23" s="1"/>
  <c r="C40" i="23"/>
  <c r="D20" i="23"/>
  <c r="C20" i="23"/>
  <c r="D8" i="23"/>
  <c r="C8" i="23"/>
  <c r="C37" i="23" s="1"/>
  <c r="C63" i="23" s="1"/>
  <c r="C66" i="23" s="1"/>
  <c r="E66" i="23" s="1"/>
  <c r="C48" i="23"/>
  <c r="D37" i="23"/>
  <c r="F20" i="20"/>
  <c r="F46" i="2"/>
  <c r="E46" i="2"/>
  <c r="F40" i="2"/>
  <c r="E40" i="2"/>
  <c r="F36" i="2"/>
  <c r="E36" i="2"/>
  <c r="E50" i="2" s="1"/>
  <c r="C31" i="2"/>
  <c r="F31" i="2"/>
  <c r="E31" i="2"/>
  <c r="F18" i="2"/>
  <c r="F33" i="2" s="1"/>
  <c r="F52" i="2" s="1"/>
  <c r="E18" i="2"/>
  <c r="C18" i="2"/>
  <c r="F24" i="3"/>
  <c r="B23" i="3"/>
  <c r="E33" i="2"/>
  <c r="F50" i="2"/>
  <c r="D73" i="35"/>
  <c r="G73" i="35"/>
  <c r="F23" i="3" l="1"/>
  <c r="B34" i="3"/>
  <c r="G37" i="3" s="1"/>
  <c r="C64" i="1"/>
  <c r="C34" i="3"/>
  <c r="F10" i="3"/>
  <c r="E20" i="33"/>
  <c r="E33" i="33" s="1"/>
  <c r="F81" i="35"/>
  <c r="F15" i="42" s="1"/>
  <c r="D23" i="45"/>
  <c r="B45" i="43"/>
  <c r="D45" i="43" s="1"/>
  <c r="D27" i="35"/>
  <c r="G27" i="35" s="1"/>
  <c r="E81" i="35"/>
  <c r="E15" i="42" s="1"/>
  <c r="G17" i="35"/>
  <c r="C81" i="35"/>
  <c r="H24" i="45" s="1"/>
  <c r="H32" i="38"/>
  <c r="H40" i="42"/>
  <c r="D9" i="35"/>
  <c r="G9" i="35" s="1"/>
  <c r="H15" i="44"/>
  <c r="H15" i="37"/>
  <c r="F12" i="20"/>
  <c r="H23" i="45"/>
  <c r="H51" i="34"/>
  <c r="E51" i="34"/>
  <c r="E6" i="21"/>
  <c r="H24" i="34"/>
  <c r="D23" i="21"/>
  <c r="E24" i="34"/>
  <c r="G39" i="7"/>
  <c r="C8" i="6"/>
  <c r="D8" i="6"/>
  <c r="F8" i="6" s="1"/>
  <c r="G8" i="6" s="1"/>
  <c r="F19" i="6"/>
  <c r="G19" i="6" s="1"/>
  <c r="F10" i="6"/>
  <c r="H10" i="6" s="1"/>
  <c r="G10" i="6"/>
  <c r="D63" i="23"/>
  <c r="D66" i="23" s="1"/>
  <c r="D34" i="3"/>
  <c r="F28" i="3"/>
  <c r="F15" i="3"/>
  <c r="F21" i="3" s="1"/>
  <c r="D64" i="1"/>
  <c r="D66" i="1" s="1"/>
  <c r="C66" i="1"/>
  <c r="E66" i="1" s="1"/>
  <c r="E23" i="21"/>
  <c r="E52" i="2"/>
  <c r="C33" i="2"/>
  <c r="G53" i="2" s="1"/>
  <c r="B33" i="2"/>
  <c r="G52" i="2" s="1"/>
  <c r="H19" i="6" l="1"/>
  <c r="G44" i="3"/>
  <c r="G43" i="3"/>
  <c r="F14" i="42"/>
  <c r="F40" i="42" s="1"/>
  <c r="H44" i="42" s="1"/>
  <c r="F18" i="43"/>
  <c r="F10" i="43" s="1"/>
  <c r="F45" i="43" s="1"/>
  <c r="F10" i="45"/>
  <c r="F23" i="45" s="1"/>
  <c r="F13" i="44"/>
  <c r="F15" i="44" s="1"/>
  <c r="H19" i="44" s="1"/>
  <c r="F9" i="38"/>
  <c r="F32" i="38" s="1"/>
  <c r="F9" i="37"/>
  <c r="F15" i="37" s="1"/>
  <c r="H19" i="37" s="1"/>
  <c r="E18" i="43"/>
  <c r="E10" i="45"/>
  <c r="E13" i="44"/>
  <c r="E9" i="38"/>
  <c r="E9" i="37"/>
  <c r="H35" i="3"/>
  <c r="H36" i="38"/>
  <c r="H49" i="43"/>
  <c r="H27" i="45"/>
  <c r="H45" i="43"/>
  <c r="H16" i="37"/>
  <c r="C7" i="24"/>
  <c r="C39" i="24" s="1"/>
  <c r="D39" i="24" s="1"/>
  <c r="H41" i="42"/>
  <c r="H16" i="44"/>
  <c r="D81" i="35"/>
  <c r="H25" i="45" s="1"/>
  <c r="H33" i="38"/>
  <c r="H46" i="43"/>
  <c r="F34" i="3"/>
  <c r="G36" i="3" s="1"/>
  <c r="H8" i="6"/>
  <c r="E32" i="38" l="1"/>
  <c r="G9" i="38"/>
  <c r="E23" i="45"/>
  <c r="G10" i="45"/>
  <c r="E14" i="42"/>
  <c r="E40" i="42" s="1"/>
  <c r="H43" i="42" s="1"/>
  <c r="G15" i="42"/>
  <c r="G14" i="42" s="1"/>
  <c r="G40" i="42" s="1"/>
  <c r="E15" i="37"/>
  <c r="G9" i="37"/>
  <c r="E15" i="44"/>
  <c r="G13" i="44"/>
  <c r="E10" i="43"/>
  <c r="G18" i="43"/>
  <c r="D7" i="24"/>
  <c r="G81" i="35"/>
  <c r="H34" i="38"/>
  <c r="H17" i="37"/>
  <c r="H17" i="44"/>
  <c r="H42" i="42"/>
  <c r="H47" i="43"/>
  <c r="G34" i="3"/>
  <c r="E45" i="43" l="1"/>
  <c r="G10" i="43"/>
  <c r="G15" i="44"/>
  <c r="H20" i="44" s="1"/>
  <c r="H18" i="44"/>
  <c r="G15" i="37"/>
  <c r="H18" i="37"/>
  <c r="G23" i="45"/>
  <c r="H28" i="45" s="1"/>
  <c r="H26" i="45"/>
  <c r="G32" i="38"/>
  <c r="H35" i="38"/>
  <c r="H37" i="38"/>
  <c r="H45" i="42"/>
  <c r="H20" i="37"/>
  <c r="G45" i="43" l="1"/>
  <c r="H50" i="43" s="1"/>
  <c r="H48" i="43"/>
</calcChain>
</file>

<file path=xl/comments1.xml><?xml version="1.0" encoding="utf-8"?>
<comments xmlns="http://schemas.openxmlformats.org/spreadsheetml/2006/main">
  <authors>
    <author>Claudia</author>
  </authors>
  <commentList>
    <comment ref="C66" authorId="0" shapeId="0">
      <text>
        <r>
          <rPr>
            <b/>
            <sz val="9"/>
            <color indexed="81"/>
            <rFont val="Tahoma"/>
            <family val="2"/>
          </rPr>
          <t>EVALUACIÓN:
VERIFICAR QUE COINCIDAN LOS MONTOS CON LO REPORTADO EN EL FORMATO ETCA-I-01 EN CADA EJERCICIO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3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TOTAL DE PASIVO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comments7.xml><?xml version="1.0" encoding="utf-8"?>
<comments xmlns="http://schemas.openxmlformats.org/spreadsheetml/2006/main">
  <authors>
    <author>René Estrada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</commentList>
</comments>
</file>

<file path=xl/comments8.xml><?xml version="1.0" encoding="utf-8"?>
<comments xmlns="http://schemas.openxmlformats.org/spreadsheetml/2006/main">
  <authors>
    <author>Claudia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ETCA-II-11 EN EL TOTAL DE LA COLUMNA DE EGRESOS DEVENGADO ANUAL (4)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ETCA-I-02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<sst xmlns="http://schemas.openxmlformats.org/spreadsheetml/2006/main" count="1330" uniqueCount="807">
  <si>
    <t>Subsecretaria de Planeación del Desarrollo</t>
  </si>
  <si>
    <t>Dirección General de Planeación y Evaluación</t>
  </si>
  <si>
    <t>Segundo Informe Trimestral 2015</t>
  </si>
  <si>
    <t xml:space="preserve">Ley General de Contabilidad Gubernamental </t>
  </si>
  <si>
    <t>Artículos del 44 al 59</t>
  </si>
  <si>
    <t>Formatos</t>
  </si>
  <si>
    <t>Listado de Formatos ETCA "Evaluación Trimestral Contabilidad Armonizada"</t>
  </si>
  <si>
    <t>No</t>
  </si>
  <si>
    <t>Formato</t>
  </si>
  <si>
    <t>Descripción</t>
  </si>
  <si>
    <t>I.- Información Contable</t>
  </si>
  <si>
    <t>ETCA-I-01</t>
  </si>
  <si>
    <t>Estado de Situacion Financiera</t>
  </si>
  <si>
    <t>ETCA-I-02</t>
  </si>
  <si>
    <t>Estado de Actividades</t>
  </si>
  <si>
    <t>ETCA-I-03</t>
  </si>
  <si>
    <t xml:space="preserve">Estado de Variación en la Hacienda Pública </t>
  </si>
  <si>
    <t>ETCA-I-04</t>
  </si>
  <si>
    <t>Estado de Cambios en la Situación Financiera</t>
  </si>
  <si>
    <t>ETCA-I-05</t>
  </si>
  <si>
    <t>Flujo de Efectivo</t>
  </si>
  <si>
    <t>ETCA-I-06</t>
  </si>
  <si>
    <t>Estado Analítico del Activo</t>
  </si>
  <si>
    <t>ETCA-I-07</t>
  </si>
  <si>
    <t>Estado Analítico de la Deuda y Otros Pasivos</t>
  </si>
  <si>
    <t>ETCA-I-08</t>
  </si>
  <si>
    <t>Informe sobre Pasivos Contingentes</t>
  </si>
  <si>
    <t>ETCA-I-09</t>
  </si>
  <si>
    <t>Notas a los Estados Financieros</t>
  </si>
  <si>
    <t>II.- Información Presupuestaria</t>
  </si>
  <si>
    <t>ETCA-II-10</t>
  </si>
  <si>
    <t>Estado Analítico de Ingresos</t>
  </si>
  <si>
    <t>ETCA-II-10-A</t>
  </si>
  <si>
    <t>Conciliacion entre los Ingresos Presupuestarios y Contables</t>
  </si>
  <si>
    <t>ETCA-II-11</t>
  </si>
  <si>
    <t>Estado Analítico del Ejercicio Presupuesto de Egresos 
Clasificación Por Objeto del Gasto (Capitulo y Concepto)</t>
  </si>
  <si>
    <t>ETCA-II-11-A</t>
  </si>
  <si>
    <t>Estado Analítico del Ejercicio Presupuesto de Egresos 
Clasificación Económica (Por Tipo de Gasto)</t>
  </si>
  <si>
    <t>ETCA-II-11-B1</t>
  </si>
  <si>
    <t>Estado Analítico del Ejercicio Presupuesto de Egresos
Por Unidad Administrativa</t>
  </si>
  <si>
    <t>ETCA-II-11-B2</t>
  </si>
  <si>
    <t>Estado Analítico del Ejercicio Presupuesto de Egresos
Clasificación Administrativa, Por Poderes</t>
  </si>
  <si>
    <t>ETCA-II-11-B3</t>
  </si>
  <si>
    <t>Estado Analítico del Ejercicio Presupuesto de Egresos
Clasificación Administrativa, Por tipo de Organismo o Entidad Paraestatal</t>
  </si>
  <si>
    <t>ETCA-II-11-C</t>
  </si>
  <si>
    <t>Estado Analítico del Ejercicio Presupuesto de Egresos
Clasificación Funcional (Finalidad y Función)</t>
  </si>
  <si>
    <t>ETCA-II-11-D</t>
  </si>
  <si>
    <t>Conciliacion entre los Egresos Presupuestarios y los Gastos Contables</t>
  </si>
  <si>
    <t>ETCA-II-11-E</t>
  </si>
  <si>
    <t>Estado Analítico del Ejercicio Presupuesto de Egresos 
Por Partida del Gasto</t>
  </si>
  <si>
    <t>ETCA-II-12</t>
  </si>
  <si>
    <t>Endeudamiento Neto</t>
  </si>
  <si>
    <t>ETCA-II-13</t>
  </si>
  <si>
    <t>Interéses de la Deuda</t>
  </si>
  <si>
    <t>III.- Información Programática</t>
  </si>
  <si>
    <t>ETCA-III-14</t>
  </si>
  <si>
    <t>Gasto por Categoría Programática</t>
  </si>
  <si>
    <t>ETCA-III-15</t>
  </si>
  <si>
    <t>Seguimiento y Evaluación de Indicadores de Proyectos y Procesos 
(Gasto por Categoría Programática, Metas y Programas; Análisis Programático-Presupuestal con Indicadores de Resultados</t>
  </si>
  <si>
    <t>ETCA-III-15-A</t>
  </si>
  <si>
    <t>Programa Operativo Anual, Resumen de Indicadores por Unidad Ejecutora</t>
  </si>
  <si>
    <t>ETCA-III-16</t>
  </si>
  <si>
    <t>Gasto por Proyectos de Inversión</t>
  </si>
  <si>
    <t>IV.- Información Complementaria-Anexos</t>
  </si>
  <si>
    <t>La información complementaria para generar las cuentas nacionales y atender otros requerimientos</t>
  </si>
  <si>
    <t>provenientes de Organismos Internacionales de los que México es miembro.</t>
  </si>
  <si>
    <t>ETCA-IV-17</t>
  </si>
  <si>
    <t>Indicadores de Postura Fiscal</t>
  </si>
  <si>
    <t>ETCA-IV-18</t>
  </si>
  <si>
    <t>Relación de Cuentas Bancarias Productivas Específicas</t>
  </si>
  <si>
    <t>ETCA-IV-19</t>
  </si>
  <si>
    <t>Relación de Bienes que Componen su Patrimonio</t>
  </si>
  <si>
    <t>ETCA-IV-20</t>
  </si>
  <si>
    <t>Relación de esquemas bursátiles y de coberturas financieras</t>
  </si>
  <si>
    <t>Anexo</t>
  </si>
  <si>
    <t>Análisis de variaciones Programático-Presupuestal</t>
  </si>
  <si>
    <t>Sistema Estatal de Evaluación</t>
  </si>
  <si>
    <t>Estado de Situación Financiera</t>
  </si>
  <si>
    <t>(PESOS)</t>
  </si>
  <si>
    <t xml:space="preserve">TRIMESTRE: 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</si>
  <si>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</si>
  <si>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</si>
  <si>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</si>
  <si>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</si>
  <si>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</si>
  <si>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</si>
  <si>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</si>
  <si>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</si>
  <si>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</si>
  <si>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</si>
  <si>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</si>
  <si>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</si>
  <si>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</si>
  <si>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</si>
  <si>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</si>
  <si>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</si>
  <si>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</si>
  <si>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</si>
  <si>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</si>
  <si>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</si>
  <si>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</si>
  <si>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</si>
  <si>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</si>
  <si>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</si>
  <si>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</si>
  <si>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</si>
  <si>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</si>
  <si>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</si>
  <si>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</si>
  <si>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</si>
  <si>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</si>
  <si>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</si>
  <si>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</si>
  <si>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</si>
  <si>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</si>
  <si>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</si>
  <si>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</si>
  <si>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</si>
  <si>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</si>
  <si>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</si>
  <si>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</si>
  <si>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</si>
  <si>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</si>
  <si>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</si>
  <si>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</si>
  <si>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</si>
  <si>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</si>
  <si>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</si>
  <si>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</si>
  <si>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</si>
  <si>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</si>
  <si>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</si>
  <si>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</si>
  <si>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</si>
  <si>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</si>
  <si>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</si>
  <si>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</si>
  <si>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</si>
  <si>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</si>
  <si>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</si>
  <si>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 xml:space="preserve">                                                                                    (PESOS)</t>
  </si>
  <si>
    <t>INGRESOS Y OTROS BENEFICIOS</t>
  </si>
  <si>
    <t>Ingresos de la Gestión:</t>
  </si>
  <si>
    <t>Impuestos</t>
  </si>
  <si>
    <t xml:space="preserve"> 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</si>
  <si>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</si>
  <si>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</si>
  <si>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</si>
  <si>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</si>
  <si>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</si>
  <si>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</si>
  <si>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</si>
  <si>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</si>
  <si>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</si>
  <si>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</si>
  <si>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</si>
  <si>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</si>
  <si>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</si>
  <si>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</si>
  <si>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</si>
  <si>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</si>
  <si>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</si>
  <si>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</si>
  <si>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</si>
  <si>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</si>
  <si>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</si>
  <si>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</si>
  <si>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</si>
  <si>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</si>
  <si>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</si>
  <si>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</si>
  <si>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</si>
  <si>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</si>
  <si>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</si>
  <si>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</si>
  <si>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</si>
  <si>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</si>
  <si>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</si>
  <si>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</si>
  <si>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</si>
  <si>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</si>
  <si>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</si>
  <si>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</si>
  <si>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</si>
  <si>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</si>
  <si>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</si>
  <si>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</si>
  <si>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</si>
  <si>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</si>
  <si>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</si>
  <si>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</si>
  <si>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</si>
  <si>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</si>
  <si>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</si>
  <si>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</si>
  <si>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</si>
  <si>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</si>
  <si>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>Estado de Variación en la Hacienda Pública</t>
  </si>
  <si>
    <t xml:space="preserve">                                             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</si>
  <si>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</si>
  <si>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</si>
  <si>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</si>
  <si>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</si>
  <si>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</si>
  <si>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</si>
  <si>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</si>
  <si>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</si>
  <si>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Hacienda Pública / Patrimonio Neto Final del Ejercicio 2015</t>
  </si>
  <si>
    <t>Cambios en la Hacienda Pública / Patrimonio Neto del Ejercicio 2016</t>
  </si>
  <si>
    <t>Saldo Neto en la Hacienda Pública / Patrimonio 2016</t>
  </si>
  <si>
    <t xml:space="preserve">                                                                              (PESOS)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</si>
  <si>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</si>
  <si>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</si>
  <si>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</si>
  <si>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</si>
  <si>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</si>
  <si>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</si>
  <si>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</si>
  <si>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</si>
  <si>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</si>
  <si>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</si>
  <si>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</si>
  <si>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</si>
  <si>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</si>
  <si>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</si>
  <si>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</si>
  <si>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</si>
  <si>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</si>
  <si>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</si>
  <si>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</si>
  <si>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</si>
  <si>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</si>
  <si>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</si>
  <si>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</si>
  <si>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</si>
  <si>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</si>
  <si>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</si>
  <si>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</si>
  <si>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</si>
  <si>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</si>
  <si>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</si>
  <si>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</si>
  <si>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</si>
  <si>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OBSERVACIONES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</si>
  <si>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</si>
  <si>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</si>
  <si>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</si>
  <si>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</si>
  <si>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</si>
  <si>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</si>
  <si>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</si>
  <si>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</si>
  <si>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</si>
  <si>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</si>
  <si>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</si>
  <si>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</si>
  <si>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</si>
  <si>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</si>
  <si>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</si>
  <si>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</si>
  <si>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</si>
  <si>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</si>
  <si>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</si>
  <si>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</si>
  <si>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</si>
  <si>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</si>
  <si>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</si>
  <si>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</si>
  <si>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 xml:space="preserve">          (PESOS)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</si>
  <si>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</si>
  <si>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</si>
  <si>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</si>
  <si>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</si>
  <si>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</si>
  <si>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</si>
  <si>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</si>
  <si>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</si>
  <si>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</si>
  <si>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</si>
  <si>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</si>
  <si>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</si>
  <si>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</si>
  <si>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</si>
  <si>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</si>
  <si>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</si>
  <si>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</si>
  <si>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</si>
  <si>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</si>
  <si>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</si>
  <si>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</si>
  <si>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</si>
  <si>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</si>
  <si>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</si>
  <si>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</si>
  <si>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</si>
  <si>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</si>
  <si>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</si>
  <si>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</si>
  <si>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</si>
  <si>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</si>
  <si>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</si>
  <si>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</si>
  <si>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</si>
  <si>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</si>
  <si>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</si>
  <si>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</si>
  <si>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</si>
  <si>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</si>
  <si>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</si>
  <si>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</si>
  <si>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</si>
  <si>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 xml:space="preserve">   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</si>
  <si>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</si>
  <si>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</si>
  <si>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</si>
  <si>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</si>
  <si>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</si>
  <si>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</si>
  <si>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</si>
  <si>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</si>
  <si>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</si>
  <si>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</si>
  <si>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</si>
  <si>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</si>
  <si>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</si>
  <si>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</si>
  <si>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</si>
  <si>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</si>
  <si>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</si>
  <si>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</si>
  <si>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</si>
  <si>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Ampliaciones/ (Reducciones)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</si>
  <si>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</si>
  <si>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</si>
  <si>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</si>
  <si>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</si>
  <si>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</si>
  <si>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</si>
  <si>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</si>
  <si>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</si>
  <si>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</si>
  <si>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</si>
  <si>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</si>
  <si>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</si>
  <si>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</si>
  <si>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</si>
  <si>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</si>
  <si>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</si>
  <si>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</si>
  <si>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</si>
  <si>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</si>
  <si>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</si>
  <si>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</si>
  <si>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</si>
  <si>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</si>
  <si>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</si>
  <si>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</si>
  <si>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</si>
  <si>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</si>
  <si>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</si>
  <si>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</si>
  <si>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</si>
  <si>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</si>
  <si>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</si>
  <si>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</si>
  <si>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</si>
  <si>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</si>
  <si>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</si>
  <si>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</si>
  <si>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</si>
  <si>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</si>
  <si>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</si>
  <si>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</si>
  <si>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</si>
  <si>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</si>
  <si>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</si>
  <si>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</si>
  <si>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</si>
  <si>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</si>
  <si>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</si>
  <si>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</si>
  <si>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</si>
  <si>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</si>
  <si>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</si>
  <si>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</si>
  <si>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</si>
  <si>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</si>
  <si>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</si>
  <si>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</si>
  <si>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</si>
  <si>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</si>
  <si>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</si>
  <si>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</si>
  <si>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</si>
  <si>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</si>
  <si>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</si>
  <si>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</si>
  <si>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</si>
  <si>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</si>
  <si>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</si>
  <si>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</si>
  <si>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</si>
  <si>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</si>
  <si>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</si>
  <si>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</si>
  <si>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</si>
  <si>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</si>
  <si>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</si>
  <si>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</si>
  <si>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</si>
  <si>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</si>
  <si>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</si>
  <si>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</si>
  <si>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…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</si>
  <si>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</si>
  <si>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</si>
  <si>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</si>
  <si>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</si>
  <si>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</si>
  <si>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</si>
  <si>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</si>
  <si>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</si>
  <si>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</si>
  <si>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</si>
  <si>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</si>
  <si>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</si>
  <si>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</si>
  <si>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</si>
  <si>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</si>
  <si>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</si>
  <si>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</si>
  <si>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</si>
  <si>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</si>
  <si>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</si>
  <si>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</si>
  <si>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</si>
  <si>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</si>
  <si>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</si>
  <si>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</si>
  <si>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</si>
  <si>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</si>
  <si>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</si>
  <si>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</si>
  <si>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</si>
  <si>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</si>
  <si>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</si>
  <si>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</si>
  <si>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</si>
  <si>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</si>
  <si>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</si>
  <si>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</si>
  <si>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</si>
  <si>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</si>
  <si>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</si>
  <si>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</si>
  <si>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</si>
  <si>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</si>
  <si>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</si>
  <si>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</si>
  <si>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</si>
  <si>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</si>
  <si>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</si>
  <si>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</si>
  <si>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</si>
  <si>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</si>
  <si>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</si>
  <si>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</si>
  <si>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</si>
  <si>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</si>
  <si>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</si>
  <si>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</si>
  <si>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</si>
  <si>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</si>
  <si>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</si>
  <si>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</si>
  <si>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</si>
  <si>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</si>
  <si>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</si>
  <si>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</si>
  <si>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</si>
  <si>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</si>
  <si>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</si>
  <si>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</si>
  <si>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</si>
  <si>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</si>
  <si>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</si>
  <si>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Por Partida del Gasto</t>
  </si>
  <si>
    <t>Ejercicio del Presupuesto por
Partida  /  Descripción</t>
  </si>
  <si>
    <t>% Avance Anual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</si>
  <si>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</si>
  <si>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</si>
  <si>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</si>
  <si>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</si>
  <si>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</si>
  <si>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</si>
  <si>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</si>
  <si>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</si>
  <si>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</si>
  <si>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</si>
  <si>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</si>
  <si>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</si>
  <si>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</si>
  <si>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</si>
  <si>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</si>
  <si>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</si>
  <si>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</si>
  <si>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</si>
  <si>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</si>
  <si>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</si>
  <si>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</si>
  <si>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</si>
  <si>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 xml:space="preserve">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</si>
  <si>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</si>
  <si>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</si>
  <si>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</si>
  <si>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</si>
  <si>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</si>
  <si>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</si>
  <si>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</si>
  <si>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</si>
  <si>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</si>
  <si>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</si>
  <si>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</si>
  <si>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</si>
  <si>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(pesos)</t>
  </si>
  <si>
    <t>Devengado</t>
  </si>
  <si>
    <t>Pagado</t>
  </si>
  <si>
    <t>Total de Interéses Créditos Bancarios</t>
  </si>
  <si>
    <t>Total Intereses Otros Instrumentos de Deuda</t>
  </si>
  <si>
    <t>Gasto Por Categoría Programática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</si>
  <si>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</si>
  <si>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</si>
  <si>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</si>
  <si>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</si>
  <si>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</si>
  <si>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</si>
  <si>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</si>
  <si>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</si>
  <si>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</si>
  <si>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</si>
  <si>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</si>
  <si>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</si>
  <si>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</si>
  <si>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</si>
  <si>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</si>
  <si>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</si>
  <si>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</si>
  <si>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</si>
  <si>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</si>
  <si>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</si>
  <si>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</si>
  <si>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</si>
  <si>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</si>
  <si>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</si>
  <si>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</si>
  <si>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</si>
  <si>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</si>
  <si>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</si>
  <si>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</si>
  <si>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</si>
  <si>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</si>
  <si>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</si>
  <si>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Unidad Responsable</t>
  </si>
  <si>
    <t xml:space="preserve">Trimestre: </t>
  </si>
  <si>
    <t>2o.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</si>
  <si>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</si>
  <si>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</si>
  <si>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</si>
  <si>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</si>
  <si>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</si>
  <si>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</si>
  <si>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</si>
  <si>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</si>
  <si>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Unidad de Medida</t>
  </si>
  <si>
    <t>*Frecuencia de medición</t>
  </si>
  <si>
    <t>Programado</t>
  </si>
  <si>
    <t>Modificado</t>
  </si>
  <si>
    <t>Alcanzado</t>
  </si>
  <si>
    <t>Total Acumulado</t>
  </si>
  <si>
    <t>Meta Anual</t>
  </si>
  <si>
    <t>I TRIM</t>
  </si>
  <si>
    <t>II TRIM</t>
  </si>
  <si>
    <t>III TRIM</t>
  </si>
  <si>
    <t>IV TRIM</t>
  </si>
  <si>
    <t>Total de indicadores</t>
  </si>
  <si>
    <t>* En función de la frecuencia de medición se presentará o no la ficha técnica del indicador.</t>
  </si>
  <si>
    <t xml:space="preserve"> Sistema Estatal de Evaluación</t>
  </si>
  <si>
    <t>Gastos por proyectos de Inversión</t>
  </si>
  <si>
    <t>(pesos)</t>
  </si>
  <si>
    <t>GASTO DE INVERSION EJERCIDO:</t>
  </si>
  <si>
    <t xml:space="preserve">NOMBRE DEL PROYECTO </t>
  </si>
  <si>
    <t xml:space="preserve">MONTO EROGADO </t>
  </si>
  <si>
    <t>ORIGEN DEL RECURSO*</t>
  </si>
  <si>
    <t>*</t>
  </si>
  <si>
    <t>Se deberán informar con todas las fuentes del recurso.</t>
  </si>
  <si>
    <t>Ya sean obras con Recurso Federal, Recurso Estatal e Ingresos Propios del ente Público.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</si>
  <si>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</si>
  <si>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</si>
  <si>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</si>
  <si>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</si>
  <si>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</si>
  <si>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</si>
  <si>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</si>
  <si>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</si>
  <si>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</si>
  <si>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</si>
  <si>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</si>
  <si>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</si>
  <si>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</si>
  <si>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</si>
  <si>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</si>
  <si>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</si>
  <si>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</si>
  <si>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</si>
  <si>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</si>
  <si>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 xml:space="preserve">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</si>
  <si>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</si>
  <si>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</si>
  <si>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</si>
  <si>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</si>
  <si>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</si>
  <si>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</si>
  <si>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</si>
  <si>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</si>
  <si>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</si>
  <si>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</si>
  <si>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</si>
  <si>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</si>
  <si>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</si>
  <si>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</si>
  <si>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</si>
  <si>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</si>
  <si>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 xml:space="preserve">                Relación de esquemas bursátiles y de coberturas financieras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</si>
  <si>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</si>
  <si>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</si>
  <si>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</si>
  <si>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</si>
  <si>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</si>
  <si>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</si>
  <si>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</si>
  <si>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</si>
  <si>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</si>
  <si>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Universidad Tecnologica de Guaymas</t>
  </si>
  <si>
    <t>Al 30 de Junio  de 2016</t>
  </si>
  <si>
    <t>SEGUNDO</t>
  </si>
  <si>
    <t>Del 01 de Enero al30 de Junio de 2016</t>
  </si>
  <si>
    <t>Del 01 de Enero al 30 de Junio  de 2016</t>
  </si>
  <si>
    <t>Del 01 de Enero al 30 de Junio de 2016</t>
  </si>
  <si>
    <t>Al 31 de Junio  de 2016</t>
  </si>
  <si>
    <t>Pesos</t>
  </si>
  <si>
    <t>Mexico</t>
  </si>
  <si>
    <t>Al 30 de Junio de 2016</t>
  </si>
  <si>
    <t>"NADA QUE INFORMAR EN ESTE APARTADO"</t>
  </si>
  <si>
    <t>TRIMESTRE: SEGUNDO</t>
  </si>
  <si>
    <t>4</t>
  </si>
  <si>
    <t>TRIMESTRE:  SEGUNDO</t>
  </si>
  <si>
    <t>TRIMESTRE:</t>
  </si>
  <si>
    <t>Ayuda para despensa</t>
  </si>
  <si>
    <t>Aportaciones para seguros</t>
  </si>
  <si>
    <t>Otros seguros de carácter laboral</t>
  </si>
  <si>
    <t>Otras prestaciones sociales y economica</t>
  </si>
  <si>
    <t>Prestaciones Contractuales</t>
  </si>
  <si>
    <t>Compensacoon garantizada</t>
  </si>
  <si>
    <t>Materiales y suministros</t>
  </si>
  <si>
    <t>Materiales de administracion</t>
  </si>
  <si>
    <t>Materiales , Utiles y Equipos menores de oficina</t>
  </si>
  <si>
    <t>Materiales, Utiles y Equipos Menores</t>
  </si>
  <si>
    <t>Materiales y Utiles de Impresison y Reproduccion</t>
  </si>
  <si>
    <t>Materiales y utiles de impresión</t>
  </si>
  <si>
    <t>Materiales y utiles de menores de tecnologia</t>
  </si>
  <si>
    <t>Materiales y utiles para el prcesamiento</t>
  </si>
  <si>
    <t>Material de limpieza</t>
  </si>
  <si>
    <t>Materiales de limpieza</t>
  </si>
  <si>
    <t>Materiales y utiles de esnseñanza</t>
  </si>
  <si>
    <t>Material educativo</t>
  </si>
  <si>
    <t>Materiales y suminostros para el plantel</t>
  </si>
  <si>
    <t>Materiales para el registro de bienes</t>
  </si>
  <si>
    <t>Placas, engomados, calcomania</t>
  </si>
  <si>
    <t>Alimentos y utensilios</t>
  </si>
  <si>
    <t>Productos alimenticios para personas</t>
  </si>
  <si>
    <t>Adquisicion de agua potable</t>
  </si>
  <si>
    <t>Materias primas y materiales</t>
  </si>
  <si>
    <t>Productos de papel y carton</t>
  </si>
  <si>
    <t>Productso de papel, carton e impresión</t>
  </si>
  <si>
    <t>Materiales y articulos de construccion</t>
  </si>
  <si>
    <t>Productos mineales no metalicos</t>
  </si>
  <si>
    <t>Productos minerales no metalicos</t>
  </si>
  <si>
    <t>Material electrico y electronico</t>
  </si>
  <si>
    <t>Materiales complementarios</t>
  </si>
  <si>
    <t>Otros materiales y articulos de contruccion</t>
  </si>
  <si>
    <t>Productos y productos faramaceuticos</t>
  </si>
  <si>
    <t>Medicina y productos  farmaceuticos</t>
  </si>
  <si>
    <t>Materiale y accesorios y suministros</t>
  </si>
  <si>
    <t>Combustibles, lubricantes y aditivos</t>
  </si>
  <si>
    <t>Combustibles</t>
  </si>
  <si>
    <t>Vesturarios, blancos, prendas</t>
  </si>
  <si>
    <t>Vestuarios y uniformes</t>
  </si>
  <si>
    <t>Articulos deportivos</t>
  </si>
  <si>
    <t>Materiales y suminostros para la seguridad</t>
  </si>
  <si>
    <t>Prendas de proteccion para seguridad publica</t>
  </si>
  <si>
    <t>Herramientas, Refacciones y Accesorios</t>
  </si>
  <si>
    <t>Herramienta menores</t>
  </si>
  <si>
    <t>Refacciones y accesorios menores de edificio</t>
  </si>
  <si>
    <t>Refacciones y accesorios menores de mobiliario</t>
  </si>
  <si>
    <t>Refacciones y accesorios menores de equipo</t>
  </si>
  <si>
    <t>Refacciones y Accesirios menores</t>
  </si>
  <si>
    <t>Servicios  generales</t>
  </si>
  <si>
    <t>Servicios basicos</t>
  </si>
  <si>
    <t>Energia electrica</t>
  </si>
  <si>
    <t>Servicio e instalacion para centros es</t>
  </si>
  <si>
    <t>Telefonia tradicional</t>
  </si>
  <si>
    <t>Telefonia celular</t>
  </si>
  <si>
    <t>Servicio de telecominicaciones y satelite</t>
  </si>
  <si>
    <t>Servicio de acceso a internet</t>
  </si>
  <si>
    <t>Servicio postal</t>
  </si>
  <si>
    <t>Servicio de arrendamiento</t>
  </si>
  <si>
    <t>Arrendamiento de muebles, maquinaria</t>
  </si>
  <si>
    <t>Arrendamiento de equipo y bienes</t>
  </si>
  <si>
    <t>Arrendamiento equipo de transporte</t>
  </si>
  <si>
    <t>Arrendamiento de maquinaria</t>
  </si>
  <si>
    <t>Patentes y regalias</t>
  </si>
  <si>
    <t>Servicions profesionales, cientificos</t>
  </si>
  <si>
    <t>Servicios legales de contabilidad</t>
  </si>
  <si>
    <t>Servicios de diseño y arquitectura</t>
  </si>
  <si>
    <t>Servicios de informatica</t>
  </si>
  <si>
    <t>Servicio de consultorias</t>
  </si>
  <si>
    <t>Servicios de capacitacion</t>
  </si>
  <si>
    <t>Impresión y publicaciones oficiales</t>
  </si>
  <si>
    <t>Servicio de proteccion y seguridad</t>
  </si>
  <si>
    <t>Servicio de vigilancia</t>
  </si>
  <si>
    <t>Servicios financieros, bancario</t>
  </si>
  <si>
    <t>Seguros de bienes patrimoniales</t>
  </si>
  <si>
    <t>Fletes y maniobras</t>
  </si>
  <si>
    <t>Servicios de instalacion , reparacion</t>
  </si>
  <si>
    <t>Mantenimiento y conservacion  de</t>
  </si>
  <si>
    <t>Instalaciones</t>
  </si>
  <si>
    <t>Instalacion , reparacion y mantenimiento</t>
  </si>
  <si>
    <t>Mantenimiento y conservacion de equipo</t>
  </si>
  <si>
    <t>Mantenimiento y conservacion de maquinaria</t>
  </si>
  <si>
    <t>Servicio de limpieza y manejo  de desecho</t>
  </si>
  <si>
    <t>Servicios de comunicación social</t>
  </si>
  <si>
    <t>Difusion por radio, television y</t>
  </si>
  <si>
    <t>Servicio de creatividda, reproduccion</t>
  </si>
  <si>
    <t>Servicios de traslado y viaticos</t>
  </si>
  <si>
    <t>Pasaje aereo</t>
  </si>
  <si>
    <t>Pasaje aereos nacionales para labores</t>
  </si>
  <si>
    <t>Pasaje terrestre</t>
  </si>
  <si>
    <t>Viaticos en el pais</t>
  </si>
  <si>
    <t>Gastos de camino</t>
  </si>
  <si>
    <t>Viaticos en el extranjero</t>
  </si>
  <si>
    <t>Cuotas</t>
  </si>
  <si>
    <t>Hospedaje al personal que partcipa</t>
  </si>
  <si>
    <t>Servicios oficiales</t>
  </si>
  <si>
    <t>Gastos de orden social y cultural</t>
  </si>
  <si>
    <t>Congresos y convenciones</t>
  </si>
  <si>
    <t>Otros servicios generales</t>
  </si>
  <si>
    <t>Impuestos y derechos</t>
  </si>
  <si>
    <t>Otros gastos por responsabilidad</t>
  </si>
  <si>
    <t>Universidad Tecnologiaca de Guaymas</t>
  </si>
  <si>
    <t>Universidad Tecologica de Guaymas</t>
  </si>
  <si>
    <t>INGRESOS FEDERAL</t>
  </si>
  <si>
    <t>INGRESOS PROPIOS</t>
  </si>
  <si>
    <t>INVERSION A LA VISTA</t>
  </si>
  <si>
    <t>INSGRESO ESTATAL</t>
  </si>
  <si>
    <t>FONDO PARA LA CONTINGENCIA</t>
  </si>
  <si>
    <t>CETES BOLSA MEXICANA DE VALORES</t>
  </si>
  <si>
    <t>CETES PUENTE</t>
  </si>
  <si>
    <t>PROFOCIE</t>
  </si>
  <si>
    <t>PROINNOVA</t>
  </si>
  <si>
    <t>BECAS</t>
  </si>
  <si>
    <t>INGRESO FEDERAL</t>
  </si>
  <si>
    <t>BANAMEX</t>
  </si>
  <si>
    <t>INBURSA</t>
  </si>
  <si>
    <t>BANCOMER</t>
  </si>
  <si>
    <t>37629-3</t>
  </si>
  <si>
    <t>Equipo de Oficina</t>
  </si>
  <si>
    <t>Mesas de plastico, sillas, archiveros, mesas de acero, mini split, proyectores, set de microfonos, ventiladores, pintarrones, escritorios, bafle, stan para bafle, mesabancos.</t>
  </si>
  <si>
    <t>Otros Mobiliarios y Equipo de Administracion</t>
  </si>
  <si>
    <t>Dell inspirion 660s, grabadoras y pantalla de Tv</t>
  </si>
  <si>
    <t>Mobiliario y Equipo de Computo</t>
  </si>
  <si>
    <t>Computadoras, fuentes de alimentacion, lap top y proyectores</t>
  </si>
  <si>
    <t>Mobiliario y Equipo de Enfermeria</t>
  </si>
  <si>
    <t>Camilla rigida, camilla rodante, carro de curaciones, esterilizador y baumanometro</t>
  </si>
  <si>
    <t>Equipo de Transporte</t>
  </si>
  <si>
    <t>Vehiculo Chevrolet, vehiculo Explorer y Vehiculo Nissan Frontier</t>
  </si>
  <si>
    <t>Terreno ubicado en lote 2 ubicado en el ejido San Jose de Guaymas, parcela No.508-P06-Z02 con superficie 17-00-00 hectareas.</t>
  </si>
  <si>
    <t xml:space="preserve">TRIMESTRE:SEGUNDO </t>
  </si>
  <si>
    <t xml:space="preserve">                             TRIMESTRE: </t>
  </si>
  <si>
    <t xml:space="preserve"> al 30 de Junio de 2016</t>
  </si>
  <si>
    <t>Hoja  01 de 11</t>
  </si>
  <si>
    <t>Hoja  02 de 11</t>
  </si>
  <si>
    <t>Hoja  03 de 11</t>
  </si>
  <si>
    <t>Hoja  04 de 11</t>
  </si>
  <si>
    <t>Hoja 05 de 11</t>
  </si>
  <si>
    <t>Hoja 06 de 11</t>
  </si>
  <si>
    <t>Hoja  07 de 11</t>
  </si>
  <si>
    <t>Hoja 08 de 11</t>
  </si>
  <si>
    <t>Hoja  09 de 11</t>
  </si>
  <si>
    <t>Hoja 10 de 11</t>
  </si>
  <si>
    <t>Hoja  10 de 11</t>
  </si>
  <si>
    <t>Hoja 11 de 11</t>
  </si>
  <si>
    <t xml:space="preserve">                         Dr. José Alfredo Gámez Corrales</t>
  </si>
  <si>
    <t xml:space="preserve">                 CP. Vicente Lopez Arellano</t>
  </si>
  <si>
    <t xml:space="preserve">                                           Rector</t>
  </si>
  <si>
    <t xml:space="preserve">        Director de Administracion y Finanzas</t>
  </si>
  <si>
    <t xml:space="preserve">                  "NADA QUE INFORMAR EN ESTE APARTADO"</t>
  </si>
  <si>
    <t>TRIMESTSRE: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</si>
</sst>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0"/>
    <numFmt numFmtId="166" formatCode="#,##0_ ;\-#,##0\ "/>
  </numFmts>
  <fonts count="7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956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7" fillId="0" borderId="0" xfId="0" applyFont="1"/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center"/>
    </xf>
    <xf numFmtId="0" fontId="40" fillId="0" borderId="0" xfId="0" applyFont="1" applyAlignment="1"/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11" fillId="2" borderId="19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5" fillId="0" borderId="0" xfId="0" applyFont="1" applyFill="1"/>
    <xf numFmtId="0" fontId="49" fillId="0" borderId="19" xfId="0" applyFont="1" applyBorder="1" applyAlignment="1">
      <alignment horizontal="left"/>
    </xf>
    <xf numFmtId="0" fontId="49" fillId="0" borderId="41" xfId="0" applyFont="1" applyBorder="1"/>
    <xf numFmtId="0" fontId="49" fillId="0" borderId="19" xfId="0" applyFont="1" applyBorder="1"/>
    <xf numFmtId="0" fontId="49" fillId="0" borderId="21" xfId="0" applyFont="1" applyBorder="1" applyAlignment="1">
      <alignment horizontal="left"/>
    </xf>
    <xf numFmtId="0" fontId="49" fillId="0" borderId="21" xfId="0" applyFont="1" applyBorder="1"/>
    <xf numFmtId="0" fontId="49" fillId="0" borderId="26" xfId="0" applyFont="1" applyBorder="1"/>
    <xf numFmtId="0" fontId="49" fillId="0" borderId="22" xfId="0" applyFont="1" applyBorder="1" applyAlignment="1">
      <alignment horizontal="left"/>
    </xf>
    <xf numFmtId="0" fontId="49" fillId="0" borderId="17" xfId="0" applyFont="1" applyBorder="1"/>
    <xf numFmtId="0" fontId="49" fillId="0" borderId="21" xfId="0" applyFont="1" applyBorder="1" applyAlignment="1">
      <alignment horizontal="left" vertical="center"/>
    </xf>
    <xf numFmtId="0" fontId="49" fillId="0" borderId="26" xfId="0" applyFont="1" applyBorder="1" applyAlignment="1">
      <alignment vertical="center"/>
    </xf>
    <xf numFmtId="0" fontId="49" fillId="0" borderId="21" xfId="0" applyFont="1" applyBorder="1" applyAlignment="1">
      <alignment wrapText="1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/>
    <xf numFmtId="0" fontId="49" fillId="0" borderId="0" xfId="0" applyFont="1" applyFill="1" applyBorder="1"/>
    <xf numFmtId="0" fontId="12" fillId="0" borderId="8" xfId="0" applyFont="1" applyFill="1" applyBorder="1" applyAlignment="1">
      <alignment vertical="center"/>
    </xf>
    <xf numFmtId="0" fontId="49" fillId="0" borderId="20" xfId="0" applyFont="1" applyBorder="1" applyAlignment="1">
      <alignment horizontal="left"/>
    </xf>
    <xf numFmtId="0" fontId="49" fillId="0" borderId="20" xfId="0" applyFont="1" applyBorder="1"/>
    <xf numFmtId="0" fontId="7" fillId="0" borderId="0" xfId="0" applyFont="1" applyFill="1" applyBorder="1" applyAlignment="1">
      <alignment horizontal="left" vertical="top"/>
    </xf>
    <xf numFmtId="0" fontId="49" fillId="0" borderId="21" xfId="0" applyFont="1" applyBorder="1" applyAlignment="1">
      <alignment vertical="center" wrapText="1"/>
    </xf>
    <xf numFmtId="0" fontId="49" fillId="0" borderId="19" xfId="0" applyFont="1" applyBorder="1" applyAlignment="1">
      <alignment wrapText="1"/>
    </xf>
    <xf numFmtId="0" fontId="49" fillId="0" borderId="19" xfId="0" applyFont="1" applyBorder="1" applyAlignment="1">
      <alignment horizontal="left" vertical="center"/>
    </xf>
    <xf numFmtId="43" fontId="16" fillId="2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6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6" fillId="2" borderId="0" xfId="0" applyNumberFormat="1" applyFont="1" applyFill="1" applyBorder="1" applyAlignment="1" applyProtection="1"/>
    <xf numFmtId="43" fontId="16" fillId="2" borderId="6" xfId="0" applyNumberFormat="1" applyFont="1" applyFill="1" applyBorder="1" applyAlignment="1" applyProtection="1"/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33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4" fontId="5" fillId="0" borderId="0" xfId="0" applyNumberFormat="1" applyFont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</xf>
    <xf numFmtId="4" fontId="7" fillId="2" borderId="6" xfId="0" applyNumberFormat="1" applyFont="1" applyFill="1" applyBorder="1" applyAlignment="1" applyProtection="1">
      <alignment horizontal="right" vertical="top"/>
    </xf>
    <xf numFmtId="4" fontId="7" fillId="2" borderId="0" xfId="13" applyNumberFormat="1" applyFont="1" applyFill="1" applyBorder="1" applyAlignment="1" applyProtection="1">
      <alignment horizontal="right" vertical="top"/>
    </xf>
    <xf numFmtId="4" fontId="8" fillId="2" borderId="0" xfId="0" applyNumberFormat="1" applyFont="1" applyFill="1" applyBorder="1" applyAlignment="1" applyProtection="1">
      <alignment horizontal="right" vertical="top"/>
    </xf>
    <xf numFmtId="4" fontId="8" fillId="2" borderId="6" xfId="0" applyNumberFormat="1" applyFont="1" applyFill="1" applyBorder="1" applyAlignment="1" applyProtection="1">
      <alignment horizontal="right" vertical="top"/>
    </xf>
    <xf numFmtId="4" fontId="7" fillId="2" borderId="6" xfId="13" applyNumberFormat="1" applyFont="1" applyFill="1" applyBorder="1" applyAlignment="1" applyProtection="1">
      <alignment horizontal="right" vertical="top"/>
    </xf>
    <xf numFmtId="4" fontId="8" fillId="2" borderId="0" xfId="13" applyNumberFormat="1" applyFont="1" applyFill="1" applyBorder="1" applyAlignment="1" applyProtection="1">
      <alignment horizontal="right" vertical="top"/>
    </xf>
    <xf numFmtId="4" fontId="8" fillId="2" borderId="6" xfId="13" applyNumberFormat="1" applyFont="1" applyFill="1" applyBorder="1" applyAlignment="1" applyProtection="1">
      <alignment horizontal="right" vertical="top"/>
    </xf>
    <xf numFmtId="0" fontId="33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33" fillId="0" borderId="45" xfId="0" applyFont="1" applyBorder="1" applyAlignment="1" applyProtection="1">
      <alignment horizontal="center" vertical="center" wrapText="1"/>
      <protection locked="0"/>
    </xf>
    <xf numFmtId="0" fontId="53" fillId="6" borderId="0" xfId="0" applyFont="1" applyFill="1" applyAlignment="1" applyProtection="1">
      <alignment wrapText="1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7" fillId="3" borderId="5" xfId="0" applyFont="1" applyFill="1" applyBorder="1" applyAlignment="1" applyProtection="1">
      <alignment horizontal="justify" vertical="top"/>
      <protection locked="0"/>
    </xf>
    <xf numFmtId="0" fontId="8" fillId="3" borderId="5" xfId="0" applyFont="1" applyFill="1" applyBorder="1" applyAlignment="1" applyProtection="1">
      <alignment horizontal="justify" vertical="top"/>
      <protection locked="0"/>
    </xf>
    <xf numFmtId="0" fontId="24" fillId="3" borderId="5" xfId="0" applyFont="1" applyFill="1" applyBorder="1" applyAlignment="1" applyProtection="1">
      <alignment horizontal="justify" vertical="top"/>
      <protection locked="0"/>
    </xf>
    <xf numFmtId="4" fontId="24" fillId="3" borderId="0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Alignment="1" applyProtection="1">
      <protection locked="0"/>
    </xf>
    <xf numFmtId="0" fontId="19" fillId="3" borderId="5" xfId="0" applyFont="1" applyFill="1" applyBorder="1" applyAlignment="1" applyProtection="1">
      <alignment horizontal="justify" vertical="top"/>
      <protection locked="0"/>
    </xf>
    <xf numFmtId="0" fontId="1" fillId="3" borderId="5" xfId="0" applyFont="1" applyFill="1" applyBorder="1" applyAlignment="1" applyProtection="1">
      <alignment horizontal="justify" vertical="top"/>
      <protection locked="0"/>
    </xf>
    <xf numFmtId="0" fontId="24" fillId="3" borderId="7" xfId="0" applyFont="1" applyFill="1" applyBorder="1" applyAlignment="1" applyProtection="1">
      <alignment horizontal="justify" vertical="top"/>
      <protection locked="0"/>
    </xf>
    <xf numFmtId="4" fontId="24" fillId="3" borderId="8" xfId="0" applyNumberFormat="1" applyFont="1" applyFill="1" applyBorder="1" applyAlignment="1" applyProtection="1">
      <alignment horizontal="right" vertical="top"/>
      <protection locked="0"/>
    </xf>
    <xf numFmtId="0" fontId="23" fillId="3" borderId="46" xfId="0" applyFont="1" applyFill="1" applyBorder="1" applyAlignment="1" applyProtection="1">
      <alignment horizontal="justify" vertical="center"/>
      <protection locked="0"/>
    </xf>
    <xf numFmtId="0" fontId="33" fillId="3" borderId="45" xfId="0" applyFont="1" applyFill="1" applyBorder="1" applyAlignment="1" applyProtection="1">
      <alignment horizontal="center" vertical="center"/>
      <protection locked="0"/>
    </xf>
    <xf numFmtId="0" fontId="33" fillId="3" borderId="47" xfId="0" applyFont="1" applyFill="1" applyBorder="1" applyAlignment="1" applyProtection="1">
      <alignment horizontal="center" vertical="center"/>
      <protection locked="0"/>
    </xf>
    <xf numFmtId="4" fontId="16" fillId="3" borderId="0" xfId="0" applyNumberFormat="1" applyFont="1" applyFill="1" applyBorder="1" applyAlignment="1" applyProtection="1">
      <alignment horizontal="right" vertical="top"/>
    </xf>
    <xf numFmtId="4" fontId="16" fillId="3" borderId="6" xfId="0" applyNumberFormat="1" applyFont="1" applyFill="1" applyBorder="1" applyAlignment="1" applyProtection="1">
      <alignment horizontal="right" vertical="top"/>
    </xf>
    <xf numFmtId="4" fontId="3" fillId="3" borderId="0" xfId="0" applyNumberFormat="1" applyFont="1" applyFill="1" applyBorder="1" applyAlignment="1" applyProtection="1">
      <alignment horizontal="right" vertical="top"/>
    </xf>
    <xf numFmtId="4" fontId="3" fillId="3" borderId="6" xfId="0" applyNumberFormat="1" applyFont="1" applyFill="1" applyBorder="1" applyAlignment="1" applyProtection="1">
      <alignment horizontal="right" vertical="top"/>
    </xf>
    <xf numFmtId="4" fontId="24" fillId="3" borderId="6" xfId="0" applyNumberFormat="1" applyFont="1" applyFill="1" applyBorder="1" applyAlignment="1" applyProtection="1">
      <alignment horizontal="right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4" fontId="3" fillId="3" borderId="6" xfId="0" applyNumberFormat="1" applyFont="1" applyFill="1" applyBorder="1" applyAlignment="1" applyProtection="1">
      <alignment horizontal="right" vertical="top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2" fillId="3" borderId="0" xfId="0" applyNumberFormat="1" applyFont="1" applyFill="1" applyBorder="1" applyAlignment="1" applyProtection="1">
      <alignment horizontal="right" vertical="top"/>
      <protection locked="0"/>
    </xf>
    <xf numFmtId="4" fontId="12" fillId="3" borderId="6" xfId="0" applyNumberFormat="1" applyFont="1" applyFill="1" applyBorder="1" applyAlignment="1" applyProtection="1">
      <alignment horizontal="right" vertical="top"/>
      <protection locked="0"/>
    </xf>
    <xf numFmtId="4" fontId="24" fillId="3" borderId="9" xfId="0" applyNumberFormat="1" applyFont="1" applyFill="1" applyBorder="1" applyAlignment="1" applyProtection="1">
      <alignment horizontal="right" vertical="top"/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0" fontId="53" fillId="0" borderId="0" xfId="0" applyFont="1" applyProtection="1"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1" xfId="0" applyFont="1" applyFill="1" applyBorder="1" applyAlignment="1" applyProtection="1">
      <alignment vertical="center"/>
      <protection locked="0"/>
    </xf>
    <xf numFmtId="0" fontId="23" fillId="3" borderId="5" xfId="0" applyFont="1" applyFill="1" applyBorder="1" applyAlignment="1" applyProtection="1">
      <alignment vertical="center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17" fillId="3" borderId="7" xfId="0" applyFont="1" applyFill="1" applyBorder="1" applyAlignment="1" applyProtection="1">
      <alignment horizontal="justify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4" fontId="17" fillId="3" borderId="17" xfId="0" applyNumberFormat="1" applyFont="1" applyFill="1" applyBorder="1" applyAlignment="1" applyProtection="1">
      <alignment horizontal="justify" vertical="center"/>
      <protection locked="0"/>
    </xf>
    <xf numFmtId="4" fontId="17" fillId="3" borderId="51" xfId="0" applyNumberFormat="1" applyFont="1" applyFill="1" applyBorder="1" applyAlignment="1" applyProtection="1">
      <alignment horizontal="justify" vertical="center"/>
      <protection locked="0"/>
    </xf>
    <xf numFmtId="4" fontId="21" fillId="3" borderId="17" xfId="0" applyNumberFormat="1" applyFont="1" applyFill="1" applyBorder="1" applyAlignment="1" applyProtection="1">
      <alignment horizontal="right" vertical="center"/>
    </xf>
    <xf numFmtId="4" fontId="38" fillId="3" borderId="17" xfId="0" applyNumberFormat="1" applyFont="1" applyFill="1" applyBorder="1" applyAlignment="1" applyProtection="1">
      <alignment horizontal="right" vertical="center"/>
    </xf>
    <xf numFmtId="4" fontId="38" fillId="3" borderId="51" xfId="0" applyNumberFormat="1" applyFont="1" applyFill="1" applyBorder="1" applyAlignment="1" applyProtection="1">
      <alignment horizontal="right" vertical="center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4" fontId="2" fillId="3" borderId="51" xfId="0" applyNumberFormat="1" applyFont="1" applyFill="1" applyBorder="1" applyAlignment="1" applyProtection="1">
      <alignment horizontal="right" vertical="center"/>
      <protection locked="0"/>
    </xf>
    <xf numFmtId="4" fontId="2" fillId="3" borderId="16" xfId="0" applyNumberFormat="1" applyFont="1" applyFill="1" applyBorder="1" applyAlignment="1" applyProtection="1">
      <alignment horizontal="right" vertical="center"/>
      <protection locked="0"/>
    </xf>
    <xf numFmtId="4" fontId="2" fillId="3" borderId="18" xfId="0" applyNumberFormat="1" applyFont="1" applyFill="1" applyBorder="1" applyAlignment="1" applyProtection="1">
      <alignment horizontal="right" vertical="center"/>
      <protection locked="0"/>
    </xf>
    <xf numFmtId="0" fontId="23" fillId="3" borderId="30" xfId="0" applyFont="1" applyFill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vertical="center"/>
      <protection locked="0"/>
    </xf>
    <xf numFmtId="0" fontId="37" fillId="3" borderId="14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left" vertical="center" wrapText="1" indent="2"/>
      <protection locked="0"/>
    </xf>
    <xf numFmtId="0" fontId="17" fillId="3" borderId="31" xfId="0" applyFont="1" applyFill="1" applyBorder="1" applyAlignment="1" applyProtection="1">
      <alignment horizontal="justify" vertical="center"/>
      <protection locked="0"/>
    </xf>
    <xf numFmtId="4" fontId="2" fillId="3" borderId="17" xfId="0" applyNumberFormat="1" applyFont="1" applyFill="1" applyBorder="1" applyAlignment="1" applyProtection="1">
      <alignment horizontal="right" vertical="center"/>
    </xf>
    <xf numFmtId="4" fontId="2" fillId="3" borderId="51" xfId="0" applyNumberFormat="1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31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5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4" fontId="7" fillId="2" borderId="49" xfId="0" applyNumberFormat="1" applyFont="1" applyFill="1" applyBorder="1" applyAlignment="1" applyProtection="1">
      <alignment horizontal="right" vertical="center" wrapText="1"/>
    </xf>
    <xf numFmtId="0" fontId="23" fillId="3" borderId="48" xfId="0" applyFont="1" applyFill="1" applyBorder="1" applyAlignment="1" applyProtection="1">
      <alignment vertical="center"/>
      <protection locked="0"/>
    </xf>
    <xf numFmtId="0" fontId="23" fillId="3" borderId="24" xfId="0" applyFont="1" applyFill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horizontal="justify" vertical="center"/>
      <protection locked="0"/>
    </xf>
    <xf numFmtId="4" fontId="7" fillId="0" borderId="49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8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17" fillId="2" borderId="24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31" xfId="0" applyFont="1" applyFill="1" applyBorder="1" applyAlignment="1" applyProtection="1">
      <alignment horizontal="justify" vertical="center"/>
      <protection locked="0"/>
    </xf>
    <xf numFmtId="0" fontId="21" fillId="3" borderId="31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justify"/>
      <protection locked="0"/>
    </xf>
    <xf numFmtId="0" fontId="60" fillId="0" borderId="0" xfId="0" applyFont="1" applyFill="1" applyAlignment="1" applyProtection="1">
      <alignment horizontal="right"/>
      <protection locked="0"/>
    </xf>
    <xf numFmtId="0" fontId="1" fillId="0" borderId="52" xfId="0" applyFont="1" applyFill="1" applyBorder="1" applyAlignment="1" applyProtection="1">
      <alignment horizontal="left" vertical="center" wrapText="1" indent="2"/>
      <protection locked="0"/>
    </xf>
    <xf numFmtId="0" fontId="1" fillId="0" borderId="53" xfId="0" applyFont="1" applyFill="1" applyBorder="1" applyAlignment="1" applyProtection="1">
      <alignment horizontal="justify" vertical="center" wrapText="1"/>
      <protection locked="0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52" xfId="0" applyFont="1" applyFill="1" applyBorder="1" applyAlignment="1" applyProtection="1">
      <alignment horizontal="justify" vertical="center" wrapText="1"/>
      <protection locked="0"/>
    </xf>
    <xf numFmtId="0" fontId="3" fillId="0" borderId="48" xfId="0" applyFont="1" applyFill="1" applyBorder="1" applyAlignment="1" applyProtection="1">
      <alignment horizontal="justify" vertical="center" wrapText="1"/>
      <protection locked="0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51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4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Protection="1"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51" xfId="0" applyNumberFormat="1" applyFont="1" applyFill="1" applyBorder="1" applyAlignment="1" applyProtection="1">
      <alignment horizontal="justify" vertical="center" wrapText="1"/>
      <protection locked="0"/>
    </xf>
    <xf numFmtId="4" fontId="0" fillId="0" borderId="0" xfId="0" applyNumberFormat="1" applyFill="1" applyProtection="1"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9" fillId="3" borderId="52" xfId="0" applyFont="1" applyFill="1" applyBorder="1" applyAlignment="1" applyProtection="1">
      <alignment horizontal="justify" vertical="center" wrapText="1"/>
      <protection locked="0"/>
    </xf>
    <xf numFmtId="0" fontId="30" fillId="3" borderId="17" xfId="0" applyFont="1" applyFill="1" applyBorder="1" applyAlignment="1" applyProtection="1">
      <alignment horizontal="justify" vertical="center" wrapText="1"/>
      <protection locked="0"/>
    </xf>
    <xf numFmtId="0" fontId="30" fillId="3" borderId="51" xfId="0" applyFont="1" applyFill="1" applyBorder="1" applyAlignment="1" applyProtection="1">
      <alignment horizontal="justify" vertical="center" wrapText="1"/>
      <protection locked="0"/>
    </xf>
    <xf numFmtId="0" fontId="31" fillId="3" borderId="52" xfId="0" applyFont="1" applyFill="1" applyBorder="1" applyAlignment="1" applyProtection="1">
      <alignment horizontal="justify" vertical="center" wrapText="1"/>
      <protection locked="0"/>
    </xf>
    <xf numFmtId="0" fontId="32" fillId="3" borderId="17" xfId="0" applyFont="1" applyFill="1" applyBorder="1" applyAlignment="1" applyProtection="1">
      <alignment horizontal="justify" vertical="center" wrapText="1"/>
      <protection locked="0"/>
    </xf>
    <xf numFmtId="0" fontId="32" fillId="3" borderId="51" xfId="0" applyFont="1" applyFill="1" applyBorder="1" applyAlignment="1" applyProtection="1">
      <alignment horizontal="justify" vertical="center" wrapText="1"/>
      <protection locked="0"/>
    </xf>
    <xf numFmtId="4" fontId="31" fillId="3" borderId="17" xfId="0" applyNumberFormat="1" applyFont="1" applyFill="1" applyBorder="1" applyAlignment="1" applyProtection="1">
      <alignment horizontal="right" vertical="center" wrapText="1"/>
    </xf>
    <xf numFmtId="4" fontId="34" fillId="3" borderId="51" xfId="0" applyNumberFormat="1" applyFont="1" applyFill="1" applyBorder="1" applyAlignment="1" applyProtection="1">
      <alignment horizontal="right" vertical="center" wrapText="1"/>
    </xf>
    <xf numFmtId="0" fontId="32" fillId="3" borderId="52" xfId="0" applyFont="1" applyFill="1" applyBorder="1" applyAlignment="1" applyProtection="1">
      <alignment horizontal="justify" vertical="center" wrapText="1"/>
      <protection locked="0"/>
    </xf>
    <xf numFmtId="4" fontId="32" fillId="3" borderId="17" xfId="0" applyNumberFormat="1" applyFont="1" applyFill="1" applyBorder="1" applyAlignment="1" applyProtection="1">
      <alignment horizontal="right" vertical="center" wrapText="1"/>
      <protection locked="0"/>
    </xf>
    <xf numFmtId="4" fontId="35" fillId="3" borderId="51" xfId="0" applyNumberFormat="1" applyFont="1" applyFill="1" applyBorder="1" applyAlignment="1" applyProtection="1">
      <alignment horizontal="right" vertical="center" wrapText="1"/>
    </xf>
    <xf numFmtId="4" fontId="35" fillId="3" borderId="51" xfId="0" applyNumberFormat="1" applyFont="1" applyFill="1" applyBorder="1" applyAlignment="1" applyProtection="1">
      <alignment horizontal="right" vertical="center" wrapText="1"/>
      <protection locked="0"/>
    </xf>
    <xf numFmtId="4" fontId="34" fillId="3" borderId="17" xfId="0" applyNumberFormat="1" applyFont="1" applyFill="1" applyBorder="1" applyAlignment="1" applyProtection="1">
      <alignment horizontal="right" vertical="center" wrapText="1"/>
    </xf>
    <xf numFmtId="4" fontId="31" fillId="3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3" borderId="51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53" xfId="0" applyFont="1" applyFill="1" applyBorder="1" applyAlignment="1" applyProtection="1">
      <alignment horizontal="justify" vertical="center" wrapText="1"/>
      <protection locked="0"/>
    </xf>
    <xf numFmtId="0" fontId="30" fillId="3" borderId="16" xfId="0" applyFont="1" applyFill="1" applyBorder="1" applyAlignment="1" applyProtection="1">
      <alignment horizontal="justify" vertical="center" wrapText="1"/>
      <protection locked="0"/>
    </xf>
    <xf numFmtId="0" fontId="30" fillId="3" borderId="18" xfId="0" applyFont="1" applyFill="1" applyBorder="1" applyAlignment="1" applyProtection="1">
      <alignment horizontal="justify" vertical="center" wrapText="1"/>
      <protection locked="0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27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4" xfId="0" applyNumberFormat="1" applyFont="1" applyBorder="1" applyAlignment="1" applyProtection="1">
      <alignment horizontal="right" vertical="center"/>
    </xf>
    <xf numFmtId="4" fontId="41" fillId="0" borderId="49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49" fontId="27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Protection="1">
      <protection locked="0"/>
    </xf>
    <xf numFmtId="0" fontId="12" fillId="0" borderId="52" xfId="0" applyFont="1" applyBorder="1" applyAlignment="1" applyProtection="1">
      <alignment vertical="top" wrapText="1"/>
      <protection locked="0"/>
    </xf>
    <xf numFmtId="0" fontId="5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52" xfId="0" applyFont="1" applyBorder="1" applyAlignment="1" applyProtection="1">
      <alignment horizontal="justify" vertical="center" wrapText="1"/>
      <protection locked="0"/>
    </xf>
    <xf numFmtId="0" fontId="24" fillId="0" borderId="52" xfId="0" applyFont="1" applyBorder="1" applyAlignment="1" applyProtection="1">
      <alignment horizontal="left" vertical="center" wrapText="1" indent="4"/>
      <protection locked="0"/>
    </xf>
    <xf numFmtId="0" fontId="3" fillId="0" borderId="48" xfId="0" applyFont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5" fillId="0" borderId="9" xfId="0" applyFont="1" applyFill="1" applyBorder="1"/>
    <xf numFmtId="0" fontId="44" fillId="0" borderId="0" xfId="0" applyFont="1" applyFill="1" applyAlignment="1"/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51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protection locked="0"/>
    </xf>
    <xf numFmtId="0" fontId="63" fillId="0" borderId="0" xfId="0" applyFont="1" applyProtection="1">
      <protection locked="0"/>
    </xf>
    <xf numFmtId="4" fontId="41" fillId="0" borderId="51" xfId="0" applyNumberFormat="1" applyFont="1" applyBorder="1" applyAlignment="1" applyProtection="1">
      <alignment horizontal="right" vertical="center"/>
    </xf>
    <xf numFmtId="0" fontId="65" fillId="0" borderId="0" xfId="0" applyFont="1"/>
    <xf numFmtId="0" fontId="67" fillId="0" borderId="0" xfId="0" applyFont="1"/>
    <xf numFmtId="0" fontId="41" fillId="0" borderId="22" xfId="0" applyFont="1" applyBorder="1" applyAlignment="1">
      <alignment horizontal="center" vertical="center"/>
    </xf>
    <xf numFmtId="0" fontId="2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6" fillId="0" borderId="0" xfId="12" applyFont="1" applyAlignment="1" applyProtection="1">
      <alignment horizontal="center" vertical="center"/>
      <protection locked="0"/>
    </xf>
    <xf numFmtId="0" fontId="66" fillId="0" borderId="0" xfId="0" applyFont="1" applyProtection="1"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8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50" xfId="0" applyFont="1" applyFill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justify" vertical="center"/>
      <protection locked="0"/>
    </xf>
    <xf numFmtId="0" fontId="2" fillId="0" borderId="52" xfId="0" applyFont="1" applyFill="1" applyBorder="1" applyAlignment="1" applyProtection="1">
      <alignment horizontal="left" vertical="center" indent="3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horizontal="justify" vertical="center"/>
      <protection locked="0"/>
    </xf>
    <xf numFmtId="0" fontId="17" fillId="0" borderId="16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51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61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51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69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 wrapText="1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33" fillId="0" borderId="44" xfId="0" applyNumberFormat="1" applyFont="1" applyBorder="1" applyAlignment="1" applyProtection="1">
      <alignment horizontal="center" vertical="center" wrapText="1"/>
      <protection locked="0"/>
    </xf>
    <xf numFmtId="4" fontId="5" fillId="0" borderId="6" xfId="0" applyNumberFormat="1" applyFont="1" applyBorder="1" applyAlignment="1" applyProtection="1">
      <alignment horizontal="left"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68" fillId="0" borderId="0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left"/>
    </xf>
    <xf numFmtId="0" fontId="70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left"/>
    </xf>
    <xf numFmtId="0" fontId="24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2" fillId="0" borderId="17" xfId="0" applyNumberFormat="1" applyFont="1" applyBorder="1" applyAlignment="1" applyProtection="1">
      <alignment horizontal="right" vertical="center" wrapText="1"/>
    </xf>
    <xf numFmtId="3" fontId="24" fillId="0" borderId="17" xfId="0" applyNumberFormat="1" applyFont="1" applyBorder="1" applyAlignment="1" applyProtection="1">
      <alignment horizontal="right" vertical="center" wrapText="1"/>
      <protection locked="0"/>
    </xf>
    <xf numFmtId="3" fontId="24" fillId="0" borderId="17" xfId="0" applyNumberFormat="1" applyFont="1" applyBorder="1" applyAlignment="1" applyProtection="1">
      <alignment horizontal="right" vertical="center" wrapText="1"/>
    </xf>
    <xf numFmtId="3" fontId="12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4" xfId="0" applyNumberFormat="1" applyFont="1" applyBorder="1" applyAlignment="1" applyProtection="1">
      <alignment horizontal="right" vertical="center" wrapText="1"/>
    </xf>
    <xf numFmtId="0" fontId="3" fillId="0" borderId="52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51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top" wrapText="1" indent="2"/>
      <protection locked="0"/>
    </xf>
    <xf numFmtId="3" fontId="1" fillId="0" borderId="24" xfId="0" applyNumberFormat="1" applyFont="1" applyFill="1" applyBorder="1" applyAlignment="1" applyProtection="1">
      <alignment horizontal="right" vertical="center" wrapText="1"/>
    </xf>
    <xf numFmtId="3" fontId="1" fillId="0" borderId="49" xfId="0" applyNumberFormat="1" applyFont="1" applyFill="1" applyBorder="1" applyAlignment="1" applyProtection="1">
      <alignment horizontal="right" vertical="center" wrapText="1"/>
    </xf>
    <xf numFmtId="3" fontId="3" fillId="0" borderId="24" xfId="0" applyNumberFormat="1" applyFont="1" applyFill="1" applyBorder="1" applyAlignment="1" applyProtection="1">
      <alignment horizontal="right" vertical="center" wrapText="1"/>
    </xf>
    <xf numFmtId="3" fontId="3" fillId="0" borderId="49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</xf>
    <xf numFmtId="3" fontId="24" fillId="0" borderId="5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vertical="center" wrapText="1"/>
    </xf>
    <xf numFmtId="0" fontId="1" fillId="0" borderId="52" xfId="0" applyFont="1" applyBorder="1" applyAlignment="1" applyProtection="1">
      <alignment horizontal="left" vertical="center" wrapText="1" indent="3"/>
    </xf>
    <xf numFmtId="0" fontId="1" fillId="0" borderId="52" xfId="0" applyFont="1" applyBorder="1" applyAlignment="1" applyProtection="1">
      <alignment vertical="center" wrapText="1"/>
    </xf>
    <xf numFmtId="0" fontId="1" fillId="0" borderId="53" xfId="0" applyFont="1" applyBorder="1" applyAlignment="1" applyProtection="1">
      <alignment horizontal="left" vertical="center" wrapText="1" indent="3"/>
    </xf>
    <xf numFmtId="0" fontId="3" fillId="0" borderId="48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51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9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 wrapText="1"/>
    </xf>
    <xf numFmtId="3" fontId="3" fillId="0" borderId="18" xfId="0" applyNumberFormat="1" applyFont="1" applyBorder="1" applyAlignment="1" applyProtection="1">
      <alignment horizontal="right" vertical="center" wrapText="1"/>
    </xf>
    <xf numFmtId="3" fontId="16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/>
    </xf>
    <xf numFmtId="3" fontId="18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 wrapText="1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71" fillId="0" borderId="0" xfId="0" applyFont="1" applyAlignment="1" applyProtection="1">
      <alignment horizontal="center" wrapText="1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7" fillId="0" borderId="0" xfId="0" applyNumberFormat="1" applyFont="1" applyBorder="1" applyAlignment="1" applyProtection="1">
      <alignment horizontal="left" vertical="top"/>
      <protection locked="0"/>
    </xf>
    <xf numFmtId="0" fontId="24" fillId="3" borderId="0" xfId="0" applyFont="1" applyFill="1" applyBorder="1" applyAlignment="1" applyProtection="1">
      <alignment horizontal="justify" vertical="top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3" fillId="0" borderId="52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horizontal="justify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3" xfId="0" applyFont="1" applyFill="1" applyBorder="1" applyAlignment="1" applyProtection="1">
      <alignment horizontal="justify" vertical="center" wrapText="1"/>
    </xf>
    <xf numFmtId="0" fontId="1" fillId="0" borderId="52" xfId="0" applyFont="1" applyFill="1" applyBorder="1" applyAlignment="1" applyProtection="1">
      <alignment horizontal="justify" vertical="center" wrapText="1"/>
    </xf>
    <xf numFmtId="0" fontId="52" fillId="2" borderId="10" xfId="0" applyFont="1" applyFill="1" applyBorder="1" applyAlignment="1">
      <alignment horizontal="left"/>
    </xf>
    <xf numFmtId="0" fontId="52" fillId="2" borderId="11" xfId="0" applyFont="1" applyFill="1" applyBorder="1"/>
    <xf numFmtId="0" fontId="72" fillId="2" borderId="23" xfId="0" applyFont="1" applyFill="1" applyBorder="1"/>
    <xf numFmtId="0" fontId="72" fillId="2" borderId="54" xfId="0" applyFont="1" applyFill="1" applyBorder="1"/>
    <xf numFmtId="0" fontId="72" fillId="2" borderId="11" xfId="0" applyFont="1" applyFill="1" applyBorder="1"/>
    <xf numFmtId="0" fontId="52" fillId="2" borderId="23" xfId="0" applyFont="1" applyFill="1" applyBorder="1"/>
    <xf numFmtId="0" fontId="52" fillId="0" borderId="12" xfId="0" applyFont="1" applyBorder="1" applyAlignment="1"/>
    <xf numFmtId="0" fontId="52" fillId="0" borderId="11" xfId="0" applyFont="1" applyBorder="1" applyAlignment="1"/>
    <xf numFmtId="0" fontId="7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2" fillId="0" borderId="21" xfId="0" applyFont="1" applyBorder="1" applyAlignment="1">
      <alignment horizontal="left" vertical="top"/>
    </xf>
    <xf numFmtId="0" fontId="74" fillId="0" borderId="21" xfId="0" applyFont="1" applyBorder="1" applyAlignment="1">
      <alignment horizontal="left" vertical="top" wrapText="1"/>
    </xf>
    <xf numFmtId="0" fontId="72" fillId="0" borderId="21" xfId="0" applyFont="1" applyBorder="1" applyAlignment="1">
      <alignment horizontal="left" vertical="top" wrapText="1"/>
    </xf>
    <xf numFmtId="0" fontId="72" fillId="0" borderId="26" xfId="0" applyFont="1" applyBorder="1" applyAlignment="1">
      <alignment horizontal="left" vertical="top"/>
    </xf>
    <xf numFmtId="9" fontId="72" fillId="0" borderId="21" xfId="6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 wrapText="1"/>
    </xf>
    <xf numFmtId="0" fontId="72" fillId="0" borderId="55" xfId="0" applyFont="1" applyBorder="1" applyAlignment="1">
      <alignment horizontal="left" vertical="top"/>
    </xf>
    <xf numFmtId="9" fontId="72" fillId="0" borderId="17" xfId="6" applyFont="1" applyBorder="1" applyAlignment="1">
      <alignment horizontal="left" vertical="top"/>
    </xf>
    <xf numFmtId="165" fontId="72" fillId="0" borderId="17" xfId="0" applyNumberFormat="1" applyFont="1" applyBorder="1" applyAlignment="1">
      <alignment horizontal="left" vertical="top"/>
    </xf>
    <xf numFmtId="0" fontId="73" fillId="0" borderId="17" xfId="0" applyFont="1" applyBorder="1" applyAlignment="1">
      <alignment horizontal="left" vertical="top" wrapText="1"/>
    </xf>
    <xf numFmtId="0" fontId="72" fillId="0" borderId="17" xfId="0" applyFont="1" applyFill="1" applyBorder="1" applyAlignment="1">
      <alignment horizontal="left" vertical="top"/>
    </xf>
    <xf numFmtId="0" fontId="72" fillId="0" borderId="17" xfId="0" applyFont="1" applyFill="1" applyBorder="1" applyAlignment="1">
      <alignment horizontal="left" vertical="top" wrapText="1"/>
    </xf>
    <xf numFmtId="0" fontId="72" fillId="0" borderId="22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 wrapText="1"/>
    </xf>
    <xf numFmtId="0" fontId="72" fillId="0" borderId="56" xfId="0" applyFont="1" applyBorder="1" applyAlignment="1">
      <alignment horizontal="left" vertical="top"/>
    </xf>
    <xf numFmtId="9" fontId="72" fillId="0" borderId="22" xfId="6" applyFont="1" applyBorder="1" applyAlignment="1">
      <alignment horizontal="left" vertical="top"/>
    </xf>
    <xf numFmtId="0" fontId="0" fillId="0" borderId="0" xfId="0" applyAlignment="1">
      <alignment wrapText="1"/>
    </xf>
    <xf numFmtId="3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/>
    </xf>
    <xf numFmtId="3" fontId="24" fillId="0" borderId="18" xfId="0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Fill="1" applyBorder="1" applyAlignment="1" applyProtection="1">
      <alignment horizontal="right" vertical="center" wrapText="1"/>
    </xf>
    <xf numFmtId="3" fontId="39" fillId="0" borderId="16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73" fillId="2" borderId="19" xfId="0" applyFont="1" applyFill="1" applyBorder="1" applyAlignment="1">
      <alignment horizontal="center" vertical="center"/>
    </xf>
    <xf numFmtId="0" fontId="73" fillId="2" borderId="1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 applyProtection="1">
      <alignment horizontal="right" vertical="center" wrapText="1"/>
    </xf>
    <xf numFmtId="0" fontId="75" fillId="0" borderId="0" xfId="0" applyFont="1" applyBorder="1"/>
    <xf numFmtId="0" fontId="3" fillId="0" borderId="52" xfId="0" applyFont="1" applyFill="1" applyBorder="1" applyAlignment="1">
      <alignment horizontal="left" vertical="top" wrapText="1"/>
    </xf>
    <xf numFmtId="0" fontId="3" fillId="0" borderId="55" xfId="0" applyFont="1" applyFill="1" applyBorder="1" applyAlignment="1">
      <alignment horizontal="justify" vertical="top" wrapText="1"/>
    </xf>
    <xf numFmtId="166" fontId="3" fillId="0" borderId="17" xfId="0" applyNumberFormat="1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left" vertical="top" wrapText="1" indent="1"/>
    </xf>
    <xf numFmtId="0" fontId="1" fillId="0" borderId="55" xfId="0" applyFont="1" applyFill="1" applyBorder="1" applyAlignment="1">
      <alignment horizontal="justify" vertical="top" wrapText="1"/>
    </xf>
    <xf numFmtId="166" fontId="1" fillId="0" borderId="17" xfId="8" applyNumberFormat="1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left" vertical="top" wrapText="1" indent="2"/>
    </xf>
    <xf numFmtId="166" fontId="1" fillId="0" borderId="17" xfId="0" applyNumberFormat="1" applyFont="1" applyFill="1" applyBorder="1" applyAlignment="1">
      <alignment horizontal="right" vertical="center" wrapText="1"/>
    </xf>
    <xf numFmtId="166" fontId="1" fillId="0" borderId="51" xfId="6" applyNumberFormat="1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left" vertical="top" wrapText="1" indent="3"/>
    </xf>
    <xf numFmtId="166" fontId="1" fillId="0" borderId="51" xfId="0" applyNumberFormat="1" applyFont="1" applyFill="1" applyBorder="1" applyAlignment="1">
      <alignment horizontal="right" vertical="center" wrapText="1"/>
    </xf>
    <xf numFmtId="0" fontId="3" fillId="0" borderId="52" xfId="0" applyFont="1" applyFill="1" applyBorder="1" applyAlignment="1">
      <alignment horizontal="left" vertical="center" wrapText="1"/>
    </xf>
    <xf numFmtId="166" fontId="1" fillId="0" borderId="55" xfId="6" applyNumberFormat="1" applyFont="1" applyFill="1" applyBorder="1" applyAlignment="1">
      <alignment horizontal="right" vertical="center" wrapText="1"/>
    </xf>
    <xf numFmtId="0" fontId="3" fillId="0" borderId="52" xfId="0" applyFont="1" applyFill="1" applyBorder="1" applyAlignment="1">
      <alignment horizontal="left" vertical="top" wrapText="1" indent="3"/>
    </xf>
    <xf numFmtId="0" fontId="3" fillId="0" borderId="55" xfId="0" applyNumberFormat="1" applyFont="1" applyFill="1" applyBorder="1" applyAlignment="1" applyProtection="1">
      <alignment horizontal="justify" vertical="top" wrapText="1"/>
    </xf>
    <xf numFmtId="3" fontId="3" fillId="0" borderId="17" xfId="0" applyNumberFormat="1" applyFont="1" applyFill="1" applyBorder="1" applyAlignment="1" applyProtection="1"/>
    <xf numFmtId="0" fontId="1" fillId="0" borderId="55" xfId="0" applyNumberFormat="1" applyFont="1" applyFill="1" applyBorder="1" applyAlignment="1" applyProtection="1">
      <alignment horizontal="justify" vertical="top" wrapText="1"/>
    </xf>
    <xf numFmtId="3" fontId="1" fillId="0" borderId="17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justify" vertical="top" wrapText="1"/>
    </xf>
    <xf numFmtId="0" fontId="1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>
      <alignment horizontal="right" vertical="center" wrapText="1"/>
    </xf>
    <xf numFmtId="3" fontId="1" fillId="0" borderId="5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/>
    <xf numFmtId="0" fontId="1" fillId="0" borderId="53" xfId="0" applyFont="1" applyFill="1" applyBorder="1" applyAlignment="1">
      <alignment horizontal="left" vertical="top" wrapText="1" indent="3"/>
    </xf>
    <xf numFmtId="0" fontId="1" fillId="0" borderId="8" xfId="0" applyNumberFormat="1" applyFont="1" applyFill="1" applyBorder="1" applyAlignment="1" applyProtection="1"/>
    <xf numFmtId="3" fontId="1" fillId="0" borderId="16" xfId="0" applyNumberFormat="1" applyFont="1" applyFill="1" applyBorder="1" applyAlignment="1" applyProtection="1"/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0" fontId="1" fillId="0" borderId="53" xfId="0" applyFont="1" applyFill="1" applyBorder="1" applyAlignment="1">
      <alignment horizontal="justify" vertical="center" wrapText="1"/>
    </xf>
    <xf numFmtId="0" fontId="1" fillId="0" borderId="57" xfId="0" applyFont="1" applyFill="1" applyBorder="1" applyAlignment="1">
      <alignment horizontal="justify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41" fillId="0" borderId="21" xfId="0" applyFont="1" applyBorder="1" applyAlignment="1">
      <alignment wrapText="1"/>
    </xf>
    <xf numFmtId="0" fontId="41" fillId="0" borderId="17" xfId="0" applyFont="1" applyBorder="1" applyAlignment="1">
      <alignment horizontal="center" vertical="center" wrapText="1"/>
    </xf>
    <xf numFmtId="3" fontId="41" fillId="0" borderId="21" xfId="0" applyNumberFormat="1" applyFont="1" applyBorder="1" applyAlignment="1">
      <alignment horizontal="right" vertical="center"/>
    </xf>
    <xf numFmtId="3" fontId="41" fillId="0" borderId="17" xfId="0" applyNumberFormat="1" applyFont="1" applyBorder="1" applyAlignment="1">
      <alignment horizontal="right" vertical="center"/>
    </xf>
    <xf numFmtId="3" fontId="41" fillId="0" borderId="40" xfId="0" applyNumberFormat="1" applyFont="1" applyBorder="1" applyAlignment="1">
      <alignment horizontal="right" vertical="center"/>
    </xf>
    <xf numFmtId="3" fontId="58" fillId="0" borderId="0" xfId="0" applyNumberFormat="1" applyFont="1" applyAlignment="1" applyProtection="1">
      <alignment vertical="center"/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4" fontId="0" fillId="0" borderId="0" xfId="0" applyNumberFormat="1"/>
    <xf numFmtId="0" fontId="0" fillId="0" borderId="5" xfId="0" quotePrefix="1" applyBorder="1"/>
    <xf numFmtId="0" fontId="0" fillId="0" borderId="0" xfId="0" applyBorder="1"/>
    <xf numFmtId="0" fontId="52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8" fillId="0" borderId="0" xfId="0" applyFont="1" applyAlignment="1">
      <alignment horizontal="center" vertical="center" wrapText="1"/>
    </xf>
    <xf numFmtId="0" fontId="52" fillId="0" borderId="8" xfId="0" applyFont="1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9" fontId="0" fillId="0" borderId="0" xfId="0" applyNumberFormat="1"/>
    <xf numFmtId="0" fontId="36" fillId="0" borderId="0" xfId="0" applyFont="1" applyFill="1"/>
    <xf numFmtId="4" fontId="5" fillId="0" borderId="0" xfId="0" applyNumberFormat="1" applyFont="1" applyFill="1" applyProtection="1">
      <protection locked="0"/>
    </xf>
    <xf numFmtId="0" fontId="51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78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77" fillId="0" borderId="0" xfId="0" applyFont="1" applyFill="1" applyBorder="1" applyAlignment="1">
      <alignment horizontal="center" vertical="top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top"/>
    </xf>
    <xf numFmtId="0" fontId="76" fillId="0" borderId="0" xfId="0" applyFont="1" applyFill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 applyProtection="1">
      <alignment horizontal="center" vertical="center" wrapText="1"/>
    </xf>
    <xf numFmtId="0" fontId="59" fillId="0" borderId="0" xfId="0" applyFont="1" applyFill="1" applyAlignment="1" applyProtection="1">
      <alignment horizontal="left" vertical="justify" indent="3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59" fillId="0" borderId="0" xfId="0" applyFont="1" applyFill="1" applyAlignment="1" applyProtection="1">
      <alignment horizontal="left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41" fillId="2" borderId="35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41" fillId="2" borderId="37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3" fillId="2" borderId="19" xfId="0" applyFont="1" applyFill="1" applyBorder="1" applyAlignment="1">
      <alignment horizontal="center" vertical="center"/>
    </xf>
    <xf numFmtId="0" fontId="73" fillId="2" borderId="19" xfId="0" applyFont="1" applyFill="1" applyBorder="1" applyAlignment="1">
      <alignment horizontal="center" vertical="center" textRotation="90" wrapText="1"/>
    </xf>
    <xf numFmtId="0" fontId="73" fillId="2" borderId="21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73" fillId="2" borderId="19" xfId="0" applyFont="1" applyFill="1" applyBorder="1" applyAlignment="1">
      <alignment horizontal="center" vertical="center" textRotation="90"/>
    </xf>
    <xf numFmtId="0" fontId="73" fillId="2" borderId="19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center" wrapText="1"/>
    </xf>
    <xf numFmtId="0" fontId="74" fillId="0" borderId="19" xfId="0" applyFont="1" applyBorder="1" applyAlignment="1">
      <alignment horizontal="center" wrapText="1"/>
    </xf>
    <xf numFmtId="0" fontId="74" fillId="0" borderId="22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3" fillId="2" borderId="41" xfId="0" applyFont="1" applyFill="1" applyBorder="1" applyAlignment="1">
      <alignment horizontal="center" vertical="center"/>
    </xf>
    <xf numFmtId="0" fontId="73" fillId="2" borderId="36" xfId="0" applyFont="1" applyFill="1" applyBorder="1" applyAlignment="1">
      <alignment horizontal="center" vertical="center"/>
    </xf>
    <xf numFmtId="0" fontId="73" fillId="2" borderId="4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justify" vertical="distributed" wrapText="1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25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41" fillId="2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1" fillId="0" borderId="33" xfId="0" applyFont="1" applyFill="1" applyBorder="1" applyAlignment="1" applyProtection="1">
      <alignment horizontal="center" vertical="center"/>
      <protection locked="0"/>
    </xf>
    <xf numFmtId="0" fontId="41" fillId="2" borderId="39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center"/>
    </xf>
    <xf numFmtId="3" fontId="5" fillId="0" borderId="0" xfId="0" applyNumberFormat="1" applyFont="1" applyAlignment="1" applyProtection="1">
      <alignment vertical="center"/>
      <protection locked="0"/>
    </xf>
  </cellXfs>
  <cellStyles count="14"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5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812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602008</xdr:colOff>
      <xdr:row>0</xdr:row>
      <xdr:rowOff>38100</xdr:rowOff>
    </xdr:from>
    <xdr:ext cx="858825" cy="254557"/>
    <xdr:sp macro="" textlink="">
      <xdr:nvSpPr>
        <xdr:cNvPr id="3" name="2 CuadroTexto"/>
        <xdr:cNvSpPr txBox="1"/>
      </xdr:nvSpPr>
      <xdr:spPr>
        <a:xfrm>
          <a:off x="617413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9</xdr:col>
      <xdr:colOff>558730</xdr:colOff>
      <xdr:row>3</xdr:row>
      <xdr:rowOff>104775</xdr:rowOff>
    </xdr:from>
    <xdr:ext cx="184731" cy="254557"/>
    <xdr:sp macro="" textlink="">
      <xdr:nvSpPr>
        <xdr:cNvPr id="4" name="3 CuadroTexto"/>
        <xdr:cNvSpPr txBox="1"/>
      </xdr:nvSpPr>
      <xdr:spPr>
        <a:xfrm>
          <a:off x="6892855" y="676275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</xdr:row>
          <xdr:rowOff>133350</xdr:rowOff>
        </xdr:from>
        <xdr:to>
          <xdr:col>9</xdr:col>
          <xdr:colOff>523875</xdr:colOff>
          <xdr:row>48</xdr:row>
          <xdr:rowOff>66675</xdr:rowOff>
        </xdr:to>
        <xdr:sp macro="" textlink="">
          <xdr:nvSpPr>
            <xdr:cNvPr id="41985" name="Object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56</xdr:row>
          <xdr:rowOff>47625</xdr:rowOff>
        </xdr:from>
        <xdr:to>
          <xdr:col>9</xdr:col>
          <xdr:colOff>371475</xdr:colOff>
          <xdr:row>99</xdr:row>
          <xdr:rowOff>142875</xdr:rowOff>
        </xdr:to>
        <xdr:sp macro="" textlink="">
          <xdr:nvSpPr>
            <xdr:cNvPr id="41986" name="Object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112</xdr:row>
          <xdr:rowOff>171450</xdr:rowOff>
        </xdr:from>
        <xdr:to>
          <xdr:col>9</xdr:col>
          <xdr:colOff>723900</xdr:colOff>
          <xdr:row>155</xdr:row>
          <xdr:rowOff>38100</xdr:rowOff>
        </xdr:to>
        <xdr:sp macro="" textlink="">
          <xdr:nvSpPr>
            <xdr:cNvPr id="41987" name="Object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161925</xdr:rowOff>
        </xdr:from>
        <xdr:to>
          <xdr:col>9</xdr:col>
          <xdr:colOff>581025</xdr:colOff>
          <xdr:row>212</xdr:row>
          <xdr:rowOff>0</xdr:rowOff>
        </xdr:to>
        <xdr:sp macro="" textlink="">
          <xdr:nvSpPr>
            <xdr:cNvPr id="41988" name="Object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225</xdr:row>
          <xdr:rowOff>0</xdr:rowOff>
        </xdr:from>
        <xdr:to>
          <xdr:col>9</xdr:col>
          <xdr:colOff>647700</xdr:colOff>
          <xdr:row>267</xdr:row>
          <xdr:rowOff>66675</xdr:rowOff>
        </xdr:to>
        <xdr:sp macro="" textlink="">
          <xdr:nvSpPr>
            <xdr:cNvPr id="41989" name="Object 5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280</xdr:row>
          <xdr:rowOff>0</xdr:rowOff>
        </xdr:from>
        <xdr:to>
          <xdr:col>9</xdr:col>
          <xdr:colOff>647700</xdr:colOff>
          <xdr:row>323</xdr:row>
          <xdr:rowOff>38100</xdr:rowOff>
        </xdr:to>
        <xdr:sp macro="" textlink="">
          <xdr:nvSpPr>
            <xdr:cNvPr id="41990" name="Object 6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336</xdr:row>
          <xdr:rowOff>0</xdr:rowOff>
        </xdr:from>
        <xdr:to>
          <xdr:col>9</xdr:col>
          <xdr:colOff>638175</xdr:colOff>
          <xdr:row>380</xdr:row>
          <xdr:rowOff>95250</xdr:rowOff>
        </xdr:to>
        <xdr:sp macro="" textlink="">
          <xdr:nvSpPr>
            <xdr:cNvPr id="41991" name="Object 7" hidden="1">
              <a:extLst>
                <a:ext uri="{63B3BB69-23CF-44E3-9099-C40C66FF867C}">
                  <a14:compatExt spid="_x0000_s4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394</xdr:row>
          <xdr:rowOff>0</xdr:rowOff>
        </xdr:from>
        <xdr:to>
          <xdr:col>9</xdr:col>
          <xdr:colOff>638175</xdr:colOff>
          <xdr:row>438</xdr:row>
          <xdr:rowOff>142875</xdr:rowOff>
        </xdr:to>
        <xdr:sp macro="" textlink="">
          <xdr:nvSpPr>
            <xdr:cNvPr id="41992" name="Object 8" hidden="1">
              <a:extLst>
                <a:ext uri="{63B3BB69-23CF-44E3-9099-C40C66FF867C}">
                  <a14:compatExt spid="_x0000_s4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452</xdr:row>
          <xdr:rowOff>0</xdr:rowOff>
        </xdr:from>
        <xdr:to>
          <xdr:col>9</xdr:col>
          <xdr:colOff>647700</xdr:colOff>
          <xdr:row>496</xdr:row>
          <xdr:rowOff>104775</xdr:rowOff>
        </xdr:to>
        <xdr:sp macro="" textlink="">
          <xdr:nvSpPr>
            <xdr:cNvPr id="41993" name="Object 9" hidden="1">
              <a:extLst>
                <a:ext uri="{63B3BB69-23CF-44E3-9099-C40C66FF867C}">
                  <a14:compatExt spid="_x0000_s4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511</xdr:row>
          <xdr:rowOff>19050</xdr:rowOff>
        </xdr:from>
        <xdr:to>
          <xdr:col>10</xdr:col>
          <xdr:colOff>161925</xdr:colOff>
          <xdr:row>554</xdr:row>
          <xdr:rowOff>152400</xdr:rowOff>
        </xdr:to>
        <xdr:sp macro="" textlink="">
          <xdr:nvSpPr>
            <xdr:cNvPr id="41994" name="Object 10" hidden="1">
              <a:extLst>
                <a:ext uri="{63B3BB69-23CF-44E3-9099-C40C66FF867C}">
                  <a14:compatExt spid="_x0000_s4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568</xdr:row>
          <xdr:rowOff>161925</xdr:rowOff>
        </xdr:from>
        <xdr:to>
          <xdr:col>9</xdr:col>
          <xdr:colOff>647700</xdr:colOff>
          <xdr:row>611</xdr:row>
          <xdr:rowOff>123825</xdr:rowOff>
        </xdr:to>
        <xdr:sp macro="" textlink="">
          <xdr:nvSpPr>
            <xdr:cNvPr id="41995" name="Object 11" hidden="1">
              <a:extLst>
                <a:ext uri="{63B3BB69-23CF-44E3-9099-C40C66FF867C}">
                  <a14:compatExt spid="_x0000_s4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45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34075" cy="874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42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19825" cy="805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estros/Desktop/CUENTA%20PUBLICA%202015/Cuenta%20Publica%202015%20Formatos%20CPCA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A-I-01"/>
      <sheetName val="CPCA-I-01-A"/>
      <sheetName val="CPCA-I-01-B"/>
      <sheetName val="CPCA-I-02"/>
      <sheetName val="CPCA-I-03"/>
      <sheetName val="CPCA-I-04"/>
      <sheetName val="CPCA-I-05 Notas"/>
      <sheetName val="CPCA-I-06"/>
      <sheetName val="CPCA-I-07"/>
      <sheetName val="CPCA-II-08 "/>
      <sheetName val="CPCA-II-08-A"/>
      <sheetName val="CPCA-II-09 "/>
      <sheetName val="CPCA-II-09-A. "/>
      <sheetName val="CPCA-II-09-B "/>
      <sheetName val="CPCA-II-09-C"/>
      <sheetName val="CPCA-II-09-D"/>
      <sheetName val="CPCA-II-10"/>
      <sheetName val="CPCA-II-11"/>
      <sheetName val="CPCA-II-12"/>
      <sheetName val="CPCA-III-13"/>
      <sheetName val="CPCA-III-13 (Indicador 1)"/>
      <sheetName val="CPCA-III-13 (Indicador 2)"/>
      <sheetName val="CPCA-III-13 (Indicador 3)"/>
      <sheetName val="CPCA-III-14"/>
      <sheetName val="CPCA-III-15_"/>
      <sheetName val="CPCA-III-15_1"/>
      <sheetName val="CPCA-III-15_2"/>
      <sheetName val="CPCA-IV-16"/>
      <sheetName val="CPCA-IV-17"/>
      <sheetName val="CPCA-IV-18"/>
      <sheetName val="Lista  FORMATOS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Universidad Tecnológica de Guaymas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</sheetData>
      <sheetData sheetId="6">
        <row r="7">
          <cell r="C7">
            <v>0</v>
          </cell>
        </row>
        <row r="57">
          <cell r="B5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Documento_de_Microsoft_Word3.docx"/><Relationship Id="rId13" Type="http://schemas.openxmlformats.org/officeDocument/2006/relationships/image" Target="../media/image5.emf"/><Relationship Id="rId18" Type="http://schemas.openxmlformats.org/officeDocument/2006/relationships/package" Target="../embeddings/Documento_de_Microsoft_Word8.docx"/><Relationship Id="rId3" Type="http://schemas.openxmlformats.org/officeDocument/2006/relationships/vmlDrawing" Target="../drawings/vmlDrawing5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package" Target="../embeddings/Documento_de_Microsoft_Word5.docx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package" Target="../embeddings/Documento_de_Microsoft_Word7.docx"/><Relationship Id="rId20" Type="http://schemas.openxmlformats.org/officeDocument/2006/relationships/package" Target="../embeddings/Documento_de_Microsoft_Word9.docx"/><Relationship Id="rId1" Type="http://schemas.openxmlformats.org/officeDocument/2006/relationships/printerSettings" Target="../printerSettings/printerSettings10.bin"/><Relationship Id="rId6" Type="http://schemas.openxmlformats.org/officeDocument/2006/relationships/package" Target="../embeddings/Documento_de_Microsoft_Word2.docx"/><Relationship Id="rId11" Type="http://schemas.openxmlformats.org/officeDocument/2006/relationships/image" Target="../media/image4.emf"/><Relationship Id="rId24" Type="http://schemas.openxmlformats.org/officeDocument/2006/relationships/package" Target="../embeddings/Documento_de_Microsoft_Word11.docx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package" Target="../embeddings/Documento_de_Microsoft_Word4.docx"/><Relationship Id="rId19" Type="http://schemas.openxmlformats.org/officeDocument/2006/relationships/image" Target="../media/image8.emf"/><Relationship Id="rId4" Type="http://schemas.openxmlformats.org/officeDocument/2006/relationships/package" Target="../embeddings/Documento_de_Microsoft_Word1.docx"/><Relationship Id="rId9" Type="http://schemas.openxmlformats.org/officeDocument/2006/relationships/image" Target="../media/image3.emf"/><Relationship Id="rId14" Type="http://schemas.openxmlformats.org/officeDocument/2006/relationships/package" Target="../embeddings/Documento_de_Microsoft_Word6.docx"/><Relationship Id="rId22" Type="http://schemas.openxmlformats.org/officeDocument/2006/relationships/package" Target="../embeddings/Documento_de_Microsoft_Word10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view="pageBreakPreview" topLeftCell="B24" zoomScale="80" zoomScaleNormal="115" zoomScaleSheetLayoutView="80" workbookViewId="0">
      <selection activeCell="D53" sqref="D53"/>
    </sheetView>
  </sheetViews>
  <sheetFormatPr baseColWidth="10" defaultColWidth="11.42578125" defaultRowHeight="15" customHeight="1" x14ac:dyDescent="0.3"/>
  <cols>
    <col min="1" max="1" width="0.5703125" style="3" hidden="1" customWidth="1"/>
    <col min="2" max="2" width="3.28515625" style="3" customWidth="1"/>
    <col min="3" max="3" width="14.42578125" style="3" customWidth="1"/>
    <col min="4" max="4" width="71.42578125" style="3" customWidth="1"/>
    <col min="5" max="5" width="3" style="3" customWidth="1"/>
    <col min="6" max="16384" width="11.42578125" style="3"/>
  </cols>
  <sheetData>
    <row r="1" spans="1:4" ht="15" hidden="1" customHeight="1" x14ac:dyDescent="0.3">
      <c r="A1" s="800" t="s">
        <v>0</v>
      </c>
      <c r="B1" s="800"/>
      <c r="C1" s="800"/>
      <c r="D1" s="800"/>
    </row>
    <row r="2" spans="1:4" ht="15" hidden="1" customHeight="1" x14ac:dyDescent="0.3">
      <c r="A2" s="800" t="s">
        <v>1</v>
      </c>
      <c r="B2" s="800"/>
      <c r="C2" s="800"/>
      <c r="D2" s="800"/>
    </row>
    <row r="3" spans="1:4" ht="15" hidden="1" customHeight="1" x14ac:dyDescent="0.3">
      <c r="A3" s="801" t="s">
        <v>2</v>
      </c>
      <c r="B3" s="801"/>
      <c r="C3" s="801"/>
      <c r="D3" s="801"/>
    </row>
    <row r="4" spans="1:4" ht="15" hidden="1" customHeight="1" x14ac:dyDescent="0.3">
      <c r="A4" s="801" t="s">
        <v>3</v>
      </c>
      <c r="B4" s="801"/>
      <c r="C4" s="801"/>
      <c r="D4" s="801"/>
    </row>
    <row r="5" spans="1:4" ht="15" hidden="1" customHeight="1" x14ac:dyDescent="0.3">
      <c r="A5" s="801" t="s">
        <v>4</v>
      </c>
      <c r="B5" s="801"/>
      <c r="C5" s="801"/>
      <c r="D5" s="801"/>
    </row>
    <row r="6" spans="1:4" ht="27.75" customHeight="1" x14ac:dyDescent="0.4">
      <c r="A6" s="712"/>
      <c r="B6" s="712"/>
      <c r="C6" s="37" t="s">
        <v>5</v>
      </c>
      <c r="D6" s="712"/>
    </row>
    <row r="7" spans="1:4" ht="9" customHeight="1" x14ac:dyDescent="0.3">
      <c r="A7" s="712"/>
      <c r="B7" s="712"/>
      <c r="C7" s="712"/>
      <c r="D7" s="712"/>
    </row>
    <row r="8" spans="1:4" ht="15" customHeight="1" x14ac:dyDescent="0.3">
      <c r="B8" s="38"/>
      <c r="C8" s="39" t="s">
        <v>6</v>
      </c>
      <c r="D8" s="38"/>
    </row>
    <row r="9" spans="1:4" ht="9.75" customHeight="1" x14ac:dyDescent="0.3">
      <c r="D9" s="25"/>
    </row>
    <row r="10" spans="1:4" s="21" customFormat="1" ht="15" customHeight="1" x14ac:dyDescent="0.3">
      <c r="B10" s="40" t="s">
        <v>7</v>
      </c>
      <c r="C10" s="41" t="s">
        <v>8</v>
      </c>
      <c r="D10" s="40" t="s">
        <v>9</v>
      </c>
    </row>
    <row r="11" spans="1:4" s="21" customFormat="1" ht="6.75" customHeight="1" x14ac:dyDescent="0.3">
      <c r="B11" s="42"/>
      <c r="C11" s="42"/>
      <c r="D11" s="42"/>
    </row>
    <row r="12" spans="1:4" s="21" customFormat="1" ht="15" customHeight="1" x14ac:dyDescent="0.3">
      <c r="B12" s="720"/>
      <c r="C12" s="802" t="s">
        <v>10</v>
      </c>
      <c r="D12" s="802"/>
    </row>
    <row r="13" spans="1:4" ht="15" customHeight="1" x14ac:dyDescent="0.3">
      <c r="B13" s="48">
        <v>1</v>
      </c>
      <c r="C13" s="49" t="s">
        <v>11</v>
      </c>
      <c r="D13" s="50" t="s">
        <v>12</v>
      </c>
    </row>
    <row r="14" spans="1:4" ht="15" customHeight="1" x14ac:dyDescent="0.3">
      <c r="B14" s="48">
        <v>2</v>
      </c>
      <c r="C14" s="49" t="s">
        <v>13</v>
      </c>
      <c r="D14" s="50" t="s">
        <v>14</v>
      </c>
    </row>
    <row r="15" spans="1:4" ht="15" customHeight="1" x14ac:dyDescent="0.3">
      <c r="B15" s="48">
        <v>3</v>
      </c>
      <c r="C15" s="49" t="s">
        <v>15</v>
      </c>
      <c r="D15" s="50" t="s">
        <v>16</v>
      </c>
    </row>
    <row r="16" spans="1:4" ht="15" customHeight="1" x14ac:dyDescent="0.3">
      <c r="B16" s="48">
        <v>4</v>
      </c>
      <c r="C16" s="49" t="s">
        <v>17</v>
      </c>
      <c r="D16" s="50" t="s">
        <v>18</v>
      </c>
    </row>
    <row r="17" spans="2:4" ht="15" customHeight="1" x14ac:dyDescent="0.3">
      <c r="B17" s="48">
        <v>5</v>
      </c>
      <c r="C17" s="49" t="s">
        <v>19</v>
      </c>
      <c r="D17" s="50" t="s">
        <v>20</v>
      </c>
    </row>
    <row r="18" spans="2:4" ht="15" customHeight="1" x14ac:dyDescent="0.3">
      <c r="B18" s="48">
        <v>6</v>
      </c>
      <c r="C18" s="49" t="s">
        <v>21</v>
      </c>
      <c r="D18" s="50" t="s">
        <v>22</v>
      </c>
    </row>
    <row r="19" spans="2:4" ht="15" customHeight="1" x14ac:dyDescent="0.3">
      <c r="B19" s="48">
        <v>7</v>
      </c>
      <c r="C19" s="49" t="s">
        <v>23</v>
      </c>
      <c r="D19" s="50" t="s">
        <v>24</v>
      </c>
    </row>
    <row r="20" spans="2:4" ht="15" customHeight="1" x14ac:dyDescent="0.3">
      <c r="B20" s="48">
        <v>8</v>
      </c>
      <c r="C20" s="49" t="s">
        <v>25</v>
      </c>
      <c r="D20" s="50" t="s">
        <v>26</v>
      </c>
    </row>
    <row r="21" spans="2:4" ht="15" customHeight="1" x14ac:dyDescent="0.3">
      <c r="B21" s="48">
        <v>9</v>
      </c>
      <c r="C21" s="49" t="s">
        <v>27</v>
      </c>
      <c r="D21" s="50" t="s">
        <v>28</v>
      </c>
    </row>
    <row r="22" spans="2:4" ht="6.75" customHeight="1" x14ac:dyDescent="0.3">
      <c r="B22" s="42"/>
      <c r="C22" s="42"/>
      <c r="D22" s="42"/>
    </row>
    <row r="23" spans="2:4" s="21" customFormat="1" ht="15" customHeight="1" x14ac:dyDescent="0.3">
      <c r="B23" s="59"/>
      <c r="C23" s="799" t="s">
        <v>29</v>
      </c>
      <c r="D23" s="799"/>
    </row>
    <row r="24" spans="2:4" ht="15" customHeight="1" x14ac:dyDescent="0.3">
      <c r="B24" s="48">
        <v>10</v>
      </c>
      <c r="C24" s="49" t="s">
        <v>30</v>
      </c>
      <c r="D24" s="50" t="s">
        <v>31</v>
      </c>
    </row>
    <row r="25" spans="2:4" ht="15" customHeight="1" x14ac:dyDescent="0.3">
      <c r="B25" s="51">
        <v>11</v>
      </c>
      <c r="C25" s="49" t="s">
        <v>32</v>
      </c>
      <c r="D25" s="52" t="s">
        <v>33</v>
      </c>
    </row>
    <row r="26" spans="2:4" ht="25.5" x14ac:dyDescent="0.3">
      <c r="B26" s="56">
        <v>12</v>
      </c>
      <c r="C26" s="57" t="s">
        <v>34</v>
      </c>
      <c r="D26" s="67" t="s">
        <v>35</v>
      </c>
    </row>
    <row r="27" spans="2:4" ht="25.5" x14ac:dyDescent="0.3">
      <c r="B27" s="56">
        <v>13</v>
      </c>
      <c r="C27" s="57" t="s">
        <v>36</v>
      </c>
      <c r="D27" s="67" t="s">
        <v>37</v>
      </c>
    </row>
    <row r="28" spans="2:4" ht="27" x14ac:dyDescent="0.3">
      <c r="B28" s="56">
        <v>14</v>
      </c>
      <c r="C28" s="57" t="s">
        <v>38</v>
      </c>
      <c r="D28" s="68" t="s">
        <v>39</v>
      </c>
    </row>
    <row r="29" spans="2:4" ht="27" x14ac:dyDescent="0.3">
      <c r="B29" s="56">
        <v>15</v>
      </c>
      <c r="C29" s="57" t="s">
        <v>40</v>
      </c>
      <c r="D29" s="68" t="s">
        <v>41</v>
      </c>
    </row>
    <row r="30" spans="2:4" ht="27" x14ac:dyDescent="0.3">
      <c r="B30" s="69">
        <v>16</v>
      </c>
      <c r="C30" s="57" t="s">
        <v>42</v>
      </c>
      <c r="D30" s="68" t="s">
        <v>43</v>
      </c>
    </row>
    <row r="31" spans="2:4" ht="27" x14ac:dyDescent="0.3">
      <c r="B31" s="69">
        <v>17</v>
      </c>
      <c r="C31" s="57" t="s">
        <v>44</v>
      </c>
      <c r="D31" s="68" t="s">
        <v>45</v>
      </c>
    </row>
    <row r="32" spans="2:4" ht="15" customHeight="1" x14ac:dyDescent="0.3">
      <c r="B32" s="54">
        <v>18</v>
      </c>
      <c r="C32" s="53" t="s">
        <v>46</v>
      </c>
      <c r="D32" s="55" t="s">
        <v>47</v>
      </c>
    </row>
    <row r="33" spans="2:4" ht="25.5" x14ac:dyDescent="0.3">
      <c r="B33" s="69">
        <v>19</v>
      </c>
      <c r="C33" s="57" t="s">
        <v>48</v>
      </c>
      <c r="D33" s="67" t="s">
        <v>49</v>
      </c>
    </row>
    <row r="34" spans="2:4" ht="15" customHeight="1" x14ac:dyDescent="0.3">
      <c r="B34" s="48">
        <v>20</v>
      </c>
      <c r="C34" s="53" t="s">
        <v>50</v>
      </c>
      <c r="D34" s="52" t="s">
        <v>51</v>
      </c>
    </row>
    <row r="35" spans="2:4" ht="15" customHeight="1" x14ac:dyDescent="0.3">
      <c r="B35" s="48">
        <v>21</v>
      </c>
      <c r="C35" s="49" t="s">
        <v>52</v>
      </c>
      <c r="D35" s="50" t="s">
        <v>53</v>
      </c>
    </row>
    <row r="36" spans="2:4" ht="7.5" customHeight="1" x14ac:dyDescent="0.3">
      <c r="B36" s="64"/>
      <c r="C36" s="65"/>
      <c r="D36" s="65"/>
    </row>
    <row r="37" spans="2:4" s="21" customFormat="1" ht="15" customHeight="1" x14ac:dyDescent="0.3">
      <c r="B37" s="59"/>
      <c r="C37" s="799" t="s">
        <v>54</v>
      </c>
      <c r="D37" s="799"/>
    </row>
    <row r="38" spans="2:4" ht="16.5" x14ac:dyDescent="0.3">
      <c r="B38" s="56">
        <v>22</v>
      </c>
      <c r="C38" s="57" t="s">
        <v>55</v>
      </c>
      <c r="D38" s="58" t="s">
        <v>56</v>
      </c>
    </row>
    <row r="39" spans="2:4" ht="43.5" customHeight="1" x14ac:dyDescent="0.3">
      <c r="B39" s="56">
        <v>23</v>
      </c>
      <c r="C39" s="57" t="s">
        <v>57</v>
      </c>
      <c r="D39" s="58" t="s">
        <v>58</v>
      </c>
    </row>
    <row r="40" spans="2:4" ht="16.5" x14ac:dyDescent="0.3">
      <c r="B40" s="56">
        <v>24</v>
      </c>
      <c r="C40" s="57" t="s">
        <v>59</v>
      </c>
      <c r="D40" s="58" t="s">
        <v>60</v>
      </c>
    </row>
    <row r="41" spans="2:4" ht="15" customHeight="1" x14ac:dyDescent="0.3">
      <c r="B41" s="48">
        <v>25</v>
      </c>
      <c r="C41" s="49" t="s">
        <v>61</v>
      </c>
      <c r="D41" s="50" t="s">
        <v>62</v>
      </c>
    </row>
    <row r="42" spans="2:4" ht="7.5" customHeight="1" x14ac:dyDescent="0.3">
      <c r="B42" s="64"/>
      <c r="C42" s="65"/>
      <c r="D42" s="65"/>
    </row>
    <row r="43" spans="2:4" s="21" customFormat="1" ht="15" customHeight="1" x14ac:dyDescent="0.3">
      <c r="B43" s="59"/>
      <c r="C43" s="799" t="s">
        <v>63</v>
      </c>
      <c r="D43" s="799"/>
    </row>
    <row r="44" spans="2:4" s="21" customFormat="1" ht="15" customHeight="1" x14ac:dyDescent="0.3">
      <c r="B44" s="59"/>
      <c r="C44" s="60" t="s">
        <v>64</v>
      </c>
      <c r="D44" s="60"/>
    </row>
    <row r="45" spans="2:4" ht="15" customHeight="1" x14ac:dyDescent="0.3">
      <c r="B45" s="61"/>
      <c r="C45" s="62" t="s">
        <v>65</v>
      </c>
      <c r="D45" s="61"/>
    </row>
    <row r="46" spans="2:4" ht="15" customHeight="1" x14ac:dyDescent="0.3">
      <c r="B46" s="48">
        <v>26</v>
      </c>
      <c r="C46" s="49" t="s">
        <v>66</v>
      </c>
      <c r="D46" s="50" t="s">
        <v>67</v>
      </c>
    </row>
    <row r="47" spans="2:4" ht="15" customHeight="1" x14ac:dyDescent="0.3">
      <c r="B47" s="48">
        <v>27</v>
      </c>
      <c r="C47" s="53" t="s">
        <v>68</v>
      </c>
      <c r="D47" s="52" t="s">
        <v>69</v>
      </c>
    </row>
    <row r="48" spans="2:4" ht="15" customHeight="1" x14ac:dyDescent="0.3">
      <c r="B48" s="48">
        <v>28</v>
      </c>
      <c r="C48" s="49" t="s">
        <v>70</v>
      </c>
      <c r="D48" s="50" t="s">
        <v>71</v>
      </c>
    </row>
    <row r="49" spans="2:4" ht="15" customHeight="1" x14ac:dyDescent="0.3">
      <c r="B49" s="48">
        <v>29</v>
      </c>
      <c r="C49" s="49" t="s">
        <v>72</v>
      </c>
      <c r="D49" s="50" t="s">
        <v>73</v>
      </c>
    </row>
    <row r="50" spans="2:4" ht="15" customHeight="1" x14ac:dyDescent="0.3">
      <c r="B50" s="48">
        <v>30</v>
      </c>
      <c r="C50" s="49" t="s">
        <v>74</v>
      </c>
      <c r="D50" s="50" t="s">
        <v>75</v>
      </c>
    </row>
  </sheetData>
  <mergeCells count="9">
    <mergeCell ref="C23:D23"/>
    <mergeCell ref="C37:D37"/>
    <mergeCell ref="C43:D43"/>
    <mergeCell ref="A1:D1"/>
    <mergeCell ref="A2:D2"/>
    <mergeCell ref="A3:D3"/>
    <mergeCell ref="A4:D4"/>
    <mergeCell ref="A5:D5"/>
    <mergeCell ref="C12:D12"/>
  </mergeCells>
  <printOptions horizontalCentered="1"/>
  <pageMargins left="0.39370078740157483" right="0.39370078740157483" top="0.51181102362204722" bottom="0.3937007874015748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R614"/>
  <sheetViews>
    <sheetView topLeftCell="A484" zoomScale="90" zoomScaleNormal="90" workbookViewId="0">
      <selection activeCell="R471" sqref="R471"/>
    </sheetView>
  </sheetViews>
  <sheetFormatPr baseColWidth="10" defaultRowHeight="15" x14ac:dyDescent="0.25"/>
  <cols>
    <col min="1" max="1" width="3.5703125" customWidth="1"/>
    <col min="12" max="12" width="14.7109375" bestFit="1" customWidth="1"/>
    <col min="14" max="14" width="12.5703125" bestFit="1" customWidth="1"/>
    <col min="15" max="15" width="13.42578125" customWidth="1"/>
  </cols>
  <sheetData>
    <row r="1" spans="1:18" x14ac:dyDescent="0.25">
      <c r="A1" s="853" t="s">
        <v>76</v>
      </c>
      <c r="B1" s="853"/>
      <c r="C1" s="853"/>
      <c r="D1" s="853"/>
      <c r="E1" s="853"/>
      <c r="F1" s="853"/>
      <c r="G1" s="853"/>
      <c r="H1" s="853"/>
      <c r="I1" s="853"/>
    </row>
    <row r="2" spans="1:18" x14ac:dyDescent="0.25">
      <c r="A2" s="854" t="s">
        <v>28</v>
      </c>
      <c r="B2" s="854"/>
      <c r="C2" s="854"/>
      <c r="D2" s="854"/>
      <c r="E2" s="854"/>
      <c r="F2" s="854"/>
      <c r="G2" s="854"/>
      <c r="H2" s="854"/>
      <c r="I2" s="854"/>
    </row>
    <row r="3" spans="1:18" x14ac:dyDescent="0.25">
      <c r="A3" s="855" t="str">
        <f>+'[1]CPCA-I-04'!A3:I3</f>
        <v>Universidad Tecnológica de Guaymas</v>
      </c>
      <c r="B3" s="855"/>
      <c r="C3" s="855"/>
      <c r="D3" s="855"/>
      <c r="E3" s="855"/>
      <c r="F3" s="855"/>
      <c r="G3" s="855"/>
      <c r="H3" s="855"/>
      <c r="I3" s="855"/>
      <c r="J3" s="855"/>
      <c r="L3" s="855"/>
      <c r="M3" s="855"/>
      <c r="N3" s="855"/>
      <c r="O3" s="855"/>
      <c r="P3" s="855"/>
      <c r="Q3" s="855"/>
      <c r="R3" s="855"/>
    </row>
    <row r="4" spans="1:18" x14ac:dyDescent="0.25">
      <c r="A4" s="854" t="s">
        <v>788</v>
      </c>
      <c r="B4" s="854"/>
      <c r="C4" s="854"/>
      <c r="D4" s="854"/>
      <c r="E4" s="854"/>
      <c r="F4" s="854"/>
      <c r="G4" s="854"/>
      <c r="H4" s="854"/>
      <c r="I4" s="854"/>
    </row>
    <row r="5" spans="1:18" ht="18" customHeight="1" thickBot="1" x14ac:dyDescent="0.3">
      <c r="A5" s="852" t="s">
        <v>78</v>
      </c>
      <c r="B5" s="852"/>
      <c r="C5" s="852"/>
      <c r="D5" s="852"/>
      <c r="E5" s="852"/>
      <c r="F5" s="852"/>
      <c r="G5" s="852"/>
      <c r="H5" s="852"/>
      <c r="I5" s="852"/>
    </row>
    <row r="6" spans="1:18" ht="15" customHeight="1" x14ac:dyDescent="0.25">
      <c r="A6" s="772"/>
      <c r="B6" s="773"/>
      <c r="C6" s="773"/>
      <c r="D6" s="773"/>
      <c r="E6" s="773"/>
      <c r="F6" s="773"/>
      <c r="G6" s="773"/>
      <c r="H6" s="773"/>
      <c r="I6" s="773"/>
      <c r="J6" s="774"/>
    </row>
    <row r="7" spans="1:18" ht="15" customHeight="1" x14ac:dyDescent="0.25">
      <c r="A7" s="775"/>
      <c r="B7" s="849"/>
      <c r="C7" s="847"/>
      <c r="D7" s="847"/>
      <c r="E7" s="847"/>
      <c r="F7" s="847"/>
      <c r="G7" s="847"/>
      <c r="H7" s="847"/>
      <c r="I7" s="847"/>
      <c r="J7" s="776"/>
    </row>
    <row r="8" spans="1:18" x14ac:dyDescent="0.25">
      <c r="A8" s="775"/>
      <c r="B8" s="847"/>
      <c r="C8" s="847"/>
      <c r="D8" s="847"/>
      <c r="E8" s="847"/>
      <c r="F8" s="847"/>
      <c r="G8" s="847"/>
      <c r="H8" s="847"/>
      <c r="I8" s="847"/>
      <c r="J8" s="776"/>
    </row>
    <row r="9" spans="1:18" x14ac:dyDescent="0.25">
      <c r="A9" s="775"/>
      <c r="B9" s="847"/>
      <c r="C9" s="847"/>
      <c r="D9" s="847"/>
      <c r="E9" s="847"/>
      <c r="F9" s="847"/>
      <c r="G9" s="847"/>
      <c r="H9" s="847"/>
      <c r="I9" s="847"/>
      <c r="J9" s="776"/>
    </row>
    <row r="10" spans="1:18" x14ac:dyDescent="0.25">
      <c r="A10" s="775"/>
      <c r="B10" s="847"/>
      <c r="C10" s="847"/>
      <c r="D10" s="847"/>
      <c r="E10" s="847"/>
      <c r="F10" s="847"/>
      <c r="G10" s="847"/>
      <c r="H10" s="847"/>
      <c r="I10" s="847"/>
      <c r="J10" s="776"/>
    </row>
    <row r="11" spans="1:18" ht="15" customHeight="1" x14ac:dyDescent="0.25">
      <c r="A11" s="775"/>
      <c r="B11" s="847"/>
      <c r="C11" s="847"/>
      <c r="D11" s="847"/>
      <c r="E11" s="847"/>
      <c r="F11" s="847"/>
      <c r="G11" s="847"/>
      <c r="H11" s="847"/>
      <c r="I11" s="847"/>
      <c r="J11" s="776"/>
      <c r="M11" t="s">
        <v>144</v>
      </c>
    </row>
    <row r="12" spans="1:18" ht="15" customHeight="1" x14ac:dyDescent="0.25">
      <c r="A12" s="775"/>
      <c r="B12" s="847"/>
      <c r="C12" s="847"/>
      <c r="D12" s="847"/>
      <c r="E12" s="847"/>
      <c r="F12" s="847"/>
      <c r="G12" s="847"/>
      <c r="H12" s="847"/>
      <c r="I12" s="847"/>
      <c r="J12" s="776"/>
    </row>
    <row r="13" spans="1:18" ht="15" customHeight="1" x14ac:dyDescent="0.25">
      <c r="A13" s="775"/>
      <c r="B13" s="847"/>
      <c r="C13" s="847"/>
      <c r="D13" s="847"/>
      <c r="E13" s="847"/>
      <c r="F13" s="847"/>
      <c r="G13" s="847"/>
      <c r="H13" s="847"/>
      <c r="I13" s="847"/>
      <c r="J13" s="776"/>
    </row>
    <row r="14" spans="1:18" ht="15" customHeight="1" x14ac:dyDescent="0.25">
      <c r="A14" s="775"/>
      <c r="B14" s="847"/>
      <c r="C14" s="847"/>
      <c r="D14" s="847"/>
      <c r="E14" s="847"/>
      <c r="F14" s="847"/>
      <c r="G14" s="847"/>
      <c r="H14" s="847"/>
      <c r="I14" s="847"/>
      <c r="J14" s="776"/>
    </row>
    <row r="15" spans="1:18" ht="15" customHeight="1" x14ac:dyDescent="0.25">
      <c r="A15" s="775"/>
      <c r="B15" s="847"/>
      <c r="C15" s="847"/>
      <c r="D15" s="847"/>
      <c r="E15" s="847"/>
      <c r="F15" s="847"/>
      <c r="G15" s="847"/>
      <c r="H15" s="847"/>
      <c r="I15" s="847"/>
      <c r="J15" s="776"/>
    </row>
    <row r="16" spans="1:18" ht="15" customHeight="1" x14ac:dyDescent="0.25">
      <c r="A16" s="775"/>
      <c r="B16" s="847"/>
      <c r="C16" s="847"/>
      <c r="D16" s="847"/>
      <c r="E16" s="847"/>
      <c r="F16" s="847"/>
      <c r="G16" s="847"/>
      <c r="H16" s="847"/>
      <c r="I16" s="847"/>
      <c r="J16" s="776"/>
    </row>
    <row r="17" spans="1:14" ht="15" customHeight="1" x14ac:dyDescent="0.25">
      <c r="A17" s="775"/>
      <c r="B17" s="847"/>
      <c r="C17" s="847"/>
      <c r="D17" s="847"/>
      <c r="E17" s="847"/>
      <c r="F17" s="847"/>
      <c r="G17" s="847"/>
      <c r="H17" s="847"/>
      <c r="I17" s="847"/>
      <c r="J17" s="776"/>
    </row>
    <row r="18" spans="1:14" x14ac:dyDescent="0.25">
      <c r="A18" s="775"/>
      <c r="B18" s="847"/>
      <c r="C18" s="847"/>
      <c r="D18" s="847"/>
      <c r="E18" s="847"/>
      <c r="F18" s="847"/>
      <c r="G18" s="847"/>
      <c r="H18" s="847"/>
      <c r="I18" s="847"/>
      <c r="J18" s="776"/>
    </row>
    <row r="19" spans="1:14" ht="21" customHeight="1" x14ac:dyDescent="0.25">
      <c r="A19" s="775"/>
      <c r="B19" s="847"/>
      <c r="C19" s="847"/>
      <c r="D19" s="847"/>
      <c r="E19" s="847"/>
      <c r="F19" s="847"/>
      <c r="G19" s="847"/>
      <c r="H19" s="847"/>
      <c r="I19" s="847"/>
      <c r="J19" s="776"/>
    </row>
    <row r="20" spans="1:14" ht="9.75" customHeight="1" x14ac:dyDescent="0.25">
      <c r="A20" s="775"/>
      <c r="B20" s="847"/>
      <c r="C20" s="847"/>
      <c r="D20" s="847"/>
      <c r="E20" s="847"/>
      <c r="F20" s="847"/>
      <c r="G20" s="847"/>
      <c r="H20" s="847"/>
      <c r="I20" s="847"/>
      <c r="J20" s="776"/>
    </row>
    <row r="21" spans="1:14" ht="21" customHeight="1" x14ac:dyDescent="0.25">
      <c r="A21" s="775"/>
      <c r="B21" s="847"/>
      <c r="C21" s="847"/>
      <c r="D21" s="847"/>
      <c r="E21" s="847"/>
      <c r="F21" s="847"/>
      <c r="G21" s="847"/>
      <c r="H21" s="847"/>
      <c r="I21" s="847"/>
      <c r="J21" s="776"/>
    </row>
    <row r="22" spans="1:14" ht="21" customHeight="1" x14ac:dyDescent="0.25">
      <c r="A22" s="775"/>
      <c r="B22" s="847"/>
      <c r="C22" s="847"/>
      <c r="D22" s="847"/>
      <c r="E22" s="847"/>
      <c r="F22" s="847"/>
      <c r="G22" s="847"/>
      <c r="H22" s="847"/>
      <c r="I22" s="847"/>
      <c r="J22" s="776"/>
    </row>
    <row r="23" spans="1:14" ht="21" customHeight="1" x14ac:dyDescent="0.25">
      <c r="A23" s="775"/>
      <c r="B23" s="847"/>
      <c r="C23" s="847"/>
      <c r="D23" s="847"/>
      <c r="E23" s="847"/>
      <c r="F23" s="847"/>
      <c r="G23" s="847"/>
      <c r="H23" s="847"/>
      <c r="I23" s="847"/>
      <c r="J23" s="776"/>
    </row>
    <row r="24" spans="1:14" ht="21" customHeight="1" x14ac:dyDescent="0.25">
      <c r="A24" s="775"/>
      <c r="B24" s="847"/>
      <c r="C24" s="847"/>
      <c r="D24" s="847"/>
      <c r="E24" s="847"/>
      <c r="F24" s="847"/>
      <c r="G24" s="847"/>
      <c r="H24" s="847"/>
      <c r="I24" s="847"/>
      <c r="J24" s="776"/>
    </row>
    <row r="25" spans="1:14" x14ac:dyDescent="0.25">
      <c r="A25" s="775"/>
      <c r="B25" s="847"/>
      <c r="C25" s="847"/>
      <c r="D25" s="847"/>
      <c r="E25" s="847"/>
      <c r="F25" s="847"/>
      <c r="G25" s="847"/>
      <c r="H25" s="847"/>
      <c r="I25" s="847"/>
      <c r="J25" s="776"/>
      <c r="N25" s="777"/>
    </row>
    <row r="26" spans="1:14" x14ac:dyDescent="0.25">
      <c r="A26" s="778"/>
      <c r="B26" s="847"/>
      <c r="C26" s="847"/>
      <c r="D26" s="847"/>
      <c r="E26" s="847"/>
      <c r="F26" s="847"/>
      <c r="G26" s="847"/>
      <c r="H26" s="847"/>
      <c r="I26" s="847"/>
      <c r="J26" s="776"/>
      <c r="N26" s="777"/>
    </row>
    <row r="27" spans="1:14" x14ac:dyDescent="0.25">
      <c r="A27" s="778"/>
      <c r="B27" s="847"/>
      <c r="C27" s="847"/>
      <c r="D27" s="847"/>
      <c r="E27" s="847"/>
      <c r="F27" s="847"/>
      <c r="G27" s="847"/>
      <c r="H27" s="847"/>
      <c r="I27" s="847"/>
      <c r="J27" s="776"/>
      <c r="N27" s="777"/>
    </row>
    <row r="28" spans="1:14" x14ac:dyDescent="0.25">
      <c r="A28" s="778"/>
      <c r="B28" s="847"/>
      <c r="C28" s="847"/>
      <c r="D28" s="847"/>
      <c r="E28" s="847"/>
      <c r="F28" s="847"/>
      <c r="G28" s="847"/>
      <c r="H28" s="847"/>
      <c r="I28" s="847"/>
      <c r="J28" s="776"/>
      <c r="N28" s="777"/>
    </row>
    <row r="29" spans="1:14" x14ac:dyDescent="0.25">
      <c r="A29" s="778"/>
      <c r="B29" s="847"/>
      <c r="C29" s="847"/>
      <c r="D29" s="847"/>
      <c r="E29" s="847"/>
      <c r="F29" s="847"/>
      <c r="G29" s="847"/>
      <c r="H29" s="847"/>
      <c r="I29" s="847"/>
      <c r="J29" s="776"/>
      <c r="N29" s="777"/>
    </row>
    <row r="30" spans="1:14" x14ac:dyDescent="0.25">
      <c r="A30" s="778"/>
      <c r="B30" s="847"/>
      <c r="C30" s="847"/>
      <c r="D30" s="847"/>
      <c r="E30" s="847"/>
      <c r="F30" s="847"/>
      <c r="G30" s="847"/>
      <c r="H30" s="847"/>
      <c r="I30" s="847"/>
      <c r="J30" s="776"/>
      <c r="N30" s="777"/>
    </row>
    <row r="31" spans="1:14" x14ac:dyDescent="0.25">
      <c r="A31" s="778"/>
      <c r="B31" s="847"/>
      <c r="C31" s="847"/>
      <c r="D31" s="847"/>
      <c r="E31" s="847"/>
      <c r="F31" s="847"/>
      <c r="G31" s="847"/>
      <c r="H31" s="847"/>
      <c r="I31" s="847"/>
      <c r="J31" s="776"/>
      <c r="N31" s="777"/>
    </row>
    <row r="32" spans="1:14" x14ac:dyDescent="0.25">
      <c r="A32" s="778"/>
      <c r="B32" s="847"/>
      <c r="C32" s="847"/>
      <c r="D32" s="847"/>
      <c r="E32" s="847"/>
      <c r="F32" s="847"/>
      <c r="G32" s="847"/>
      <c r="H32" s="847"/>
      <c r="I32" s="847"/>
      <c r="J32" s="776"/>
      <c r="N32" s="777"/>
    </row>
    <row r="33" spans="1:14" x14ac:dyDescent="0.25">
      <c r="A33" s="778"/>
      <c r="B33" s="847"/>
      <c r="C33" s="847"/>
      <c r="D33" s="847"/>
      <c r="E33" s="847"/>
      <c r="F33" s="847"/>
      <c r="G33" s="847"/>
      <c r="H33" s="847"/>
      <c r="I33" s="847"/>
      <c r="J33" s="776"/>
      <c r="N33" s="777"/>
    </row>
    <row r="34" spans="1:14" x14ac:dyDescent="0.25">
      <c r="A34" s="778"/>
      <c r="B34" s="847"/>
      <c r="C34" s="847"/>
      <c r="D34" s="847"/>
      <c r="E34" s="847"/>
      <c r="F34" s="847"/>
      <c r="G34" s="847"/>
      <c r="H34" s="847"/>
      <c r="I34" s="847"/>
      <c r="J34" s="776"/>
      <c r="N34" s="777"/>
    </row>
    <row r="35" spans="1:14" x14ac:dyDescent="0.25">
      <c r="A35" s="778"/>
      <c r="B35" s="847"/>
      <c r="C35" s="847"/>
      <c r="D35" s="847"/>
      <c r="E35" s="847"/>
      <c r="F35" s="847"/>
      <c r="G35" s="847"/>
      <c r="H35" s="847"/>
      <c r="I35" s="847"/>
      <c r="J35" s="776"/>
      <c r="N35" s="777"/>
    </row>
    <row r="36" spans="1:14" x14ac:dyDescent="0.25">
      <c r="A36" s="778"/>
      <c r="B36" s="847"/>
      <c r="C36" s="847"/>
      <c r="D36" s="847"/>
      <c r="E36" s="847"/>
      <c r="F36" s="847"/>
      <c r="G36" s="847"/>
      <c r="H36" s="847"/>
      <c r="I36" s="847"/>
      <c r="J36" s="776"/>
      <c r="N36" s="777"/>
    </row>
    <row r="37" spans="1:14" x14ac:dyDescent="0.25">
      <c r="A37" s="778"/>
      <c r="B37" s="847"/>
      <c r="C37" s="847"/>
      <c r="D37" s="847"/>
      <c r="E37" s="847"/>
      <c r="F37" s="847"/>
      <c r="G37" s="847"/>
      <c r="H37" s="847"/>
      <c r="I37" s="847"/>
      <c r="J37" s="776"/>
    </row>
    <row r="38" spans="1:14" x14ac:dyDescent="0.25">
      <c r="A38" s="778"/>
      <c r="B38" s="847"/>
      <c r="C38" s="847"/>
      <c r="D38" s="847"/>
      <c r="E38" s="847"/>
      <c r="F38" s="847"/>
      <c r="G38" s="847"/>
      <c r="H38" s="847"/>
      <c r="I38" s="847"/>
      <c r="J38" s="776"/>
    </row>
    <row r="39" spans="1:14" x14ac:dyDescent="0.25">
      <c r="A39" s="778"/>
      <c r="B39" s="847"/>
      <c r="C39" s="847"/>
      <c r="D39" s="847"/>
      <c r="E39" s="847"/>
      <c r="F39" s="847"/>
      <c r="G39" s="847"/>
      <c r="H39" s="847"/>
      <c r="I39" s="847"/>
      <c r="J39" s="776"/>
    </row>
    <row r="40" spans="1:14" x14ac:dyDescent="0.25">
      <c r="A40" s="778"/>
      <c r="B40" s="847"/>
      <c r="C40" s="847"/>
      <c r="D40" s="847"/>
      <c r="E40" s="847"/>
      <c r="F40" s="847"/>
      <c r="G40" s="847"/>
      <c r="H40" s="847"/>
      <c r="I40" s="847"/>
      <c r="J40" s="776"/>
    </row>
    <row r="41" spans="1:14" x14ac:dyDescent="0.25">
      <c r="A41" s="778"/>
      <c r="B41" s="847"/>
      <c r="C41" s="847"/>
      <c r="D41" s="847"/>
      <c r="E41" s="847"/>
      <c r="F41" s="847"/>
      <c r="G41" s="847"/>
      <c r="H41" s="847"/>
      <c r="I41" s="847"/>
      <c r="J41" s="776"/>
    </row>
    <row r="42" spans="1:14" x14ac:dyDescent="0.25">
      <c r="A42" s="778"/>
      <c r="B42" s="847"/>
      <c r="C42" s="847"/>
      <c r="D42" s="847"/>
      <c r="E42" s="847"/>
      <c r="F42" s="847"/>
      <c r="G42" s="847"/>
      <c r="H42" s="847"/>
      <c r="I42" s="847"/>
      <c r="J42" s="776"/>
    </row>
    <row r="43" spans="1:14" x14ac:dyDescent="0.25">
      <c r="A43" s="775"/>
      <c r="B43" s="847"/>
      <c r="C43" s="847"/>
      <c r="D43" s="847"/>
      <c r="E43" s="847"/>
      <c r="F43" s="847"/>
      <c r="G43" s="847"/>
      <c r="H43" s="847"/>
      <c r="I43" s="847"/>
      <c r="J43" s="776"/>
    </row>
    <row r="44" spans="1:14" x14ac:dyDescent="0.25">
      <c r="A44" s="775"/>
      <c r="B44" s="847"/>
      <c r="C44" s="847"/>
      <c r="D44" s="847"/>
      <c r="E44" s="847"/>
      <c r="F44" s="847"/>
      <c r="G44" s="847"/>
      <c r="H44" s="847"/>
      <c r="I44" s="847"/>
      <c r="J44" s="776"/>
    </row>
    <row r="45" spans="1:14" x14ac:dyDescent="0.25">
      <c r="A45" s="775"/>
      <c r="B45" s="847"/>
      <c r="C45" s="847"/>
      <c r="D45" s="847"/>
      <c r="E45" s="847"/>
      <c r="F45" s="847"/>
      <c r="G45" s="847"/>
      <c r="H45" s="847"/>
      <c r="I45" s="847"/>
      <c r="J45" s="776"/>
    </row>
    <row r="46" spans="1:14" x14ac:dyDescent="0.25">
      <c r="A46" s="775"/>
      <c r="B46" s="847"/>
      <c r="C46" s="847"/>
      <c r="D46" s="847"/>
      <c r="E46" s="847"/>
      <c r="F46" s="847"/>
      <c r="G46" s="847"/>
      <c r="H46" s="847"/>
      <c r="I46" s="847"/>
      <c r="J46" s="776"/>
    </row>
    <row r="47" spans="1:14" x14ac:dyDescent="0.25">
      <c r="A47" s="775"/>
      <c r="B47" s="847"/>
      <c r="C47" s="847"/>
      <c r="D47" s="847"/>
      <c r="E47" s="847"/>
      <c r="F47" s="847"/>
      <c r="G47" s="847"/>
      <c r="H47" s="847"/>
      <c r="I47" s="847"/>
      <c r="J47" s="776"/>
    </row>
    <row r="48" spans="1:14" x14ac:dyDescent="0.25">
      <c r="A48" s="775"/>
      <c r="B48" s="847"/>
      <c r="C48" s="847"/>
      <c r="D48" s="847"/>
      <c r="E48" s="847"/>
      <c r="F48" s="847"/>
      <c r="G48" s="847"/>
      <c r="H48" s="847"/>
      <c r="I48" s="847"/>
      <c r="J48" s="776"/>
    </row>
    <row r="49" spans="1:10" x14ac:dyDescent="0.25">
      <c r="A49" s="775"/>
      <c r="B49" s="847"/>
      <c r="C49" s="847"/>
      <c r="D49" s="847"/>
      <c r="E49" s="847"/>
      <c r="F49" s="847"/>
      <c r="G49" s="847"/>
      <c r="H49" s="847"/>
      <c r="I49" s="847"/>
      <c r="J49" s="776"/>
    </row>
    <row r="50" spans="1:10" x14ac:dyDescent="0.25">
      <c r="A50" s="775"/>
      <c r="B50" s="779"/>
      <c r="C50" s="779"/>
      <c r="D50" s="779"/>
      <c r="E50" s="779"/>
      <c r="F50" s="779"/>
      <c r="G50" s="779"/>
      <c r="H50" s="779"/>
      <c r="I50" s="779"/>
      <c r="J50" s="776"/>
    </row>
    <row r="51" spans="1:10" x14ac:dyDescent="0.25">
      <c r="A51" s="775"/>
      <c r="B51" s="779"/>
      <c r="C51" s="779"/>
      <c r="D51" s="779"/>
      <c r="E51" s="779"/>
      <c r="F51" s="779"/>
      <c r="G51" s="779"/>
      <c r="H51" s="779"/>
      <c r="I51" s="780" t="s">
        <v>789</v>
      </c>
      <c r="J51" s="776"/>
    </row>
    <row r="52" spans="1:10" ht="15.75" thickBot="1" x14ac:dyDescent="0.3">
      <c r="A52" s="781"/>
      <c r="B52" s="782"/>
      <c r="C52" s="782"/>
      <c r="D52" s="782"/>
      <c r="E52" s="782"/>
      <c r="F52" s="782"/>
      <c r="G52" s="782"/>
      <c r="H52" s="782"/>
      <c r="I52" s="782"/>
      <c r="J52" s="783"/>
    </row>
    <row r="54" spans="1:10" ht="15" customHeight="1" x14ac:dyDescent="0.25">
      <c r="A54" s="850"/>
      <c r="B54" s="850"/>
      <c r="C54" s="850"/>
      <c r="D54" s="850"/>
      <c r="E54" s="850"/>
      <c r="F54" s="850"/>
      <c r="G54" s="850"/>
      <c r="H54" s="850"/>
      <c r="I54" s="850"/>
      <c r="J54" s="850"/>
    </row>
    <row r="55" spans="1:10" x14ac:dyDescent="0.25">
      <c r="A55" s="850"/>
      <c r="B55" s="850"/>
      <c r="C55" s="850"/>
      <c r="D55" s="850"/>
      <c r="E55" s="850"/>
      <c r="F55" s="850"/>
      <c r="G55" s="850"/>
      <c r="H55" s="850"/>
      <c r="I55" s="850"/>
      <c r="J55" s="850"/>
    </row>
    <row r="56" spans="1:10" ht="15.75" thickBot="1" x14ac:dyDescent="0.3">
      <c r="A56" s="784"/>
      <c r="B56" s="784"/>
      <c r="C56" s="784"/>
      <c r="D56" s="784"/>
      <c r="E56" s="784"/>
      <c r="F56" s="784"/>
      <c r="G56" s="784"/>
      <c r="H56" s="784"/>
      <c r="I56" s="784"/>
      <c r="J56" s="784"/>
    </row>
    <row r="57" spans="1:10" x14ac:dyDescent="0.25">
      <c r="A57" s="772"/>
      <c r="B57" s="844"/>
      <c r="C57" s="844"/>
      <c r="D57" s="844"/>
      <c r="E57" s="844"/>
      <c r="F57" s="844"/>
      <c r="G57" s="844"/>
      <c r="H57" s="844"/>
      <c r="I57" s="844"/>
      <c r="J57" s="774"/>
    </row>
    <row r="58" spans="1:10" ht="15" customHeight="1" x14ac:dyDescent="0.25">
      <c r="A58" s="775"/>
      <c r="B58" s="849"/>
      <c r="C58" s="849"/>
      <c r="D58" s="849"/>
      <c r="E58" s="849"/>
      <c r="F58" s="849"/>
      <c r="G58" s="849"/>
      <c r="H58" s="849"/>
      <c r="I58" s="849"/>
      <c r="J58" s="776"/>
    </row>
    <row r="59" spans="1:10" x14ac:dyDescent="0.25">
      <c r="A59" s="775"/>
      <c r="B59" s="849"/>
      <c r="C59" s="849"/>
      <c r="D59" s="849"/>
      <c r="E59" s="849"/>
      <c r="F59" s="849"/>
      <c r="G59" s="849"/>
      <c r="H59" s="849"/>
      <c r="I59" s="849"/>
      <c r="J59" s="776"/>
    </row>
    <row r="60" spans="1:10" x14ac:dyDescent="0.25">
      <c r="A60" s="775"/>
      <c r="B60" s="849"/>
      <c r="C60" s="849"/>
      <c r="D60" s="849"/>
      <c r="E60" s="849"/>
      <c r="F60" s="849"/>
      <c r="G60" s="849"/>
      <c r="H60" s="849"/>
      <c r="I60" s="849"/>
      <c r="J60" s="776"/>
    </row>
    <row r="61" spans="1:10" x14ac:dyDescent="0.25">
      <c r="A61" s="775"/>
      <c r="B61" s="849"/>
      <c r="C61" s="849"/>
      <c r="D61" s="849"/>
      <c r="E61" s="849"/>
      <c r="F61" s="849"/>
      <c r="G61" s="849"/>
      <c r="H61" s="849"/>
      <c r="I61" s="849"/>
      <c r="J61" s="776"/>
    </row>
    <row r="62" spans="1:10" ht="15" customHeight="1" x14ac:dyDescent="0.25">
      <c r="A62" s="775"/>
      <c r="B62" s="849"/>
      <c r="C62" s="849"/>
      <c r="D62" s="849"/>
      <c r="E62" s="849"/>
      <c r="F62" s="849"/>
      <c r="G62" s="849"/>
      <c r="H62" s="849"/>
      <c r="I62" s="849"/>
      <c r="J62" s="776"/>
    </row>
    <row r="63" spans="1:10" ht="15" customHeight="1" x14ac:dyDescent="0.25">
      <c r="A63" s="775"/>
      <c r="B63" s="849"/>
      <c r="C63" s="849"/>
      <c r="D63" s="849"/>
      <c r="E63" s="849"/>
      <c r="F63" s="849"/>
      <c r="G63" s="849"/>
      <c r="H63" s="849"/>
      <c r="I63" s="849"/>
      <c r="J63" s="776"/>
    </row>
    <row r="64" spans="1:10" ht="15" customHeight="1" x14ac:dyDescent="0.25">
      <c r="A64" s="775"/>
      <c r="B64" s="849"/>
      <c r="C64" s="849"/>
      <c r="D64" s="849"/>
      <c r="E64" s="849"/>
      <c r="F64" s="849"/>
      <c r="G64" s="849"/>
      <c r="H64" s="849"/>
      <c r="I64" s="849"/>
      <c r="J64" s="776"/>
    </row>
    <row r="65" spans="1:10" ht="15" customHeight="1" x14ac:dyDescent="0.25">
      <c r="A65" s="775"/>
      <c r="B65" s="849"/>
      <c r="C65" s="849"/>
      <c r="D65" s="849"/>
      <c r="E65" s="849"/>
      <c r="F65" s="849"/>
      <c r="G65" s="849"/>
      <c r="H65" s="849"/>
      <c r="I65" s="849"/>
      <c r="J65" s="776"/>
    </row>
    <row r="66" spans="1:10" ht="15" customHeight="1" x14ac:dyDescent="0.25">
      <c r="A66" s="775"/>
      <c r="B66" s="849"/>
      <c r="C66" s="849"/>
      <c r="D66" s="849"/>
      <c r="E66" s="849"/>
      <c r="F66" s="849"/>
      <c r="G66" s="849"/>
      <c r="H66" s="849"/>
      <c r="I66" s="849"/>
      <c r="J66" s="776"/>
    </row>
    <row r="67" spans="1:10" ht="15" customHeight="1" x14ac:dyDescent="0.25">
      <c r="A67" s="775"/>
      <c r="B67" s="849"/>
      <c r="C67" s="849"/>
      <c r="D67" s="849"/>
      <c r="E67" s="849"/>
      <c r="F67" s="849"/>
      <c r="G67" s="849"/>
      <c r="H67" s="849"/>
      <c r="I67" s="849"/>
      <c r="J67" s="776"/>
    </row>
    <row r="68" spans="1:10" ht="15" customHeight="1" x14ac:dyDescent="0.25">
      <c r="A68" s="775"/>
      <c r="B68" s="849"/>
      <c r="C68" s="849"/>
      <c r="D68" s="849"/>
      <c r="E68" s="849"/>
      <c r="F68" s="849"/>
      <c r="G68" s="849"/>
      <c r="H68" s="849"/>
      <c r="I68" s="849"/>
      <c r="J68" s="776"/>
    </row>
    <row r="69" spans="1:10" x14ac:dyDescent="0.25">
      <c r="A69" s="775"/>
      <c r="B69" s="849"/>
      <c r="C69" s="849"/>
      <c r="D69" s="849"/>
      <c r="E69" s="849"/>
      <c r="F69" s="849"/>
      <c r="G69" s="849"/>
      <c r="H69" s="849"/>
      <c r="I69" s="849"/>
      <c r="J69" s="776"/>
    </row>
    <row r="70" spans="1:10" ht="21" customHeight="1" x14ac:dyDescent="0.25">
      <c r="A70" s="775"/>
      <c r="B70" s="849"/>
      <c r="C70" s="849"/>
      <c r="D70" s="849"/>
      <c r="E70" s="849"/>
      <c r="F70" s="849"/>
      <c r="G70" s="849"/>
      <c r="H70" s="849"/>
      <c r="I70" s="849"/>
      <c r="J70" s="776"/>
    </row>
    <row r="71" spans="1:10" ht="21" customHeight="1" x14ac:dyDescent="0.25">
      <c r="A71" s="775"/>
      <c r="B71" s="849"/>
      <c r="C71" s="849"/>
      <c r="D71" s="849"/>
      <c r="E71" s="849"/>
      <c r="F71" s="849"/>
      <c r="G71" s="849"/>
      <c r="H71" s="849"/>
      <c r="I71" s="849"/>
      <c r="J71" s="776"/>
    </row>
    <row r="72" spans="1:10" ht="21" customHeight="1" x14ac:dyDescent="0.25">
      <c r="A72" s="775"/>
      <c r="B72" s="849"/>
      <c r="C72" s="849"/>
      <c r="D72" s="849"/>
      <c r="E72" s="849"/>
      <c r="F72" s="849"/>
      <c r="G72" s="849"/>
      <c r="H72" s="849"/>
      <c r="I72" s="849"/>
      <c r="J72" s="776"/>
    </row>
    <row r="73" spans="1:10" ht="21" customHeight="1" x14ac:dyDescent="0.25">
      <c r="A73" s="775"/>
      <c r="B73" s="849"/>
      <c r="C73" s="849"/>
      <c r="D73" s="849"/>
      <c r="E73" s="849"/>
      <c r="F73" s="849"/>
      <c r="G73" s="849"/>
      <c r="H73" s="849"/>
      <c r="I73" s="849"/>
      <c r="J73" s="776"/>
    </row>
    <row r="74" spans="1:10" ht="21" customHeight="1" x14ac:dyDescent="0.25">
      <c r="A74" s="775"/>
      <c r="B74" s="849"/>
      <c r="C74" s="849"/>
      <c r="D74" s="849"/>
      <c r="E74" s="849"/>
      <c r="F74" s="849"/>
      <c r="G74" s="849"/>
      <c r="H74" s="849"/>
      <c r="I74" s="849"/>
      <c r="J74" s="776"/>
    </row>
    <row r="75" spans="1:10" ht="21" customHeight="1" x14ac:dyDescent="0.25">
      <c r="A75" s="775"/>
      <c r="B75" s="849"/>
      <c r="C75" s="849"/>
      <c r="D75" s="849"/>
      <c r="E75" s="849"/>
      <c r="F75" s="849"/>
      <c r="G75" s="849"/>
      <c r="H75" s="849"/>
      <c r="I75" s="849"/>
      <c r="J75" s="776"/>
    </row>
    <row r="76" spans="1:10" x14ac:dyDescent="0.25">
      <c r="A76" s="775"/>
      <c r="B76" s="849"/>
      <c r="C76" s="849"/>
      <c r="D76" s="849"/>
      <c r="E76" s="849"/>
      <c r="F76" s="849"/>
      <c r="G76" s="849"/>
      <c r="H76" s="849"/>
      <c r="I76" s="849"/>
      <c r="J76" s="776"/>
    </row>
    <row r="77" spans="1:10" x14ac:dyDescent="0.25">
      <c r="A77" s="778"/>
      <c r="B77" s="849"/>
      <c r="C77" s="849"/>
      <c r="D77" s="849"/>
      <c r="E77" s="849"/>
      <c r="F77" s="849"/>
      <c r="G77" s="849"/>
      <c r="H77" s="849"/>
      <c r="I77" s="849"/>
      <c r="J77" s="776"/>
    </row>
    <row r="78" spans="1:10" x14ac:dyDescent="0.25">
      <c r="A78" s="778"/>
      <c r="B78" s="849"/>
      <c r="C78" s="849"/>
      <c r="D78" s="849"/>
      <c r="E78" s="849"/>
      <c r="F78" s="849"/>
      <c r="G78" s="849"/>
      <c r="H78" s="849"/>
      <c r="I78" s="849"/>
      <c r="J78" s="776"/>
    </row>
    <row r="79" spans="1:10" x14ac:dyDescent="0.25">
      <c r="A79" s="778"/>
      <c r="B79" s="849"/>
      <c r="C79" s="849"/>
      <c r="D79" s="849"/>
      <c r="E79" s="849"/>
      <c r="F79" s="849"/>
      <c r="G79" s="849"/>
      <c r="H79" s="849"/>
      <c r="I79" s="849"/>
      <c r="J79" s="776"/>
    </row>
    <row r="80" spans="1:10" x14ac:dyDescent="0.25">
      <c r="A80" s="778"/>
      <c r="B80" s="849"/>
      <c r="C80" s="849"/>
      <c r="D80" s="849"/>
      <c r="E80" s="849"/>
      <c r="F80" s="849"/>
      <c r="G80" s="849"/>
      <c r="H80" s="849"/>
      <c r="I80" s="849"/>
      <c r="J80" s="776"/>
    </row>
    <row r="81" spans="1:10" x14ac:dyDescent="0.25">
      <c r="A81" s="778"/>
      <c r="B81" s="849"/>
      <c r="C81" s="849"/>
      <c r="D81" s="849"/>
      <c r="E81" s="849"/>
      <c r="F81" s="849"/>
      <c r="G81" s="849"/>
      <c r="H81" s="849"/>
      <c r="I81" s="849"/>
      <c r="J81" s="776"/>
    </row>
    <row r="82" spans="1:10" x14ac:dyDescent="0.25">
      <c r="A82" s="778"/>
      <c r="B82" s="849"/>
      <c r="C82" s="849"/>
      <c r="D82" s="849"/>
      <c r="E82" s="849"/>
      <c r="F82" s="849"/>
      <c r="G82" s="849"/>
      <c r="H82" s="849"/>
      <c r="I82" s="849"/>
      <c r="J82" s="776"/>
    </row>
    <row r="83" spans="1:10" x14ac:dyDescent="0.25">
      <c r="A83" s="778"/>
      <c r="B83" s="849"/>
      <c r="C83" s="849"/>
      <c r="D83" s="849"/>
      <c r="E83" s="849"/>
      <c r="F83" s="849"/>
      <c r="G83" s="849"/>
      <c r="H83" s="849"/>
      <c r="I83" s="849"/>
      <c r="J83" s="776"/>
    </row>
    <row r="84" spans="1:10" x14ac:dyDescent="0.25">
      <c r="A84" s="778"/>
      <c r="B84" s="849"/>
      <c r="C84" s="849"/>
      <c r="D84" s="849"/>
      <c r="E84" s="849"/>
      <c r="F84" s="849"/>
      <c r="G84" s="849"/>
      <c r="H84" s="849"/>
      <c r="I84" s="849"/>
      <c r="J84" s="776"/>
    </row>
    <row r="85" spans="1:10" x14ac:dyDescent="0.25">
      <c r="A85" s="778"/>
      <c r="B85" s="849"/>
      <c r="C85" s="849"/>
      <c r="D85" s="849"/>
      <c r="E85" s="849"/>
      <c r="F85" s="849"/>
      <c r="G85" s="849"/>
      <c r="H85" s="849"/>
      <c r="I85" s="849"/>
      <c r="J85" s="776"/>
    </row>
    <row r="86" spans="1:10" x14ac:dyDescent="0.25">
      <c r="A86" s="778"/>
      <c r="B86" s="849"/>
      <c r="C86" s="849"/>
      <c r="D86" s="849"/>
      <c r="E86" s="849"/>
      <c r="F86" s="849"/>
      <c r="G86" s="849"/>
      <c r="H86" s="849"/>
      <c r="I86" s="849"/>
      <c r="J86" s="776"/>
    </row>
    <row r="87" spans="1:10" x14ac:dyDescent="0.25">
      <c r="A87" s="778"/>
      <c r="B87" s="849"/>
      <c r="C87" s="849"/>
      <c r="D87" s="849"/>
      <c r="E87" s="849"/>
      <c r="F87" s="849"/>
      <c r="G87" s="849"/>
      <c r="H87" s="849"/>
      <c r="I87" s="849"/>
      <c r="J87" s="776"/>
    </row>
    <row r="88" spans="1:10" x14ac:dyDescent="0.25">
      <c r="A88" s="778"/>
      <c r="B88" s="849"/>
      <c r="C88" s="849"/>
      <c r="D88" s="849"/>
      <c r="E88" s="849"/>
      <c r="F88" s="849"/>
      <c r="G88" s="849"/>
      <c r="H88" s="849"/>
      <c r="I88" s="849"/>
      <c r="J88" s="776"/>
    </row>
    <row r="89" spans="1:10" x14ac:dyDescent="0.25">
      <c r="A89" s="778"/>
      <c r="B89" s="849"/>
      <c r="C89" s="849"/>
      <c r="D89" s="849"/>
      <c r="E89" s="849"/>
      <c r="F89" s="849"/>
      <c r="G89" s="849"/>
      <c r="H89" s="849"/>
      <c r="I89" s="849"/>
      <c r="J89" s="776"/>
    </row>
    <row r="90" spans="1:10" x14ac:dyDescent="0.25">
      <c r="A90" s="778"/>
      <c r="B90" s="849"/>
      <c r="C90" s="849"/>
      <c r="D90" s="849"/>
      <c r="E90" s="849"/>
      <c r="F90" s="849"/>
      <c r="G90" s="849"/>
      <c r="H90" s="849"/>
      <c r="I90" s="849"/>
      <c r="J90" s="776"/>
    </row>
    <row r="91" spans="1:10" x14ac:dyDescent="0.25">
      <c r="A91" s="778"/>
      <c r="B91" s="849"/>
      <c r="C91" s="849"/>
      <c r="D91" s="849"/>
      <c r="E91" s="849"/>
      <c r="F91" s="849"/>
      <c r="G91" s="849"/>
      <c r="H91" s="849"/>
      <c r="I91" s="849"/>
      <c r="J91" s="776"/>
    </row>
    <row r="92" spans="1:10" x14ac:dyDescent="0.25">
      <c r="A92" s="778"/>
      <c r="B92" s="849"/>
      <c r="C92" s="849"/>
      <c r="D92" s="849"/>
      <c r="E92" s="849"/>
      <c r="F92" s="849"/>
      <c r="G92" s="849"/>
      <c r="H92" s="849"/>
      <c r="I92" s="849"/>
      <c r="J92" s="776"/>
    </row>
    <row r="93" spans="1:10" x14ac:dyDescent="0.25">
      <c r="A93" s="778"/>
      <c r="B93" s="849"/>
      <c r="C93" s="849"/>
      <c r="D93" s="849"/>
      <c r="E93" s="849"/>
      <c r="F93" s="849"/>
      <c r="G93" s="849"/>
      <c r="H93" s="849"/>
      <c r="I93" s="849"/>
      <c r="J93" s="776"/>
    </row>
    <row r="94" spans="1:10" x14ac:dyDescent="0.25">
      <c r="A94" s="775"/>
      <c r="B94" s="849"/>
      <c r="C94" s="849"/>
      <c r="D94" s="849"/>
      <c r="E94" s="849"/>
      <c r="F94" s="849"/>
      <c r="G94" s="849"/>
      <c r="H94" s="849"/>
      <c r="I94" s="849"/>
      <c r="J94" s="776"/>
    </row>
    <row r="95" spans="1:10" x14ac:dyDescent="0.25">
      <c r="A95" s="775"/>
      <c r="B95" s="849"/>
      <c r="C95" s="849"/>
      <c r="D95" s="849"/>
      <c r="E95" s="849"/>
      <c r="F95" s="849"/>
      <c r="G95" s="849"/>
      <c r="H95" s="849"/>
      <c r="I95" s="849"/>
      <c r="J95" s="776"/>
    </row>
    <row r="96" spans="1:10" x14ac:dyDescent="0.25">
      <c r="A96" s="775"/>
      <c r="B96" s="849"/>
      <c r="C96" s="849"/>
      <c r="D96" s="849"/>
      <c r="E96" s="849"/>
      <c r="F96" s="849"/>
      <c r="G96" s="849"/>
      <c r="H96" s="849"/>
      <c r="I96" s="849"/>
      <c r="J96" s="776"/>
    </row>
    <row r="97" spans="1:10" x14ac:dyDescent="0.25">
      <c r="A97" s="775"/>
      <c r="B97" s="849"/>
      <c r="C97" s="849"/>
      <c r="D97" s="849"/>
      <c r="E97" s="849"/>
      <c r="F97" s="849"/>
      <c r="G97" s="849"/>
      <c r="H97" s="849"/>
      <c r="I97" s="849"/>
      <c r="J97" s="776"/>
    </row>
    <row r="98" spans="1:10" x14ac:dyDescent="0.25">
      <c r="A98" s="775"/>
      <c r="B98" s="779"/>
      <c r="C98" s="779"/>
      <c r="D98" s="779"/>
      <c r="E98" s="779"/>
      <c r="F98" s="779"/>
      <c r="G98" s="779"/>
      <c r="H98" s="779"/>
      <c r="I98" s="779"/>
      <c r="J98" s="776"/>
    </row>
    <row r="99" spans="1:10" x14ac:dyDescent="0.25">
      <c r="A99" s="775"/>
      <c r="B99" s="779"/>
      <c r="C99" s="779"/>
      <c r="D99" s="779"/>
      <c r="E99" s="779"/>
      <c r="F99" s="779"/>
      <c r="G99" s="779"/>
      <c r="H99" s="779"/>
      <c r="I99" s="779"/>
      <c r="J99" s="776"/>
    </row>
    <row r="100" spans="1:10" x14ac:dyDescent="0.25">
      <c r="A100" s="775"/>
      <c r="B100" s="779"/>
      <c r="C100" s="779"/>
      <c r="D100" s="779"/>
      <c r="E100" s="779"/>
      <c r="F100" s="779"/>
      <c r="G100" s="779"/>
      <c r="H100" s="779"/>
      <c r="I100" s="779"/>
      <c r="J100" s="776"/>
    </row>
    <row r="101" spans="1:10" x14ac:dyDescent="0.25">
      <c r="A101" s="775"/>
      <c r="B101" s="779"/>
      <c r="C101" s="779"/>
      <c r="D101" s="779"/>
      <c r="E101" s="779"/>
      <c r="F101" s="779"/>
      <c r="G101" s="779"/>
      <c r="H101" s="779"/>
      <c r="J101" s="776"/>
    </row>
    <row r="102" spans="1:10" ht="15.75" thickBot="1" x14ac:dyDescent="0.3">
      <c r="A102" s="781"/>
      <c r="B102" s="782"/>
      <c r="C102" s="782"/>
      <c r="D102" s="782"/>
      <c r="E102" s="782"/>
      <c r="F102" s="782"/>
      <c r="G102" s="782"/>
      <c r="H102" s="782"/>
      <c r="I102" s="785" t="s">
        <v>790</v>
      </c>
      <c r="J102" s="783"/>
    </row>
    <row r="112" spans="1:10" ht="15.75" thickBot="1" x14ac:dyDescent="0.3"/>
    <row r="113" spans="1:10" x14ac:dyDescent="0.25">
      <c r="A113" s="772"/>
      <c r="B113" s="773"/>
      <c r="C113" s="773"/>
      <c r="D113" s="773"/>
      <c r="E113" s="773"/>
      <c r="F113" s="773"/>
      <c r="G113" s="773"/>
      <c r="H113" s="773"/>
      <c r="I113" s="773"/>
      <c r="J113" s="774"/>
    </row>
    <row r="114" spans="1:10" x14ac:dyDescent="0.25">
      <c r="A114" s="775"/>
      <c r="B114" s="849"/>
      <c r="C114" s="847"/>
      <c r="D114" s="847"/>
      <c r="E114" s="847"/>
      <c r="F114" s="847"/>
      <c r="G114" s="847"/>
      <c r="H114" s="847"/>
      <c r="I114" s="847"/>
      <c r="J114" s="776"/>
    </row>
    <row r="115" spans="1:10" x14ac:dyDescent="0.25">
      <c r="A115" s="775"/>
      <c r="B115" s="847"/>
      <c r="C115" s="847"/>
      <c r="D115" s="847"/>
      <c r="E115" s="847"/>
      <c r="F115" s="847"/>
      <c r="G115" s="847"/>
      <c r="H115" s="847"/>
      <c r="I115" s="847"/>
      <c r="J115" s="776"/>
    </row>
    <row r="116" spans="1:10" x14ac:dyDescent="0.25">
      <c r="A116" s="775"/>
      <c r="B116" s="847"/>
      <c r="C116" s="847"/>
      <c r="D116" s="847"/>
      <c r="E116" s="847"/>
      <c r="F116" s="847"/>
      <c r="G116" s="847"/>
      <c r="H116" s="847"/>
      <c r="I116" s="847"/>
      <c r="J116" s="776"/>
    </row>
    <row r="117" spans="1:10" x14ac:dyDescent="0.25">
      <c r="A117" s="775"/>
      <c r="B117" s="847"/>
      <c r="C117" s="847"/>
      <c r="D117" s="847"/>
      <c r="E117" s="847"/>
      <c r="F117" s="847"/>
      <c r="G117" s="847"/>
      <c r="H117" s="847"/>
      <c r="I117" s="847"/>
      <c r="J117" s="776"/>
    </row>
    <row r="118" spans="1:10" ht="15" customHeight="1" x14ac:dyDescent="0.25">
      <c r="A118" s="775"/>
      <c r="B118" s="847"/>
      <c r="C118" s="847"/>
      <c r="D118" s="847"/>
      <c r="E118" s="847"/>
      <c r="F118" s="847"/>
      <c r="G118" s="847"/>
      <c r="H118" s="847"/>
      <c r="I118" s="847"/>
      <c r="J118" s="776"/>
    </row>
    <row r="119" spans="1:10" ht="15" customHeight="1" x14ac:dyDescent="0.25">
      <c r="A119" s="775"/>
      <c r="B119" s="847"/>
      <c r="C119" s="847"/>
      <c r="D119" s="847"/>
      <c r="E119" s="847"/>
      <c r="F119" s="847"/>
      <c r="G119" s="847"/>
      <c r="H119" s="847"/>
      <c r="I119" s="847"/>
      <c r="J119" s="776"/>
    </row>
    <row r="120" spans="1:10" ht="15" customHeight="1" x14ac:dyDescent="0.25">
      <c r="A120" s="775"/>
      <c r="B120" s="847"/>
      <c r="C120" s="847"/>
      <c r="D120" s="847"/>
      <c r="E120" s="847"/>
      <c r="F120" s="847"/>
      <c r="G120" s="847"/>
      <c r="H120" s="847"/>
      <c r="I120" s="847"/>
      <c r="J120" s="776"/>
    </row>
    <row r="121" spans="1:10" ht="15" customHeight="1" x14ac:dyDescent="0.25">
      <c r="A121" s="775"/>
      <c r="B121" s="847"/>
      <c r="C121" s="847"/>
      <c r="D121" s="847"/>
      <c r="E121" s="847"/>
      <c r="F121" s="847"/>
      <c r="G121" s="847"/>
      <c r="H121" s="847"/>
      <c r="I121" s="847"/>
      <c r="J121" s="776"/>
    </row>
    <row r="122" spans="1:10" ht="15" customHeight="1" x14ac:dyDescent="0.25">
      <c r="A122" s="775"/>
      <c r="B122" s="847"/>
      <c r="C122" s="847"/>
      <c r="D122" s="847"/>
      <c r="E122" s="847"/>
      <c r="F122" s="847"/>
      <c r="G122" s="847"/>
      <c r="H122" s="847"/>
      <c r="I122" s="847"/>
      <c r="J122" s="776"/>
    </row>
    <row r="123" spans="1:10" ht="15" customHeight="1" x14ac:dyDescent="0.25">
      <c r="A123" s="775"/>
      <c r="B123" s="847"/>
      <c r="C123" s="847"/>
      <c r="D123" s="847"/>
      <c r="E123" s="847"/>
      <c r="F123" s="847"/>
      <c r="G123" s="847"/>
      <c r="H123" s="847"/>
      <c r="I123" s="847"/>
      <c r="J123" s="776"/>
    </row>
    <row r="124" spans="1:10" ht="15" customHeight="1" x14ac:dyDescent="0.25">
      <c r="A124" s="775"/>
      <c r="B124" s="847"/>
      <c r="C124" s="847"/>
      <c r="D124" s="847"/>
      <c r="E124" s="847"/>
      <c r="F124" s="847"/>
      <c r="G124" s="847"/>
      <c r="H124" s="847"/>
      <c r="I124" s="847"/>
      <c r="J124" s="776"/>
    </row>
    <row r="125" spans="1:10" x14ac:dyDescent="0.25">
      <c r="A125" s="775"/>
      <c r="B125" s="847"/>
      <c r="C125" s="847"/>
      <c r="D125" s="847"/>
      <c r="E125" s="847"/>
      <c r="F125" s="847"/>
      <c r="G125" s="847"/>
      <c r="H125" s="847"/>
      <c r="I125" s="847"/>
      <c r="J125" s="776"/>
    </row>
    <row r="126" spans="1:10" ht="21" customHeight="1" x14ac:dyDescent="0.25">
      <c r="A126" s="775"/>
      <c r="B126" s="847"/>
      <c r="C126" s="847"/>
      <c r="D126" s="847"/>
      <c r="E126" s="847"/>
      <c r="F126" s="847"/>
      <c r="G126" s="847"/>
      <c r="H126" s="847"/>
      <c r="I126" s="847"/>
      <c r="J126" s="776"/>
    </row>
    <row r="127" spans="1:10" ht="21" customHeight="1" x14ac:dyDescent="0.25">
      <c r="A127" s="775"/>
      <c r="B127" s="847"/>
      <c r="C127" s="847"/>
      <c r="D127" s="847"/>
      <c r="E127" s="847"/>
      <c r="F127" s="847"/>
      <c r="G127" s="847"/>
      <c r="H127" s="847"/>
      <c r="I127" s="847"/>
      <c r="J127" s="776"/>
    </row>
    <row r="128" spans="1:10" ht="21" customHeight="1" x14ac:dyDescent="0.25">
      <c r="A128" s="775"/>
      <c r="B128" s="847"/>
      <c r="C128" s="847"/>
      <c r="D128" s="847"/>
      <c r="E128" s="847"/>
      <c r="F128" s="847"/>
      <c r="G128" s="847"/>
      <c r="H128" s="847"/>
      <c r="I128" s="847"/>
      <c r="J128" s="776"/>
    </row>
    <row r="129" spans="1:14" ht="21" customHeight="1" x14ac:dyDescent="0.25">
      <c r="A129" s="775"/>
      <c r="B129" s="847"/>
      <c r="C129" s="847"/>
      <c r="D129" s="847"/>
      <c r="E129" s="847"/>
      <c r="F129" s="847"/>
      <c r="G129" s="847"/>
      <c r="H129" s="847"/>
      <c r="I129" s="847"/>
      <c r="J129" s="776"/>
    </row>
    <row r="130" spans="1:14" ht="21" customHeight="1" x14ac:dyDescent="0.25">
      <c r="A130" s="775"/>
      <c r="B130" s="847"/>
      <c r="C130" s="847"/>
      <c r="D130" s="847"/>
      <c r="E130" s="847"/>
      <c r="F130" s="847"/>
      <c r="G130" s="847"/>
      <c r="H130" s="847"/>
      <c r="I130" s="847"/>
      <c r="J130" s="776"/>
    </row>
    <row r="131" spans="1:14" ht="21" customHeight="1" x14ac:dyDescent="0.25">
      <c r="A131" s="775"/>
      <c r="B131" s="847"/>
      <c r="C131" s="847"/>
      <c r="D131" s="847"/>
      <c r="E131" s="847"/>
      <c r="F131" s="847"/>
      <c r="G131" s="847"/>
      <c r="H131" s="847"/>
      <c r="I131" s="847"/>
      <c r="J131" s="776"/>
    </row>
    <row r="132" spans="1:14" x14ac:dyDescent="0.25">
      <c r="A132" s="775"/>
      <c r="B132" s="847"/>
      <c r="C132" s="847"/>
      <c r="D132" s="847"/>
      <c r="E132" s="847"/>
      <c r="F132" s="847"/>
      <c r="G132" s="847"/>
      <c r="H132" s="847"/>
      <c r="I132" s="847"/>
      <c r="J132" s="776"/>
    </row>
    <row r="133" spans="1:14" x14ac:dyDescent="0.25">
      <c r="A133" s="778"/>
      <c r="B133" s="847"/>
      <c r="C133" s="847"/>
      <c r="D133" s="847"/>
      <c r="E133" s="847"/>
      <c r="F133" s="847"/>
      <c r="G133" s="847"/>
      <c r="H133" s="847"/>
      <c r="I133" s="847"/>
      <c r="J133" s="776"/>
    </row>
    <row r="134" spans="1:14" x14ac:dyDescent="0.25">
      <c r="A134" s="778"/>
      <c r="B134" s="847"/>
      <c r="C134" s="847"/>
      <c r="D134" s="847"/>
      <c r="E134" s="847"/>
      <c r="F134" s="847"/>
      <c r="G134" s="847"/>
      <c r="H134" s="847"/>
      <c r="I134" s="847"/>
      <c r="J134" s="776"/>
    </row>
    <row r="135" spans="1:14" x14ac:dyDescent="0.25">
      <c r="A135" s="778"/>
      <c r="B135" s="847"/>
      <c r="C135" s="847"/>
      <c r="D135" s="847"/>
      <c r="E135" s="847"/>
      <c r="F135" s="847"/>
      <c r="G135" s="847"/>
      <c r="H135" s="847"/>
      <c r="I135" s="847"/>
      <c r="J135" s="776"/>
    </row>
    <row r="136" spans="1:14" x14ac:dyDescent="0.25">
      <c r="A136" s="778"/>
      <c r="B136" s="847"/>
      <c r="C136" s="847"/>
      <c r="D136" s="847"/>
      <c r="E136" s="847"/>
      <c r="F136" s="847"/>
      <c r="G136" s="847"/>
      <c r="H136" s="847"/>
      <c r="I136" s="847"/>
      <c r="J136" s="776"/>
    </row>
    <row r="137" spans="1:14" x14ac:dyDescent="0.25">
      <c r="A137" s="778"/>
      <c r="B137" s="847"/>
      <c r="C137" s="847"/>
      <c r="D137" s="847"/>
      <c r="E137" s="847"/>
      <c r="F137" s="847"/>
      <c r="G137" s="847"/>
      <c r="H137" s="847"/>
      <c r="I137" s="847"/>
      <c r="J137" s="776"/>
    </row>
    <row r="138" spans="1:14" x14ac:dyDescent="0.25">
      <c r="A138" s="778"/>
      <c r="B138" s="847"/>
      <c r="C138" s="847"/>
      <c r="D138" s="847"/>
      <c r="E138" s="847"/>
      <c r="F138" s="847"/>
      <c r="G138" s="847"/>
      <c r="H138" s="847"/>
      <c r="I138" s="847"/>
      <c r="J138" s="776"/>
    </row>
    <row r="139" spans="1:14" x14ac:dyDescent="0.25">
      <c r="A139" s="778"/>
      <c r="B139" s="847"/>
      <c r="C139" s="847"/>
      <c r="D139" s="847"/>
      <c r="E139" s="847"/>
      <c r="F139" s="847"/>
      <c r="G139" s="847"/>
      <c r="H139" s="847"/>
      <c r="I139" s="847"/>
      <c r="J139" s="776"/>
    </row>
    <row r="140" spans="1:14" x14ac:dyDescent="0.25">
      <c r="A140" s="778"/>
      <c r="B140" s="847"/>
      <c r="C140" s="847"/>
      <c r="D140" s="847"/>
      <c r="E140" s="847"/>
      <c r="F140" s="847"/>
      <c r="G140" s="847"/>
      <c r="H140" s="847"/>
      <c r="I140" s="847"/>
      <c r="J140" s="776"/>
    </row>
    <row r="141" spans="1:14" x14ac:dyDescent="0.25">
      <c r="A141" s="778"/>
      <c r="B141" s="847"/>
      <c r="C141" s="847"/>
      <c r="D141" s="847"/>
      <c r="E141" s="847"/>
      <c r="F141" s="847"/>
      <c r="G141" s="847"/>
      <c r="H141" s="847"/>
      <c r="I141" s="847"/>
      <c r="J141" s="776"/>
    </row>
    <row r="142" spans="1:14" x14ac:dyDescent="0.25">
      <c r="A142" s="778"/>
      <c r="B142" s="847"/>
      <c r="C142" s="847"/>
      <c r="D142" s="847"/>
      <c r="E142" s="847"/>
      <c r="F142" s="847"/>
      <c r="G142" s="847"/>
      <c r="H142" s="847"/>
      <c r="I142" s="847"/>
      <c r="J142" s="776"/>
      <c r="M142" s="777"/>
      <c r="N142" s="777"/>
    </row>
    <row r="143" spans="1:14" x14ac:dyDescent="0.25">
      <c r="A143" s="778"/>
      <c r="B143" s="847"/>
      <c r="C143" s="847"/>
      <c r="D143" s="847"/>
      <c r="E143" s="847"/>
      <c r="F143" s="847"/>
      <c r="G143" s="847"/>
      <c r="H143" s="847"/>
      <c r="I143" s="847"/>
      <c r="J143" s="776"/>
      <c r="M143" s="777"/>
      <c r="N143" s="777"/>
    </row>
    <row r="144" spans="1:14" x14ac:dyDescent="0.25">
      <c r="A144" s="778"/>
      <c r="B144" s="847"/>
      <c r="C144" s="847"/>
      <c r="D144" s="847"/>
      <c r="E144" s="847"/>
      <c r="F144" s="847"/>
      <c r="G144" s="847"/>
      <c r="H144" s="847"/>
      <c r="I144" s="847"/>
      <c r="J144" s="776"/>
      <c r="M144" s="777"/>
      <c r="N144" s="777"/>
    </row>
    <row r="145" spans="1:14" x14ac:dyDescent="0.25">
      <c r="A145" s="778"/>
      <c r="B145" s="847"/>
      <c r="C145" s="847"/>
      <c r="D145" s="847"/>
      <c r="E145" s="847"/>
      <c r="F145" s="847"/>
      <c r="G145" s="847"/>
      <c r="H145" s="847"/>
      <c r="I145" s="847"/>
      <c r="J145" s="776"/>
      <c r="M145" s="777"/>
      <c r="N145" s="777"/>
    </row>
    <row r="146" spans="1:14" x14ac:dyDescent="0.25">
      <c r="A146" s="778"/>
      <c r="B146" s="847"/>
      <c r="C146" s="847"/>
      <c r="D146" s="847"/>
      <c r="E146" s="847"/>
      <c r="F146" s="847"/>
      <c r="G146" s="847"/>
      <c r="H146" s="847"/>
      <c r="I146" s="847"/>
      <c r="J146" s="776"/>
      <c r="M146" s="777"/>
      <c r="N146" s="777"/>
    </row>
    <row r="147" spans="1:14" x14ac:dyDescent="0.25">
      <c r="A147" s="778"/>
      <c r="B147" s="847"/>
      <c r="C147" s="847"/>
      <c r="D147" s="847"/>
      <c r="E147" s="847"/>
      <c r="F147" s="847"/>
      <c r="G147" s="847"/>
      <c r="H147" s="847"/>
      <c r="I147" s="847"/>
      <c r="J147" s="776"/>
    </row>
    <row r="148" spans="1:14" x14ac:dyDescent="0.25">
      <c r="A148" s="778"/>
      <c r="B148" s="847"/>
      <c r="C148" s="847"/>
      <c r="D148" s="847"/>
      <c r="E148" s="847"/>
      <c r="F148" s="847"/>
      <c r="G148" s="847"/>
      <c r="H148" s="847"/>
      <c r="I148" s="847"/>
      <c r="J148" s="776"/>
    </row>
    <row r="149" spans="1:14" x14ac:dyDescent="0.25">
      <c r="A149" s="778"/>
      <c r="B149" s="847"/>
      <c r="C149" s="847"/>
      <c r="D149" s="847"/>
      <c r="E149" s="847"/>
      <c r="F149" s="847"/>
      <c r="G149" s="847"/>
      <c r="H149" s="847"/>
      <c r="I149" s="847"/>
      <c r="J149" s="776"/>
    </row>
    <row r="150" spans="1:14" x14ac:dyDescent="0.25">
      <c r="A150" s="775"/>
      <c r="B150" s="847"/>
      <c r="C150" s="847"/>
      <c r="D150" s="847"/>
      <c r="E150" s="847"/>
      <c r="F150" s="847"/>
      <c r="G150" s="847"/>
      <c r="H150" s="847"/>
      <c r="I150" s="847"/>
      <c r="J150" s="776"/>
    </row>
    <row r="151" spans="1:14" x14ac:dyDescent="0.25">
      <c r="A151" s="775"/>
      <c r="B151" s="847"/>
      <c r="C151" s="847"/>
      <c r="D151" s="847"/>
      <c r="E151" s="847"/>
      <c r="F151" s="847"/>
      <c r="G151" s="847"/>
      <c r="H151" s="847"/>
      <c r="I151" s="847"/>
      <c r="J151" s="776"/>
    </row>
    <row r="152" spans="1:14" x14ac:dyDescent="0.25">
      <c r="A152" s="775"/>
      <c r="B152" s="847"/>
      <c r="C152" s="847"/>
      <c r="D152" s="847"/>
      <c r="E152" s="847"/>
      <c r="F152" s="847"/>
      <c r="G152" s="847"/>
      <c r="H152" s="847"/>
      <c r="I152" s="847"/>
      <c r="J152" s="776"/>
    </row>
    <row r="153" spans="1:14" x14ac:dyDescent="0.25">
      <c r="A153" s="775"/>
      <c r="B153" s="847"/>
      <c r="C153" s="847"/>
      <c r="D153" s="847"/>
      <c r="E153" s="847"/>
      <c r="F153" s="847"/>
      <c r="G153" s="847"/>
      <c r="H153" s="847"/>
      <c r="I153" s="847"/>
      <c r="J153" s="776"/>
    </row>
    <row r="154" spans="1:14" x14ac:dyDescent="0.25">
      <c r="A154" s="775"/>
      <c r="B154" s="847"/>
      <c r="C154" s="847"/>
      <c r="D154" s="847"/>
      <c r="E154" s="847"/>
      <c r="F154" s="847"/>
      <c r="G154" s="847"/>
      <c r="H154" s="847"/>
      <c r="I154" s="847"/>
      <c r="J154" s="776"/>
    </row>
    <row r="155" spans="1:14" x14ac:dyDescent="0.25">
      <c r="A155" s="775"/>
      <c r="B155" s="847"/>
      <c r="C155" s="847"/>
      <c r="D155" s="847"/>
      <c r="E155" s="847"/>
      <c r="F155" s="847"/>
      <c r="G155" s="847"/>
      <c r="H155" s="847"/>
      <c r="I155" s="847"/>
      <c r="J155" s="776"/>
    </row>
    <row r="156" spans="1:14" x14ac:dyDescent="0.25">
      <c r="A156" s="775"/>
      <c r="B156" s="847"/>
      <c r="C156" s="847"/>
      <c r="D156" s="847"/>
      <c r="E156" s="847"/>
      <c r="F156" s="847"/>
      <c r="G156" s="847"/>
      <c r="H156" s="847"/>
      <c r="I156" s="847"/>
      <c r="J156" s="776"/>
    </row>
    <row r="157" spans="1:14" x14ac:dyDescent="0.25">
      <c r="A157" s="775"/>
      <c r="B157" s="847"/>
      <c r="C157" s="847"/>
      <c r="D157" s="847"/>
      <c r="E157" s="847"/>
      <c r="F157" s="847"/>
      <c r="G157" s="847"/>
      <c r="H157" s="847"/>
      <c r="I157" s="847"/>
      <c r="J157" s="776"/>
    </row>
    <row r="158" spans="1:14" x14ac:dyDescent="0.25">
      <c r="A158" s="775"/>
      <c r="B158" s="779"/>
      <c r="C158" s="779"/>
      <c r="D158" s="779"/>
      <c r="E158" s="779"/>
      <c r="F158" s="779"/>
      <c r="G158" s="779"/>
      <c r="H158" s="779"/>
      <c r="I158" s="779"/>
      <c r="J158" s="776"/>
    </row>
    <row r="159" spans="1:14" x14ac:dyDescent="0.25">
      <c r="A159" s="775"/>
      <c r="B159" s="779"/>
      <c r="C159" s="779"/>
      <c r="D159" s="779"/>
      <c r="E159" s="779"/>
      <c r="F159" s="779"/>
      <c r="G159" s="779"/>
      <c r="H159" s="779"/>
      <c r="I159" s="780" t="s">
        <v>791</v>
      </c>
      <c r="J159" s="776"/>
    </row>
    <row r="160" spans="1:14" ht="15.75" thickBot="1" x14ac:dyDescent="0.3">
      <c r="A160" s="781"/>
      <c r="B160" s="782"/>
      <c r="C160" s="782"/>
      <c r="D160" s="782"/>
      <c r="E160" s="782"/>
      <c r="F160" s="782"/>
      <c r="G160" s="782"/>
      <c r="H160" s="782"/>
      <c r="I160" s="782"/>
      <c r="J160" s="783"/>
    </row>
    <row r="169" spans="1:10" x14ac:dyDescent="0.25">
      <c r="A169" s="775"/>
      <c r="B169" s="849"/>
      <c r="C169" s="847"/>
      <c r="D169" s="847"/>
      <c r="E169" s="847"/>
      <c r="F169" s="847"/>
      <c r="G169" s="847"/>
      <c r="H169" s="847"/>
      <c r="I169" s="847"/>
      <c r="J169" s="776"/>
    </row>
    <row r="170" spans="1:10" x14ac:dyDescent="0.25">
      <c r="A170" s="775"/>
      <c r="B170" s="847"/>
      <c r="C170" s="847"/>
      <c r="D170" s="847"/>
      <c r="E170" s="847"/>
      <c r="F170" s="847"/>
      <c r="G170" s="847"/>
      <c r="H170" s="847"/>
      <c r="I170" s="847"/>
      <c r="J170" s="776"/>
    </row>
    <row r="171" spans="1:10" x14ac:dyDescent="0.25">
      <c r="A171" s="775"/>
      <c r="B171" s="847"/>
      <c r="C171" s="847"/>
      <c r="D171" s="847"/>
      <c r="E171" s="847"/>
      <c r="F171" s="847"/>
      <c r="G171" s="847"/>
      <c r="H171" s="847"/>
      <c r="I171" s="847"/>
      <c r="J171" s="776"/>
    </row>
    <row r="172" spans="1:10" x14ac:dyDescent="0.25">
      <c r="A172" s="775"/>
      <c r="B172" s="847"/>
      <c r="C172" s="847"/>
      <c r="D172" s="847"/>
      <c r="E172" s="847"/>
      <c r="F172" s="847"/>
      <c r="G172" s="847"/>
      <c r="H172" s="847"/>
      <c r="I172" s="847"/>
      <c r="J172" s="776"/>
    </row>
    <row r="173" spans="1:10" ht="15" customHeight="1" x14ac:dyDescent="0.25">
      <c r="A173" s="775"/>
      <c r="B173" s="847"/>
      <c r="C173" s="847"/>
      <c r="D173" s="847"/>
      <c r="E173" s="847"/>
      <c r="F173" s="847"/>
      <c r="G173" s="847"/>
      <c r="H173" s="847"/>
      <c r="I173" s="847"/>
      <c r="J173" s="776"/>
    </row>
    <row r="174" spans="1:10" ht="15" customHeight="1" x14ac:dyDescent="0.25">
      <c r="A174" s="775"/>
      <c r="B174" s="847"/>
      <c r="C174" s="847"/>
      <c r="D174" s="847"/>
      <c r="E174" s="847"/>
      <c r="F174" s="847"/>
      <c r="G174" s="847"/>
      <c r="H174" s="847"/>
      <c r="I174" s="847"/>
      <c r="J174" s="776"/>
    </row>
    <row r="175" spans="1:10" ht="15" customHeight="1" x14ac:dyDescent="0.25">
      <c r="A175" s="775"/>
      <c r="B175" s="847"/>
      <c r="C175" s="847"/>
      <c r="D175" s="847"/>
      <c r="E175" s="847"/>
      <c r="F175" s="847"/>
      <c r="G175" s="847"/>
      <c r="H175" s="847"/>
      <c r="I175" s="847"/>
      <c r="J175" s="776"/>
    </row>
    <row r="176" spans="1:10" ht="15" customHeight="1" x14ac:dyDescent="0.25">
      <c r="A176" s="775"/>
      <c r="B176" s="847"/>
      <c r="C176" s="847"/>
      <c r="D176" s="847"/>
      <c r="E176" s="847"/>
      <c r="F176" s="847"/>
      <c r="G176" s="847"/>
      <c r="H176" s="847"/>
      <c r="I176" s="847"/>
      <c r="J176" s="776"/>
    </row>
    <row r="177" spans="1:10" ht="15" customHeight="1" x14ac:dyDescent="0.25">
      <c r="A177" s="775"/>
      <c r="B177" s="847"/>
      <c r="C177" s="847"/>
      <c r="D177" s="847"/>
      <c r="E177" s="847"/>
      <c r="F177" s="847"/>
      <c r="G177" s="847"/>
      <c r="H177" s="847"/>
      <c r="I177" s="847"/>
      <c r="J177" s="776"/>
    </row>
    <row r="178" spans="1:10" ht="15" customHeight="1" x14ac:dyDescent="0.25">
      <c r="A178" s="775"/>
      <c r="B178" s="847"/>
      <c r="C178" s="847"/>
      <c r="D178" s="847"/>
      <c r="E178" s="847"/>
      <c r="F178" s="847"/>
      <c r="G178" s="847"/>
      <c r="H178" s="847"/>
      <c r="I178" s="847"/>
      <c r="J178" s="776"/>
    </row>
    <row r="179" spans="1:10" ht="15" customHeight="1" x14ac:dyDescent="0.25">
      <c r="A179" s="775"/>
      <c r="B179" s="847"/>
      <c r="C179" s="847"/>
      <c r="D179" s="847"/>
      <c r="E179" s="847"/>
      <c r="F179" s="847"/>
      <c r="G179" s="847"/>
      <c r="H179" s="847"/>
      <c r="I179" s="847"/>
      <c r="J179" s="776"/>
    </row>
    <row r="180" spans="1:10" x14ac:dyDescent="0.25">
      <c r="A180" s="775"/>
      <c r="B180" s="847"/>
      <c r="C180" s="847"/>
      <c r="D180" s="847"/>
      <c r="E180" s="847"/>
      <c r="F180" s="847"/>
      <c r="G180" s="847"/>
      <c r="H180" s="847"/>
      <c r="I180" s="847"/>
      <c r="J180" s="776"/>
    </row>
    <row r="181" spans="1:10" ht="21" customHeight="1" x14ac:dyDescent="0.25">
      <c r="A181" s="775"/>
      <c r="B181" s="847"/>
      <c r="C181" s="847"/>
      <c r="D181" s="847"/>
      <c r="E181" s="847"/>
      <c r="F181" s="847"/>
      <c r="G181" s="847"/>
      <c r="H181" s="847"/>
      <c r="I181" s="847"/>
      <c r="J181" s="776"/>
    </row>
    <row r="182" spans="1:10" ht="21" customHeight="1" x14ac:dyDescent="0.25">
      <c r="A182" s="775"/>
      <c r="B182" s="847"/>
      <c r="C182" s="847"/>
      <c r="D182" s="847"/>
      <c r="E182" s="847"/>
      <c r="F182" s="847"/>
      <c r="G182" s="847"/>
      <c r="H182" s="847"/>
      <c r="I182" s="847"/>
      <c r="J182" s="776"/>
    </row>
    <row r="183" spans="1:10" ht="21" customHeight="1" x14ac:dyDescent="0.25">
      <c r="A183" s="775"/>
      <c r="B183" s="847"/>
      <c r="C183" s="847"/>
      <c r="D183" s="847"/>
      <c r="E183" s="847"/>
      <c r="F183" s="847"/>
      <c r="G183" s="847"/>
      <c r="H183" s="847"/>
      <c r="I183" s="847"/>
      <c r="J183" s="776"/>
    </row>
    <row r="184" spans="1:10" ht="21" customHeight="1" x14ac:dyDescent="0.25">
      <c r="A184" s="775"/>
      <c r="B184" s="847"/>
      <c r="C184" s="847"/>
      <c r="D184" s="847"/>
      <c r="E184" s="847"/>
      <c r="F184" s="847"/>
      <c r="G184" s="847"/>
      <c r="H184" s="847"/>
      <c r="I184" s="847"/>
      <c r="J184" s="776"/>
    </row>
    <row r="185" spans="1:10" ht="21" customHeight="1" x14ac:dyDescent="0.25">
      <c r="A185" s="775"/>
      <c r="B185" s="847"/>
      <c r="C185" s="847"/>
      <c r="D185" s="847"/>
      <c r="E185" s="847"/>
      <c r="F185" s="847"/>
      <c r="G185" s="847"/>
      <c r="H185" s="847"/>
      <c r="I185" s="847"/>
      <c r="J185" s="776"/>
    </row>
    <row r="186" spans="1:10" ht="21" customHeight="1" x14ac:dyDescent="0.25">
      <c r="A186" s="775"/>
      <c r="B186" s="847"/>
      <c r="C186" s="847"/>
      <c r="D186" s="847"/>
      <c r="E186" s="847"/>
      <c r="F186" s="847"/>
      <c r="G186" s="847"/>
      <c r="H186" s="847"/>
      <c r="I186" s="847"/>
      <c r="J186" s="776"/>
    </row>
    <row r="187" spans="1:10" x14ac:dyDescent="0.25">
      <c r="A187" s="775"/>
      <c r="B187" s="847"/>
      <c r="C187" s="847"/>
      <c r="D187" s="847"/>
      <c r="E187" s="847"/>
      <c r="F187" s="847"/>
      <c r="G187" s="847"/>
      <c r="H187" s="847"/>
      <c r="I187" s="847"/>
      <c r="J187" s="776"/>
    </row>
    <row r="188" spans="1:10" x14ac:dyDescent="0.25">
      <c r="A188" s="778"/>
      <c r="B188" s="847"/>
      <c r="C188" s="847"/>
      <c r="D188" s="847"/>
      <c r="E188" s="847"/>
      <c r="F188" s="847"/>
      <c r="G188" s="847"/>
      <c r="H188" s="847"/>
      <c r="I188" s="847"/>
      <c r="J188" s="776"/>
    </row>
    <row r="189" spans="1:10" x14ac:dyDescent="0.25">
      <c r="A189" s="778"/>
      <c r="B189" s="847"/>
      <c r="C189" s="847"/>
      <c r="D189" s="847"/>
      <c r="E189" s="847"/>
      <c r="F189" s="847"/>
      <c r="G189" s="847"/>
      <c r="H189" s="847"/>
      <c r="I189" s="847"/>
      <c r="J189" s="776"/>
    </row>
    <row r="190" spans="1:10" x14ac:dyDescent="0.25">
      <c r="A190" s="778"/>
      <c r="B190" s="847"/>
      <c r="C190" s="847"/>
      <c r="D190" s="847"/>
      <c r="E190" s="847"/>
      <c r="F190" s="847"/>
      <c r="G190" s="847"/>
      <c r="H190" s="847"/>
      <c r="I190" s="847"/>
      <c r="J190" s="776"/>
    </row>
    <row r="191" spans="1:10" x14ac:dyDescent="0.25">
      <c r="A191" s="778"/>
      <c r="B191" s="847"/>
      <c r="C191" s="847"/>
      <c r="D191" s="847"/>
      <c r="E191" s="847"/>
      <c r="F191" s="847"/>
      <c r="G191" s="847"/>
      <c r="H191" s="847"/>
      <c r="I191" s="847"/>
      <c r="J191" s="776"/>
    </row>
    <row r="192" spans="1:10" x14ac:dyDescent="0.25">
      <c r="A192" s="778"/>
      <c r="B192" s="847"/>
      <c r="C192" s="847"/>
      <c r="D192" s="847"/>
      <c r="E192" s="847"/>
      <c r="F192" s="847"/>
      <c r="G192" s="847"/>
      <c r="H192" s="847"/>
      <c r="I192" s="847"/>
      <c r="J192" s="776"/>
    </row>
    <row r="193" spans="1:15" x14ac:dyDescent="0.25">
      <c r="A193" s="778"/>
      <c r="B193" s="847"/>
      <c r="C193" s="847"/>
      <c r="D193" s="847"/>
      <c r="E193" s="847"/>
      <c r="F193" s="847"/>
      <c r="G193" s="847"/>
      <c r="H193" s="847"/>
      <c r="I193" s="847"/>
      <c r="J193" s="776"/>
    </row>
    <row r="194" spans="1:15" x14ac:dyDescent="0.25">
      <c r="A194" s="778"/>
      <c r="B194" s="847"/>
      <c r="C194" s="847"/>
      <c r="D194" s="847"/>
      <c r="E194" s="847"/>
      <c r="F194" s="847"/>
      <c r="G194" s="847"/>
      <c r="H194" s="847"/>
      <c r="I194" s="847"/>
      <c r="J194" s="776"/>
    </row>
    <row r="195" spans="1:15" x14ac:dyDescent="0.25">
      <c r="A195" s="778"/>
      <c r="B195" s="847"/>
      <c r="C195" s="847"/>
      <c r="D195" s="847"/>
      <c r="E195" s="847"/>
      <c r="F195" s="847"/>
      <c r="G195" s="847"/>
      <c r="H195" s="847"/>
      <c r="I195" s="847"/>
      <c r="J195" s="776"/>
    </row>
    <row r="196" spans="1:15" x14ac:dyDescent="0.25">
      <c r="A196" s="778"/>
      <c r="B196" s="847"/>
      <c r="C196" s="847"/>
      <c r="D196" s="847"/>
      <c r="E196" s="847"/>
      <c r="F196" s="847"/>
      <c r="G196" s="847"/>
      <c r="H196" s="847"/>
      <c r="I196" s="847"/>
      <c r="J196" s="776"/>
    </row>
    <row r="197" spans="1:15" x14ac:dyDescent="0.25">
      <c r="A197" s="778"/>
      <c r="B197" s="847"/>
      <c r="C197" s="847"/>
      <c r="D197" s="847"/>
      <c r="E197" s="847"/>
      <c r="F197" s="847"/>
      <c r="G197" s="847"/>
      <c r="H197" s="847"/>
      <c r="I197" s="847"/>
      <c r="J197" s="776"/>
    </row>
    <row r="198" spans="1:15" x14ac:dyDescent="0.25">
      <c r="A198" s="778"/>
      <c r="B198" s="847"/>
      <c r="C198" s="847"/>
      <c r="D198" s="847"/>
      <c r="E198" s="847"/>
      <c r="F198" s="847"/>
      <c r="G198" s="847"/>
      <c r="H198" s="847"/>
      <c r="I198" s="847"/>
      <c r="J198" s="776"/>
    </row>
    <row r="199" spans="1:15" x14ac:dyDescent="0.25">
      <c r="A199" s="778"/>
      <c r="B199" s="847"/>
      <c r="C199" s="847"/>
      <c r="D199" s="847"/>
      <c r="E199" s="847"/>
      <c r="F199" s="847"/>
      <c r="G199" s="847"/>
      <c r="H199" s="847"/>
      <c r="I199" s="847"/>
      <c r="J199" s="776"/>
    </row>
    <row r="200" spans="1:15" x14ac:dyDescent="0.25">
      <c r="A200" s="778"/>
      <c r="B200" s="847"/>
      <c r="C200" s="847"/>
      <c r="D200" s="847"/>
      <c r="E200" s="847"/>
      <c r="F200" s="847"/>
      <c r="G200" s="847"/>
      <c r="H200" s="847"/>
      <c r="I200" s="847"/>
      <c r="J200" s="776"/>
    </row>
    <row r="201" spans="1:15" x14ac:dyDescent="0.25">
      <c r="A201" s="778"/>
      <c r="B201" s="847"/>
      <c r="C201" s="847"/>
      <c r="D201" s="847"/>
      <c r="E201" s="847"/>
      <c r="F201" s="847"/>
      <c r="G201" s="847"/>
      <c r="H201" s="847"/>
      <c r="I201" s="847"/>
      <c r="J201" s="776"/>
    </row>
    <row r="202" spans="1:15" x14ac:dyDescent="0.25">
      <c r="A202" s="778"/>
      <c r="B202" s="847"/>
      <c r="C202" s="847"/>
      <c r="D202" s="847"/>
      <c r="E202" s="847"/>
      <c r="F202" s="847"/>
      <c r="G202" s="847"/>
      <c r="H202" s="847"/>
      <c r="I202" s="847"/>
      <c r="J202" s="776"/>
    </row>
    <row r="203" spans="1:15" x14ac:dyDescent="0.25">
      <c r="A203" s="778"/>
      <c r="B203" s="847"/>
      <c r="C203" s="847"/>
      <c r="D203" s="847"/>
      <c r="E203" s="847"/>
      <c r="F203" s="847"/>
      <c r="G203" s="847"/>
      <c r="H203" s="847"/>
      <c r="I203" s="847"/>
      <c r="J203" s="776"/>
      <c r="O203" s="796"/>
    </row>
    <row r="204" spans="1:15" x14ac:dyDescent="0.25">
      <c r="A204" s="778"/>
      <c r="B204" s="847"/>
      <c r="C204" s="847"/>
      <c r="D204" s="847"/>
      <c r="E204" s="847"/>
      <c r="F204" s="847"/>
      <c r="G204" s="847"/>
      <c r="H204" s="847"/>
      <c r="I204" s="847"/>
      <c r="J204" s="776"/>
    </row>
    <row r="205" spans="1:15" x14ac:dyDescent="0.25">
      <c r="A205" s="775"/>
      <c r="B205" s="847"/>
      <c r="C205" s="847"/>
      <c r="D205" s="847"/>
      <c r="E205" s="847"/>
      <c r="F205" s="847"/>
      <c r="G205" s="847"/>
      <c r="H205" s="847"/>
      <c r="I205" s="847"/>
      <c r="J205" s="776"/>
    </row>
    <row r="206" spans="1:15" x14ac:dyDescent="0.25">
      <c r="A206" s="775"/>
      <c r="B206" s="847"/>
      <c r="C206" s="847"/>
      <c r="D206" s="847"/>
      <c r="E206" s="847"/>
      <c r="F206" s="847"/>
      <c r="G206" s="847"/>
      <c r="H206" s="847"/>
      <c r="I206" s="847"/>
      <c r="J206" s="776"/>
    </row>
    <row r="207" spans="1:15" x14ac:dyDescent="0.25">
      <c r="A207" s="775"/>
      <c r="B207" s="847"/>
      <c r="C207" s="847"/>
      <c r="D207" s="847"/>
      <c r="E207" s="847"/>
      <c r="F207" s="847"/>
      <c r="G207" s="847"/>
      <c r="H207" s="847"/>
      <c r="I207" s="847"/>
      <c r="J207" s="776"/>
    </row>
    <row r="208" spans="1:15" x14ac:dyDescent="0.25">
      <c r="A208" s="775"/>
      <c r="B208" s="847"/>
      <c r="C208" s="847"/>
      <c r="D208" s="847"/>
      <c r="E208" s="847"/>
      <c r="F208" s="847"/>
      <c r="G208" s="847"/>
      <c r="H208" s="847"/>
      <c r="I208" s="847"/>
      <c r="J208" s="776"/>
    </row>
    <row r="209" spans="1:10" x14ac:dyDescent="0.25">
      <c r="A209" s="775"/>
      <c r="B209" s="847"/>
      <c r="C209" s="847"/>
      <c r="D209" s="847"/>
      <c r="E209" s="847"/>
      <c r="F209" s="847"/>
      <c r="G209" s="847"/>
      <c r="H209" s="847"/>
      <c r="I209" s="847"/>
      <c r="J209" s="776"/>
    </row>
    <row r="210" spans="1:10" x14ac:dyDescent="0.25">
      <c r="A210" s="775"/>
      <c r="B210" s="847"/>
      <c r="C210" s="847"/>
      <c r="D210" s="847"/>
      <c r="E210" s="847"/>
      <c r="F210" s="847"/>
      <c r="G210" s="847"/>
      <c r="H210" s="847"/>
      <c r="I210" s="847"/>
      <c r="J210" s="776"/>
    </row>
    <row r="211" spans="1:10" x14ac:dyDescent="0.25">
      <c r="A211" s="775"/>
      <c r="B211" s="847"/>
      <c r="C211" s="847"/>
      <c r="D211" s="847"/>
      <c r="E211" s="847"/>
      <c r="F211" s="847"/>
      <c r="G211" s="847"/>
      <c r="H211" s="847"/>
      <c r="I211" s="847"/>
      <c r="J211" s="776"/>
    </row>
    <row r="212" spans="1:10" x14ac:dyDescent="0.25">
      <c r="A212" s="775"/>
      <c r="B212" s="847"/>
      <c r="C212" s="847"/>
      <c r="D212" s="847"/>
      <c r="E212" s="847"/>
      <c r="F212" s="847"/>
      <c r="G212" s="847"/>
      <c r="H212" s="847"/>
      <c r="I212" s="847"/>
      <c r="J212" s="776"/>
    </row>
    <row r="213" spans="1:10" x14ac:dyDescent="0.25">
      <c r="A213" s="775"/>
      <c r="B213" s="779"/>
      <c r="C213" s="779"/>
      <c r="D213" s="779"/>
      <c r="E213" s="779"/>
      <c r="F213" s="779"/>
      <c r="G213" s="779"/>
      <c r="H213" s="779"/>
      <c r="I213" s="779"/>
      <c r="J213" s="776"/>
    </row>
    <row r="214" spans="1:10" x14ac:dyDescent="0.25">
      <c r="A214" s="775"/>
      <c r="B214" s="779"/>
      <c r="C214" s="779"/>
      <c r="D214" s="779"/>
      <c r="E214" s="779"/>
      <c r="F214" s="779"/>
      <c r="G214" s="779"/>
      <c r="H214" s="779"/>
      <c r="I214" s="780" t="s">
        <v>792</v>
      </c>
      <c r="J214" s="776"/>
    </row>
    <row r="215" spans="1:10" ht="15.75" thickBot="1" x14ac:dyDescent="0.3">
      <c r="A215" s="781"/>
      <c r="B215" s="782"/>
      <c r="C215" s="782"/>
      <c r="D215" s="782"/>
      <c r="E215" s="782"/>
      <c r="F215" s="782"/>
      <c r="G215" s="782"/>
      <c r="H215" s="782"/>
      <c r="I215" s="782"/>
      <c r="J215" s="783"/>
    </row>
    <row r="216" spans="1:10" x14ac:dyDescent="0.25">
      <c r="A216" s="779"/>
      <c r="B216" s="779"/>
      <c r="C216" s="779"/>
      <c r="D216" s="779"/>
      <c r="E216" s="779"/>
      <c r="F216" s="779"/>
      <c r="G216" s="779"/>
      <c r="H216" s="779"/>
      <c r="I216" s="779"/>
      <c r="J216" s="779"/>
    </row>
    <row r="217" spans="1:10" x14ac:dyDescent="0.25">
      <c r="A217" s="779"/>
      <c r="B217" s="779"/>
      <c r="C217" s="779"/>
      <c r="D217" s="779"/>
      <c r="E217" s="779"/>
      <c r="F217" s="779"/>
      <c r="G217" s="779"/>
      <c r="H217" s="779"/>
      <c r="I217" s="779"/>
      <c r="J217" s="779"/>
    </row>
    <row r="218" spans="1:10" x14ac:dyDescent="0.25">
      <c r="A218" s="779"/>
      <c r="B218" s="779"/>
      <c r="C218" s="779"/>
      <c r="D218" s="779"/>
      <c r="E218" s="779"/>
      <c r="F218" s="779"/>
      <c r="G218" s="779"/>
      <c r="H218" s="779"/>
      <c r="I218" s="779"/>
      <c r="J218" s="779"/>
    </row>
    <row r="219" spans="1:10" x14ac:dyDescent="0.25">
      <c r="A219" s="779"/>
      <c r="B219" s="779"/>
      <c r="C219" s="779"/>
      <c r="D219" s="779"/>
      <c r="E219" s="779"/>
      <c r="F219" s="779"/>
      <c r="G219" s="779"/>
      <c r="H219" s="779"/>
      <c r="I219" s="779"/>
      <c r="J219" s="779"/>
    </row>
    <row r="220" spans="1:10" x14ac:dyDescent="0.25">
      <c r="A220" s="779"/>
      <c r="B220" s="779"/>
      <c r="C220" s="779"/>
      <c r="D220" s="779"/>
      <c r="E220" s="779"/>
      <c r="F220" s="779"/>
      <c r="G220" s="779"/>
      <c r="H220" s="779"/>
      <c r="I220" s="779"/>
      <c r="J220" s="779"/>
    </row>
    <row r="221" spans="1:10" x14ac:dyDescent="0.25">
      <c r="A221" s="779"/>
      <c r="B221" s="779"/>
      <c r="C221" s="779"/>
      <c r="D221" s="779"/>
      <c r="E221" s="779"/>
      <c r="F221" s="779"/>
      <c r="G221" s="779"/>
      <c r="H221" s="779"/>
      <c r="I221" s="779"/>
      <c r="J221" s="779"/>
    </row>
    <row r="222" spans="1:10" x14ac:dyDescent="0.25">
      <c r="A222" s="779"/>
      <c r="B222" s="779"/>
      <c r="C222" s="779"/>
      <c r="D222" s="779"/>
      <c r="E222" s="779"/>
      <c r="F222" s="779"/>
      <c r="G222" s="779"/>
      <c r="H222" s="779"/>
      <c r="I222" s="779"/>
      <c r="J222" s="779"/>
    </row>
    <row r="223" spans="1:10" x14ac:dyDescent="0.25">
      <c r="A223" s="779"/>
      <c r="B223" s="779"/>
      <c r="C223" s="779"/>
      <c r="D223" s="779"/>
      <c r="E223" s="779"/>
      <c r="F223" s="779"/>
      <c r="G223" s="779"/>
      <c r="H223" s="779"/>
      <c r="I223" s="779"/>
      <c r="J223" s="779"/>
    </row>
    <row r="224" spans="1:10" ht="15.75" thickBot="1" x14ac:dyDescent="0.3">
      <c r="A224" s="779"/>
      <c r="B224" s="779"/>
      <c r="C224" s="779"/>
      <c r="D224" s="779"/>
      <c r="E224" s="779"/>
      <c r="F224" s="779"/>
      <c r="G224" s="779"/>
      <c r="H224" s="779"/>
      <c r="I224" s="779"/>
      <c r="J224" s="779"/>
    </row>
    <row r="225" spans="1:10" x14ac:dyDescent="0.25">
      <c r="A225" s="772"/>
      <c r="B225" s="773"/>
      <c r="C225" s="773"/>
      <c r="D225" s="773"/>
      <c r="E225" s="773"/>
      <c r="F225" s="773"/>
      <c r="G225" s="773"/>
      <c r="H225" s="773"/>
      <c r="I225" s="773"/>
      <c r="J225" s="774"/>
    </row>
    <row r="226" spans="1:10" ht="15" customHeight="1" x14ac:dyDescent="0.25">
      <c r="A226" s="775"/>
      <c r="B226" s="849"/>
      <c r="C226" s="849"/>
      <c r="D226" s="849"/>
      <c r="E226" s="849"/>
      <c r="F226" s="849"/>
      <c r="G226" s="849"/>
      <c r="H226" s="849"/>
      <c r="I226" s="849"/>
      <c r="J226" s="851"/>
    </row>
    <row r="227" spans="1:10" x14ac:dyDescent="0.25">
      <c r="A227" s="775"/>
      <c r="B227" s="849"/>
      <c r="C227" s="849"/>
      <c r="D227" s="849"/>
      <c r="E227" s="849"/>
      <c r="F227" s="849"/>
      <c r="G227" s="849"/>
      <c r="H227" s="849"/>
      <c r="I227" s="849"/>
      <c r="J227" s="851"/>
    </row>
    <row r="228" spans="1:10" x14ac:dyDescent="0.25">
      <c r="A228" s="775"/>
      <c r="B228" s="849"/>
      <c r="C228" s="849"/>
      <c r="D228" s="849"/>
      <c r="E228" s="849"/>
      <c r="F228" s="849"/>
      <c r="G228" s="849"/>
      <c r="H228" s="849"/>
      <c r="I228" s="849"/>
      <c r="J228" s="851"/>
    </row>
    <row r="229" spans="1:10" x14ac:dyDescent="0.25">
      <c r="A229" s="775"/>
      <c r="B229" s="849"/>
      <c r="C229" s="849"/>
      <c r="D229" s="849"/>
      <c r="E229" s="849"/>
      <c r="F229" s="849"/>
      <c r="G229" s="849"/>
      <c r="H229" s="849"/>
      <c r="I229" s="849"/>
      <c r="J229" s="851"/>
    </row>
    <row r="230" spans="1:10" ht="15" customHeight="1" x14ac:dyDescent="0.25">
      <c r="A230" s="775"/>
      <c r="B230" s="849"/>
      <c r="C230" s="849"/>
      <c r="D230" s="849"/>
      <c r="E230" s="849"/>
      <c r="F230" s="849"/>
      <c r="G230" s="849"/>
      <c r="H230" s="849"/>
      <c r="I230" s="849"/>
      <c r="J230" s="851"/>
    </row>
    <row r="231" spans="1:10" ht="15" customHeight="1" x14ac:dyDescent="0.25">
      <c r="A231" s="775"/>
      <c r="B231" s="849"/>
      <c r="C231" s="849"/>
      <c r="D231" s="849"/>
      <c r="E231" s="849"/>
      <c r="F231" s="849"/>
      <c r="G231" s="849"/>
      <c r="H231" s="849"/>
      <c r="I231" s="849"/>
      <c r="J231" s="851"/>
    </row>
    <row r="232" spans="1:10" ht="15" customHeight="1" x14ac:dyDescent="0.25">
      <c r="A232" s="775"/>
      <c r="B232" s="849"/>
      <c r="C232" s="849"/>
      <c r="D232" s="849"/>
      <c r="E232" s="849"/>
      <c r="F232" s="849"/>
      <c r="G232" s="849"/>
      <c r="H232" s="849"/>
      <c r="I232" s="849"/>
      <c r="J232" s="851"/>
    </row>
    <row r="233" spans="1:10" ht="15" customHeight="1" x14ac:dyDescent="0.25">
      <c r="A233" s="775"/>
      <c r="B233" s="849"/>
      <c r="C233" s="849"/>
      <c r="D233" s="849"/>
      <c r="E233" s="849"/>
      <c r="F233" s="849"/>
      <c r="G233" s="849"/>
      <c r="H233" s="849"/>
      <c r="I233" s="849"/>
      <c r="J233" s="851"/>
    </row>
    <row r="234" spans="1:10" ht="15" customHeight="1" x14ac:dyDescent="0.25">
      <c r="A234" s="775"/>
      <c r="B234" s="849"/>
      <c r="C234" s="849"/>
      <c r="D234" s="849"/>
      <c r="E234" s="849"/>
      <c r="F234" s="849"/>
      <c r="G234" s="849"/>
      <c r="H234" s="849"/>
      <c r="I234" s="849"/>
      <c r="J234" s="851"/>
    </row>
    <row r="235" spans="1:10" ht="15" customHeight="1" x14ac:dyDescent="0.25">
      <c r="A235" s="775"/>
      <c r="B235" s="849"/>
      <c r="C235" s="849"/>
      <c r="D235" s="849"/>
      <c r="E235" s="849"/>
      <c r="F235" s="849"/>
      <c r="G235" s="849"/>
      <c r="H235" s="849"/>
      <c r="I235" s="849"/>
      <c r="J235" s="851"/>
    </row>
    <row r="236" spans="1:10" ht="15" customHeight="1" x14ac:dyDescent="0.25">
      <c r="A236" s="775"/>
      <c r="B236" s="849"/>
      <c r="C236" s="849"/>
      <c r="D236" s="849"/>
      <c r="E236" s="849"/>
      <c r="F236" s="849"/>
      <c r="G236" s="849"/>
      <c r="H236" s="849"/>
      <c r="I236" s="849"/>
      <c r="J236" s="851"/>
    </row>
    <row r="237" spans="1:10" x14ac:dyDescent="0.25">
      <c r="A237" s="775"/>
      <c r="B237" s="849"/>
      <c r="C237" s="849"/>
      <c r="D237" s="849"/>
      <c r="E237" s="849"/>
      <c r="F237" s="849"/>
      <c r="G237" s="849"/>
      <c r="H237" s="849"/>
      <c r="I237" s="849"/>
      <c r="J237" s="851"/>
    </row>
    <row r="238" spans="1:10" ht="21" customHeight="1" x14ac:dyDescent="0.25">
      <c r="A238" s="775"/>
      <c r="B238" s="849"/>
      <c r="C238" s="849"/>
      <c r="D238" s="849"/>
      <c r="E238" s="849"/>
      <c r="F238" s="849"/>
      <c r="G238" s="849"/>
      <c r="H238" s="849"/>
      <c r="I238" s="849"/>
      <c r="J238" s="851"/>
    </row>
    <row r="239" spans="1:10" ht="21" customHeight="1" x14ac:dyDescent="0.25">
      <c r="A239" s="775"/>
      <c r="B239" s="849"/>
      <c r="C239" s="849"/>
      <c r="D239" s="849"/>
      <c r="E239" s="849"/>
      <c r="F239" s="849"/>
      <c r="G239" s="849"/>
      <c r="H239" s="849"/>
      <c r="I239" s="849"/>
      <c r="J239" s="851"/>
    </row>
    <row r="240" spans="1:10" ht="21" customHeight="1" x14ac:dyDescent="0.25">
      <c r="A240" s="775"/>
      <c r="B240" s="849"/>
      <c r="C240" s="849"/>
      <c r="D240" s="849"/>
      <c r="E240" s="849"/>
      <c r="F240" s="849"/>
      <c r="G240" s="849"/>
      <c r="H240" s="849"/>
      <c r="I240" s="849"/>
      <c r="J240" s="851"/>
    </row>
    <row r="241" spans="1:10" ht="21" customHeight="1" x14ac:dyDescent="0.25">
      <c r="A241" s="775"/>
      <c r="B241" s="849"/>
      <c r="C241" s="849"/>
      <c r="D241" s="849"/>
      <c r="E241" s="849"/>
      <c r="F241" s="849"/>
      <c r="G241" s="849"/>
      <c r="H241" s="849"/>
      <c r="I241" s="849"/>
      <c r="J241" s="851"/>
    </row>
    <row r="242" spans="1:10" ht="21" customHeight="1" x14ac:dyDescent="0.25">
      <c r="A242" s="775"/>
      <c r="B242" s="849"/>
      <c r="C242" s="849"/>
      <c r="D242" s="849"/>
      <c r="E242" s="849"/>
      <c r="F242" s="849"/>
      <c r="G242" s="849"/>
      <c r="H242" s="849"/>
      <c r="I242" s="849"/>
      <c r="J242" s="851"/>
    </row>
    <row r="243" spans="1:10" ht="21" customHeight="1" x14ac:dyDescent="0.25">
      <c r="A243" s="775"/>
      <c r="B243" s="849"/>
      <c r="C243" s="849"/>
      <c r="D243" s="849"/>
      <c r="E243" s="849"/>
      <c r="F243" s="849"/>
      <c r="G243" s="849"/>
      <c r="H243" s="849"/>
      <c r="I243" s="849"/>
      <c r="J243" s="851"/>
    </row>
    <row r="244" spans="1:10" x14ac:dyDescent="0.25">
      <c r="A244" s="775"/>
      <c r="B244" s="849"/>
      <c r="C244" s="849"/>
      <c r="D244" s="849"/>
      <c r="E244" s="849"/>
      <c r="F244" s="849"/>
      <c r="G244" s="849"/>
      <c r="H244" s="849"/>
      <c r="I244" s="849"/>
      <c r="J244" s="851"/>
    </row>
    <row r="245" spans="1:10" x14ac:dyDescent="0.25">
      <c r="A245" s="778"/>
      <c r="B245" s="849"/>
      <c r="C245" s="849"/>
      <c r="D245" s="849"/>
      <c r="E245" s="849"/>
      <c r="F245" s="849"/>
      <c r="G245" s="849"/>
      <c r="H245" s="849"/>
      <c r="I245" s="849"/>
      <c r="J245" s="851"/>
    </row>
    <row r="246" spans="1:10" x14ac:dyDescent="0.25">
      <c r="A246" s="778"/>
      <c r="B246" s="849"/>
      <c r="C246" s="849"/>
      <c r="D246" s="849"/>
      <c r="E246" s="849"/>
      <c r="F246" s="849"/>
      <c r="G246" s="849"/>
      <c r="H246" s="849"/>
      <c r="I246" s="849"/>
      <c r="J246" s="851"/>
    </row>
    <row r="247" spans="1:10" x14ac:dyDescent="0.25">
      <c r="A247" s="778"/>
      <c r="B247" s="849"/>
      <c r="C247" s="849"/>
      <c r="D247" s="849"/>
      <c r="E247" s="849"/>
      <c r="F247" s="849"/>
      <c r="G247" s="849"/>
      <c r="H247" s="849"/>
      <c r="I247" s="849"/>
      <c r="J247" s="851"/>
    </row>
    <row r="248" spans="1:10" x14ac:dyDescent="0.25">
      <c r="A248" s="778"/>
      <c r="B248" s="849"/>
      <c r="C248" s="849"/>
      <c r="D248" s="849"/>
      <c r="E248" s="849"/>
      <c r="F248" s="849"/>
      <c r="G248" s="849"/>
      <c r="H248" s="849"/>
      <c r="I248" s="849"/>
      <c r="J248" s="851"/>
    </row>
    <row r="249" spans="1:10" x14ac:dyDescent="0.25">
      <c r="A249" s="778"/>
      <c r="B249" s="849"/>
      <c r="C249" s="849"/>
      <c r="D249" s="849"/>
      <c r="E249" s="849"/>
      <c r="F249" s="849"/>
      <c r="G249" s="849"/>
      <c r="H249" s="849"/>
      <c r="I249" s="849"/>
      <c r="J249" s="851"/>
    </row>
    <row r="250" spans="1:10" x14ac:dyDescent="0.25">
      <c r="A250" s="778"/>
      <c r="B250" s="849"/>
      <c r="C250" s="849"/>
      <c r="D250" s="849"/>
      <c r="E250" s="849"/>
      <c r="F250" s="849"/>
      <c r="G250" s="849"/>
      <c r="H250" s="849"/>
      <c r="I250" s="849"/>
      <c r="J250" s="851"/>
    </row>
    <row r="251" spans="1:10" x14ac:dyDescent="0.25">
      <c r="A251" s="778"/>
      <c r="B251" s="849"/>
      <c r="C251" s="849"/>
      <c r="D251" s="849"/>
      <c r="E251" s="849"/>
      <c r="F251" s="849"/>
      <c r="G251" s="849"/>
      <c r="H251" s="849"/>
      <c r="I251" s="849"/>
      <c r="J251" s="851"/>
    </row>
    <row r="252" spans="1:10" x14ac:dyDescent="0.25">
      <c r="A252" s="778"/>
      <c r="B252" s="849"/>
      <c r="C252" s="849"/>
      <c r="D252" s="849"/>
      <c r="E252" s="849"/>
      <c r="F252" s="849"/>
      <c r="G252" s="849"/>
      <c r="H252" s="849"/>
      <c r="I252" s="849"/>
      <c r="J252" s="851"/>
    </row>
    <row r="253" spans="1:10" x14ac:dyDescent="0.25">
      <c r="A253" s="778"/>
      <c r="B253" s="849"/>
      <c r="C253" s="849"/>
      <c r="D253" s="849"/>
      <c r="E253" s="849"/>
      <c r="F253" s="849"/>
      <c r="G253" s="849"/>
      <c r="H253" s="849"/>
      <c r="I253" s="849"/>
      <c r="J253" s="851"/>
    </row>
    <row r="254" spans="1:10" x14ac:dyDescent="0.25">
      <c r="A254" s="778"/>
      <c r="B254" s="849"/>
      <c r="C254" s="849"/>
      <c r="D254" s="849"/>
      <c r="E254" s="849"/>
      <c r="F254" s="849"/>
      <c r="G254" s="849"/>
      <c r="H254" s="849"/>
      <c r="I254" s="849"/>
      <c r="J254" s="851"/>
    </row>
    <row r="255" spans="1:10" x14ac:dyDescent="0.25">
      <c r="A255" s="778"/>
      <c r="B255" s="849"/>
      <c r="C255" s="849"/>
      <c r="D255" s="849"/>
      <c r="E255" s="849"/>
      <c r="F255" s="849"/>
      <c r="G255" s="849"/>
      <c r="H255" s="849"/>
      <c r="I255" s="849"/>
      <c r="J255" s="851"/>
    </row>
    <row r="256" spans="1:10" x14ac:dyDescent="0.25">
      <c r="A256" s="778"/>
      <c r="B256" s="849"/>
      <c r="C256" s="849"/>
      <c r="D256" s="849"/>
      <c r="E256" s="849"/>
      <c r="F256" s="849"/>
      <c r="G256" s="849"/>
      <c r="H256" s="849"/>
      <c r="I256" s="849"/>
      <c r="J256" s="851"/>
    </row>
    <row r="257" spans="1:10" x14ac:dyDescent="0.25">
      <c r="A257" s="778"/>
      <c r="B257" s="849"/>
      <c r="C257" s="849"/>
      <c r="D257" s="849"/>
      <c r="E257" s="849"/>
      <c r="F257" s="849"/>
      <c r="G257" s="849"/>
      <c r="H257" s="849"/>
      <c r="I257" s="849"/>
      <c r="J257" s="851"/>
    </row>
    <row r="258" spans="1:10" x14ac:dyDescent="0.25">
      <c r="A258" s="778"/>
      <c r="B258" s="849"/>
      <c r="C258" s="849"/>
      <c r="D258" s="849"/>
      <c r="E258" s="849"/>
      <c r="F258" s="849"/>
      <c r="G258" s="849"/>
      <c r="H258" s="849"/>
      <c r="I258" s="849"/>
      <c r="J258" s="851"/>
    </row>
    <row r="259" spans="1:10" x14ac:dyDescent="0.25">
      <c r="A259" s="778"/>
      <c r="B259" s="849"/>
      <c r="C259" s="849"/>
      <c r="D259" s="849"/>
      <c r="E259" s="849"/>
      <c r="F259" s="849"/>
      <c r="G259" s="849"/>
      <c r="H259" s="849"/>
      <c r="I259" s="849"/>
      <c r="J259" s="851"/>
    </row>
    <row r="260" spans="1:10" x14ac:dyDescent="0.25">
      <c r="A260" s="778"/>
      <c r="B260" s="849"/>
      <c r="C260" s="849"/>
      <c r="D260" s="849"/>
      <c r="E260" s="849"/>
      <c r="F260" s="849"/>
      <c r="G260" s="849"/>
      <c r="H260" s="849"/>
      <c r="I260" s="849"/>
      <c r="J260" s="851"/>
    </row>
    <row r="261" spans="1:10" x14ac:dyDescent="0.25">
      <c r="A261" s="778"/>
      <c r="B261" s="849"/>
      <c r="C261" s="849"/>
      <c r="D261" s="849"/>
      <c r="E261" s="849"/>
      <c r="F261" s="849"/>
      <c r="G261" s="849"/>
      <c r="H261" s="849"/>
      <c r="I261" s="849"/>
      <c r="J261" s="851"/>
    </row>
    <row r="262" spans="1:10" x14ac:dyDescent="0.25">
      <c r="A262" s="775"/>
      <c r="B262" s="849"/>
      <c r="C262" s="849"/>
      <c r="D262" s="849"/>
      <c r="E262" s="849"/>
      <c r="F262" s="849"/>
      <c r="G262" s="849"/>
      <c r="H262" s="849"/>
      <c r="I262" s="849"/>
      <c r="J262" s="851"/>
    </row>
    <row r="263" spans="1:10" x14ac:dyDescent="0.25">
      <c r="A263" s="775"/>
      <c r="B263" s="849"/>
      <c r="C263" s="849"/>
      <c r="D263" s="849"/>
      <c r="E263" s="849"/>
      <c r="F263" s="849"/>
      <c r="G263" s="849"/>
      <c r="H263" s="849"/>
      <c r="I263" s="849"/>
      <c r="J263" s="851"/>
    </row>
    <row r="264" spans="1:10" x14ac:dyDescent="0.25">
      <c r="A264" s="775"/>
      <c r="B264" s="849"/>
      <c r="C264" s="849"/>
      <c r="D264" s="849"/>
      <c r="E264" s="849"/>
      <c r="F264" s="849"/>
      <c r="G264" s="849"/>
      <c r="H264" s="849"/>
      <c r="I264" s="849"/>
      <c r="J264" s="851"/>
    </row>
    <row r="265" spans="1:10" x14ac:dyDescent="0.25">
      <c r="A265" s="775"/>
      <c r="B265" s="849"/>
      <c r="C265" s="849"/>
      <c r="D265" s="849"/>
      <c r="E265" s="849"/>
      <c r="F265" s="849"/>
      <c r="G265" s="849"/>
      <c r="H265" s="849"/>
      <c r="I265" s="849"/>
      <c r="J265" s="851"/>
    </row>
    <row r="266" spans="1:10" x14ac:dyDescent="0.25">
      <c r="A266" s="775"/>
      <c r="B266" s="849"/>
      <c r="C266" s="849"/>
      <c r="D266" s="849"/>
      <c r="E266" s="849"/>
      <c r="F266" s="849"/>
      <c r="G266" s="849"/>
      <c r="H266" s="849"/>
      <c r="I266" s="849"/>
      <c r="J266" s="851"/>
    </row>
    <row r="267" spans="1:10" x14ac:dyDescent="0.25">
      <c r="A267" s="775"/>
      <c r="B267" s="849"/>
      <c r="C267" s="849"/>
      <c r="D267" s="849"/>
      <c r="E267" s="849"/>
      <c r="F267" s="849"/>
      <c r="G267" s="849"/>
      <c r="H267" s="849"/>
      <c r="I267" s="849"/>
      <c r="J267" s="851"/>
    </row>
    <row r="268" spans="1:10" x14ac:dyDescent="0.25">
      <c r="A268" s="775"/>
      <c r="B268" s="849"/>
      <c r="C268" s="849"/>
      <c r="D268" s="849"/>
      <c r="E268" s="849"/>
      <c r="F268" s="849"/>
      <c r="G268" s="849"/>
      <c r="H268" s="849"/>
      <c r="I268" s="849"/>
      <c r="J268" s="851"/>
    </row>
    <row r="269" spans="1:10" x14ac:dyDescent="0.25">
      <c r="A269" s="775"/>
      <c r="B269" s="849"/>
      <c r="C269" s="849"/>
      <c r="D269" s="849"/>
      <c r="E269" s="849"/>
      <c r="F269" s="849"/>
      <c r="G269" s="849"/>
      <c r="H269" s="849"/>
      <c r="I269" s="849"/>
      <c r="J269" s="851"/>
    </row>
    <row r="270" spans="1:10" x14ac:dyDescent="0.25">
      <c r="A270" s="775"/>
      <c r="B270" s="849"/>
      <c r="C270" s="849"/>
      <c r="D270" s="849"/>
      <c r="E270" s="849"/>
      <c r="F270" s="849"/>
      <c r="G270" s="849"/>
      <c r="H270" s="849"/>
      <c r="I270" s="849"/>
      <c r="J270" s="851"/>
    </row>
    <row r="271" spans="1:10" x14ac:dyDescent="0.25">
      <c r="A271" s="775"/>
      <c r="B271" s="779"/>
      <c r="C271" s="779"/>
      <c r="D271" s="779"/>
      <c r="E271" s="779"/>
      <c r="F271" s="779"/>
      <c r="G271" s="779"/>
      <c r="H271" s="779"/>
      <c r="I271" s="780" t="s">
        <v>793</v>
      </c>
      <c r="J271" s="776"/>
    </row>
    <row r="272" spans="1:10" ht="15.75" thickBot="1" x14ac:dyDescent="0.3">
      <c r="A272" s="781"/>
      <c r="B272" s="782"/>
      <c r="C272" s="782"/>
      <c r="D272" s="782"/>
      <c r="E272" s="782"/>
      <c r="F272" s="782"/>
      <c r="G272" s="782"/>
      <c r="H272" s="782"/>
      <c r="I272" s="782"/>
      <c r="J272" s="783"/>
    </row>
    <row r="273" spans="1:10" x14ac:dyDescent="0.25">
      <c r="A273" s="779"/>
      <c r="B273" s="779"/>
      <c r="C273" s="779"/>
      <c r="D273" s="779"/>
      <c r="E273" s="779"/>
      <c r="F273" s="779"/>
      <c r="G273" s="779"/>
      <c r="H273" s="779"/>
      <c r="I273" s="779"/>
      <c r="J273" s="779"/>
    </row>
    <row r="274" spans="1:10" x14ac:dyDescent="0.25">
      <c r="A274" s="779"/>
      <c r="B274" s="779"/>
      <c r="C274" s="779"/>
      <c r="D274" s="779"/>
      <c r="E274" s="779"/>
      <c r="F274" s="779"/>
      <c r="G274" s="779"/>
      <c r="H274" s="779"/>
      <c r="I274" s="779"/>
      <c r="J274" s="779"/>
    </row>
    <row r="280" spans="1:10" ht="15.75" thickBot="1" x14ac:dyDescent="0.3"/>
    <row r="281" spans="1:10" x14ac:dyDescent="0.25">
      <c r="A281" s="772"/>
      <c r="B281" s="844"/>
      <c r="C281" s="845"/>
      <c r="D281" s="845"/>
      <c r="E281" s="845"/>
      <c r="F281" s="845"/>
      <c r="G281" s="845"/>
      <c r="H281" s="845"/>
      <c r="I281" s="845"/>
      <c r="J281" s="846"/>
    </row>
    <row r="282" spans="1:10" x14ac:dyDescent="0.25">
      <c r="A282" s="775"/>
      <c r="B282" s="847"/>
      <c r="C282" s="847"/>
      <c r="D282" s="847"/>
      <c r="E282" s="847"/>
      <c r="F282" s="847"/>
      <c r="G282" s="847"/>
      <c r="H282" s="847"/>
      <c r="I282" s="847"/>
      <c r="J282" s="848"/>
    </row>
    <row r="283" spans="1:10" x14ac:dyDescent="0.25">
      <c r="A283" s="775"/>
      <c r="B283" s="847"/>
      <c r="C283" s="847"/>
      <c r="D283" s="847"/>
      <c r="E283" s="847"/>
      <c r="F283" s="847"/>
      <c r="G283" s="847"/>
      <c r="H283" s="847"/>
      <c r="I283" s="847"/>
      <c r="J283" s="848"/>
    </row>
    <row r="284" spans="1:10" x14ac:dyDescent="0.25">
      <c r="A284" s="775"/>
      <c r="B284" s="847"/>
      <c r="C284" s="847"/>
      <c r="D284" s="847"/>
      <c r="E284" s="847"/>
      <c r="F284" s="847"/>
      <c r="G284" s="847"/>
      <c r="H284" s="847"/>
      <c r="I284" s="847"/>
      <c r="J284" s="848"/>
    </row>
    <row r="285" spans="1:10" x14ac:dyDescent="0.25">
      <c r="A285" s="775"/>
      <c r="B285" s="847"/>
      <c r="C285" s="847"/>
      <c r="D285" s="847"/>
      <c r="E285" s="847"/>
      <c r="F285" s="847"/>
      <c r="G285" s="847"/>
      <c r="H285" s="847"/>
      <c r="I285" s="847"/>
      <c r="J285" s="848"/>
    </row>
    <row r="286" spans="1:10" ht="15" customHeight="1" x14ac:dyDescent="0.25">
      <c r="A286" s="775"/>
      <c r="B286" s="847"/>
      <c r="C286" s="847"/>
      <c r="D286" s="847"/>
      <c r="E286" s="847"/>
      <c r="F286" s="847"/>
      <c r="G286" s="847"/>
      <c r="H286" s="847"/>
      <c r="I286" s="847"/>
      <c r="J286" s="848"/>
    </row>
    <row r="287" spans="1:10" ht="15" customHeight="1" x14ac:dyDescent="0.25">
      <c r="A287" s="775"/>
      <c r="B287" s="847"/>
      <c r="C287" s="847"/>
      <c r="D287" s="847"/>
      <c r="E287" s="847"/>
      <c r="F287" s="847"/>
      <c r="G287" s="847"/>
      <c r="H287" s="847"/>
      <c r="I287" s="847"/>
      <c r="J287" s="848"/>
    </row>
    <row r="288" spans="1:10" ht="15" customHeight="1" x14ac:dyDescent="0.25">
      <c r="A288" s="775"/>
      <c r="B288" s="847"/>
      <c r="C288" s="847"/>
      <c r="D288" s="847"/>
      <c r="E288" s="847"/>
      <c r="F288" s="847"/>
      <c r="G288" s="847"/>
      <c r="H288" s="847"/>
      <c r="I288" s="847"/>
      <c r="J288" s="848"/>
    </row>
    <row r="289" spans="1:10" ht="15" customHeight="1" x14ac:dyDescent="0.25">
      <c r="A289" s="775"/>
      <c r="B289" s="847"/>
      <c r="C289" s="847"/>
      <c r="D289" s="847"/>
      <c r="E289" s="847"/>
      <c r="F289" s="847"/>
      <c r="G289" s="847"/>
      <c r="H289" s="847"/>
      <c r="I289" s="847"/>
      <c r="J289" s="848"/>
    </row>
    <row r="290" spans="1:10" ht="15" customHeight="1" x14ac:dyDescent="0.25">
      <c r="A290" s="775"/>
      <c r="B290" s="847"/>
      <c r="C290" s="847"/>
      <c r="D290" s="847"/>
      <c r="E290" s="847"/>
      <c r="F290" s="847"/>
      <c r="G290" s="847"/>
      <c r="H290" s="847"/>
      <c r="I290" s="847"/>
      <c r="J290" s="848"/>
    </row>
    <row r="291" spans="1:10" ht="15" customHeight="1" x14ac:dyDescent="0.25">
      <c r="A291" s="775"/>
      <c r="B291" s="847"/>
      <c r="C291" s="847"/>
      <c r="D291" s="847"/>
      <c r="E291" s="847"/>
      <c r="F291" s="847"/>
      <c r="G291" s="847"/>
      <c r="H291" s="847"/>
      <c r="I291" s="847"/>
      <c r="J291" s="848"/>
    </row>
    <row r="292" spans="1:10" ht="15" customHeight="1" x14ac:dyDescent="0.25">
      <c r="A292" s="775"/>
      <c r="B292" s="847"/>
      <c r="C292" s="847"/>
      <c r="D292" s="847"/>
      <c r="E292" s="847"/>
      <c r="F292" s="847"/>
      <c r="G292" s="847"/>
      <c r="H292" s="847"/>
      <c r="I292" s="847"/>
      <c r="J292" s="848"/>
    </row>
    <row r="293" spans="1:10" x14ac:dyDescent="0.25">
      <c r="A293" s="775"/>
      <c r="B293" s="847"/>
      <c r="C293" s="847"/>
      <c r="D293" s="847"/>
      <c r="E293" s="847"/>
      <c r="F293" s="847"/>
      <c r="G293" s="847"/>
      <c r="H293" s="847"/>
      <c r="I293" s="847"/>
      <c r="J293" s="848"/>
    </row>
    <row r="294" spans="1:10" ht="21" customHeight="1" x14ac:dyDescent="0.25">
      <c r="A294" s="775"/>
      <c r="B294" s="847"/>
      <c r="C294" s="847"/>
      <c r="D294" s="847"/>
      <c r="E294" s="847"/>
      <c r="F294" s="847"/>
      <c r="G294" s="847"/>
      <c r="H294" s="847"/>
      <c r="I294" s="847"/>
      <c r="J294" s="848"/>
    </row>
    <row r="295" spans="1:10" ht="21" customHeight="1" x14ac:dyDescent="0.25">
      <c r="A295" s="775"/>
      <c r="B295" s="847"/>
      <c r="C295" s="847"/>
      <c r="D295" s="847"/>
      <c r="E295" s="847"/>
      <c r="F295" s="847"/>
      <c r="G295" s="847"/>
      <c r="H295" s="847"/>
      <c r="I295" s="847"/>
      <c r="J295" s="848"/>
    </row>
    <row r="296" spans="1:10" ht="21" customHeight="1" x14ac:dyDescent="0.25">
      <c r="A296" s="775"/>
      <c r="B296" s="847"/>
      <c r="C296" s="847"/>
      <c r="D296" s="847"/>
      <c r="E296" s="847"/>
      <c r="F296" s="847"/>
      <c r="G296" s="847"/>
      <c r="H296" s="847"/>
      <c r="I296" s="847"/>
      <c r="J296" s="848"/>
    </row>
    <row r="297" spans="1:10" ht="21" customHeight="1" x14ac:dyDescent="0.25">
      <c r="A297" s="775"/>
      <c r="B297" s="847"/>
      <c r="C297" s="847"/>
      <c r="D297" s="847"/>
      <c r="E297" s="847"/>
      <c r="F297" s="847"/>
      <c r="G297" s="847"/>
      <c r="H297" s="847"/>
      <c r="I297" s="847"/>
      <c r="J297" s="848"/>
    </row>
    <row r="298" spans="1:10" ht="21" customHeight="1" x14ac:dyDescent="0.25">
      <c r="A298" s="775"/>
      <c r="B298" s="847"/>
      <c r="C298" s="847"/>
      <c r="D298" s="847"/>
      <c r="E298" s="847"/>
      <c r="F298" s="847"/>
      <c r="G298" s="847"/>
      <c r="H298" s="847"/>
      <c r="I298" s="847"/>
      <c r="J298" s="848"/>
    </row>
    <row r="299" spans="1:10" ht="21" customHeight="1" x14ac:dyDescent="0.25">
      <c r="A299" s="775"/>
      <c r="B299" s="847"/>
      <c r="C299" s="847"/>
      <c r="D299" s="847"/>
      <c r="E299" s="847"/>
      <c r="F299" s="847"/>
      <c r="G299" s="847"/>
      <c r="H299" s="847"/>
      <c r="I299" s="847"/>
      <c r="J299" s="848"/>
    </row>
    <row r="300" spans="1:10" x14ac:dyDescent="0.25">
      <c r="A300" s="775"/>
      <c r="B300" s="847"/>
      <c r="C300" s="847"/>
      <c r="D300" s="847"/>
      <c r="E300" s="847"/>
      <c r="F300" s="847"/>
      <c r="G300" s="847"/>
      <c r="H300" s="847"/>
      <c r="I300" s="847"/>
      <c r="J300" s="848"/>
    </row>
    <row r="301" spans="1:10" x14ac:dyDescent="0.25">
      <c r="A301" s="778"/>
      <c r="B301" s="847"/>
      <c r="C301" s="847"/>
      <c r="D301" s="847"/>
      <c r="E301" s="847"/>
      <c r="F301" s="847"/>
      <c r="G301" s="847"/>
      <c r="H301" s="847"/>
      <c r="I301" s="847"/>
      <c r="J301" s="848"/>
    </row>
    <row r="302" spans="1:10" x14ac:dyDescent="0.25">
      <c r="A302" s="778"/>
      <c r="B302" s="847"/>
      <c r="C302" s="847"/>
      <c r="D302" s="847"/>
      <c r="E302" s="847"/>
      <c r="F302" s="847"/>
      <c r="G302" s="847"/>
      <c r="H302" s="847"/>
      <c r="I302" s="847"/>
      <c r="J302" s="848"/>
    </row>
    <row r="303" spans="1:10" x14ac:dyDescent="0.25">
      <c r="A303" s="778"/>
      <c r="B303" s="847"/>
      <c r="C303" s="847"/>
      <c r="D303" s="847"/>
      <c r="E303" s="847"/>
      <c r="F303" s="847"/>
      <c r="G303" s="847"/>
      <c r="H303" s="847"/>
      <c r="I303" s="847"/>
      <c r="J303" s="848"/>
    </row>
    <row r="304" spans="1:10" x14ac:dyDescent="0.25">
      <c r="A304" s="778"/>
      <c r="B304" s="847"/>
      <c r="C304" s="847"/>
      <c r="D304" s="847"/>
      <c r="E304" s="847"/>
      <c r="F304" s="847"/>
      <c r="G304" s="847"/>
      <c r="H304" s="847"/>
      <c r="I304" s="847"/>
      <c r="J304" s="848"/>
    </row>
    <row r="305" spans="1:10" x14ac:dyDescent="0.25">
      <c r="A305" s="778"/>
      <c r="B305" s="847"/>
      <c r="C305" s="847"/>
      <c r="D305" s="847"/>
      <c r="E305" s="847"/>
      <c r="F305" s="847"/>
      <c r="G305" s="847"/>
      <c r="H305" s="847"/>
      <c r="I305" s="847"/>
      <c r="J305" s="848"/>
    </row>
    <row r="306" spans="1:10" x14ac:dyDescent="0.25">
      <c r="A306" s="778"/>
      <c r="B306" s="847"/>
      <c r="C306" s="847"/>
      <c r="D306" s="847"/>
      <c r="E306" s="847"/>
      <c r="F306" s="847"/>
      <c r="G306" s="847"/>
      <c r="H306" s="847"/>
      <c r="I306" s="847"/>
      <c r="J306" s="848"/>
    </row>
    <row r="307" spans="1:10" x14ac:dyDescent="0.25">
      <c r="A307" s="778"/>
      <c r="B307" s="847"/>
      <c r="C307" s="847"/>
      <c r="D307" s="847"/>
      <c r="E307" s="847"/>
      <c r="F307" s="847"/>
      <c r="G307" s="847"/>
      <c r="H307" s="847"/>
      <c r="I307" s="847"/>
      <c r="J307" s="848"/>
    </row>
    <row r="308" spans="1:10" x14ac:dyDescent="0.25">
      <c r="A308" s="778"/>
      <c r="B308" s="847"/>
      <c r="C308" s="847"/>
      <c r="D308" s="847"/>
      <c r="E308" s="847"/>
      <c r="F308" s="847"/>
      <c r="G308" s="847"/>
      <c r="H308" s="847"/>
      <c r="I308" s="847"/>
      <c r="J308" s="848"/>
    </row>
    <row r="309" spans="1:10" x14ac:dyDescent="0.25">
      <c r="A309" s="778"/>
      <c r="B309" s="847"/>
      <c r="C309" s="847"/>
      <c r="D309" s="847"/>
      <c r="E309" s="847"/>
      <c r="F309" s="847"/>
      <c r="G309" s="847"/>
      <c r="H309" s="847"/>
      <c r="I309" s="847"/>
      <c r="J309" s="848"/>
    </row>
    <row r="310" spans="1:10" x14ac:dyDescent="0.25">
      <c r="A310" s="778"/>
      <c r="B310" s="847"/>
      <c r="C310" s="847"/>
      <c r="D310" s="847"/>
      <c r="E310" s="847"/>
      <c r="F310" s="847"/>
      <c r="G310" s="847"/>
      <c r="H310" s="847"/>
      <c r="I310" s="847"/>
      <c r="J310" s="848"/>
    </row>
    <row r="311" spans="1:10" x14ac:dyDescent="0.25">
      <c r="A311" s="778"/>
      <c r="B311" s="847"/>
      <c r="C311" s="847"/>
      <c r="D311" s="847"/>
      <c r="E311" s="847"/>
      <c r="F311" s="847"/>
      <c r="G311" s="847"/>
      <c r="H311" s="847"/>
      <c r="I311" s="847"/>
      <c r="J311" s="848"/>
    </row>
    <row r="312" spans="1:10" x14ac:dyDescent="0.25">
      <c r="A312" s="778"/>
      <c r="B312" s="847"/>
      <c r="C312" s="847"/>
      <c r="D312" s="847"/>
      <c r="E312" s="847"/>
      <c r="F312" s="847"/>
      <c r="G312" s="847"/>
      <c r="H312" s="847"/>
      <c r="I312" s="847"/>
      <c r="J312" s="848"/>
    </row>
    <row r="313" spans="1:10" x14ac:dyDescent="0.25">
      <c r="A313" s="778"/>
      <c r="B313" s="847"/>
      <c r="C313" s="847"/>
      <c r="D313" s="847"/>
      <c r="E313" s="847"/>
      <c r="F313" s="847"/>
      <c r="G313" s="847"/>
      <c r="H313" s="847"/>
      <c r="I313" s="847"/>
      <c r="J313" s="848"/>
    </row>
    <row r="314" spans="1:10" x14ac:dyDescent="0.25">
      <c r="A314" s="778"/>
      <c r="B314" s="847"/>
      <c r="C314" s="847"/>
      <c r="D314" s="847"/>
      <c r="E314" s="847"/>
      <c r="F314" s="847"/>
      <c r="G314" s="847"/>
      <c r="H314" s="847"/>
      <c r="I314" s="847"/>
      <c r="J314" s="848"/>
    </row>
    <row r="315" spans="1:10" x14ac:dyDescent="0.25">
      <c r="A315" s="778"/>
      <c r="B315" s="847"/>
      <c r="C315" s="847"/>
      <c r="D315" s="847"/>
      <c r="E315" s="847"/>
      <c r="F315" s="847"/>
      <c r="G315" s="847"/>
      <c r="H315" s="847"/>
      <c r="I315" s="847"/>
      <c r="J315" s="848"/>
    </row>
    <row r="316" spans="1:10" x14ac:dyDescent="0.25">
      <c r="A316" s="778"/>
      <c r="B316" s="847"/>
      <c r="C316" s="847"/>
      <c r="D316" s="847"/>
      <c r="E316" s="847"/>
      <c r="F316" s="847"/>
      <c r="G316" s="847"/>
      <c r="H316" s="847"/>
      <c r="I316" s="847"/>
      <c r="J316" s="848"/>
    </row>
    <row r="317" spans="1:10" x14ac:dyDescent="0.25">
      <c r="A317" s="778"/>
      <c r="B317" s="847"/>
      <c r="C317" s="847"/>
      <c r="D317" s="847"/>
      <c r="E317" s="847"/>
      <c r="F317" s="847"/>
      <c r="G317" s="847"/>
      <c r="H317" s="847"/>
      <c r="I317" s="847"/>
      <c r="J317" s="848"/>
    </row>
    <row r="318" spans="1:10" x14ac:dyDescent="0.25">
      <c r="A318" s="775"/>
      <c r="B318" s="847"/>
      <c r="C318" s="847"/>
      <c r="D318" s="847"/>
      <c r="E318" s="847"/>
      <c r="F318" s="847"/>
      <c r="G318" s="847"/>
      <c r="H318" s="847"/>
      <c r="I318" s="847"/>
      <c r="J318" s="848"/>
    </row>
    <row r="319" spans="1:10" x14ac:dyDescent="0.25">
      <c r="A319" s="775"/>
      <c r="B319" s="847"/>
      <c r="C319" s="847"/>
      <c r="D319" s="847"/>
      <c r="E319" s="847"/>
      <c r="F319" s="847"/>
      <c r="G319" s="847"/>
      <c r="H319" s="847"/>
      <c r="I319" s="847"/>
      <c r="J319" s="848"/>
    </row>
    <row r="320" spans="1:10" x14ac:dyDescent="0.25">
      <c r="A320" s="775"/>
      <c r="B320" s="847"/>
      <c r="C320" s="847"/>
      <c r="D320" s="847"/>
      <c r="E320" s="847"/>
      <c r="F320" s="847"/>
      <c r="G320" s="847"/>
      <c r="H320" s="847"/>
      <c r="I320" s="847"/>
      <c r="J320" s="848"/>
    </row>
    <row r="321" spans="1:10" x14ac:dyDescent="0.25">
      <c r="A321" s="775"/>
      <c r="B321" s="847"/>
      <c r="C321" s="847"/>
      <c r="D321" s="847"/>
      <c r="E321" s="847"/>
      <c r="F321" s="847"/>
      <c r="G321" s="847"/>
      <c r="H321" s="847"/>
      <c r="I321" s="847"/>
      <c r="J321" s="848"/>
    </row>
    <row r="322" spans="1:10" x14ac:dyDescent="0.25">
      <c r="A322" s="775"/>
      <c r="B322" s="847"/>
      <c r="C322" s="847"/>
      <c r="D322" s="847"/>
      <c r="E322" s="847"/>
      <c r="F322" s="847"/>
      <c r="G322" s="847"/>
      <c r="H322" s="847"/>
      <c r="I322" s="847"/>
      <c r="J322" s="848"/>
    </row>
    <row r="323" spans="1:10" x14ac:dyDescent="0.25">
      <c r="A323" s="775"/>
      <c r="B323" s="847"/>
      <c r="C323" s="847"/>
      <c r="D323" s="847"/>
      <c r="E323" s="847"/>
      <c r="F323" s="847"/>
      <c r="G323" s="847"/>
      <c r="H323" s="847"/>
      <c r="I323" s="847"/>
      <c r="J323" s="848"/>
    </row>
    <row r="324" spans="1:10" x14ac:dyDescent="0.25">
      <c r="A324" s="775"/>
      <c r="B324" s="847"/>
      <c r="C324" s="847"/>
      <c r="D324" s="847"/>
      <c r="E324" s="847"/>
      <c r="F324" s="847"/>
      <c r="G324" s="847"/>
      <c r="H324" s="847"/>
      <c r="I324" s="847"/>
      <c r="J324" s="848"/>
    </row>
    <row r="325" spans="1:10" x14ac:dyDescent="0.25">
      <c r="A325" s="775"/>
      <c r="B325" s="847"/>
      <c r="C325" s="847"/>
      <c r="D325" s="847"/>
      <c r="E325" s="847"/>
      <c r="F325" s="847"/>
      <c r="G325" s="847"/>
      <c r="H325" s="847"/>
      <c r="I325" s="847"/>
      <c r="J325" s="848"/>
    </row>
    <row r="326" spans="1:10" x14ac:dyDescent="0.25">
      <c r="A326" s="775"/>
      <c r="B326" s="847"/>
      <c r="C326" s="847"/>
      <c r="D326" s="847"/>
      <c r="E326" s="847"/>
      <c r="F326" s="847"/>
      <c r="G326" s="847"/>
      <c r="H326" s="847"/>
      <c r="I326" s="847"/>
      <c r="J326" s="848"/>
    </row>
    <row r="327" spans="1:10" x14ac:dyDescent="0.25">
      <c r="A327" s="775"/>
      <c r="B327" s="779"/>
      <c r="C327" s="779"/>
      <c r="D327" s="779"/>
      <c r="E327" s="779"/>
      <c r="F327" s="779"/>
      <c r="G327" s="779"/>
      <c r="H327" s="779"/>
      <c r="I327" s="780" t="s">
        <v>794</v>
      </c>
      <c r="J327" s="776"/>
    </row>
    <row r="328" spans="1:10" ht="15.75" thickBot="1" x14ac:dyDescent="0.3">
      <c r="A328" s="781"/>
      <c r="B328" s="782"/>
      <c r="C328" s="782"/>
      <c r="D328" s="782"/>
      <c r="E328" s="782"/>
      <c r="F328" s="782"/>
      <c r="G328" s="782"/>
      <c r="H328" s="782"/>
      <c r="I328" s="782"/>
      <c r="J328" s="783"/>
    </row>
    <row r="336" spans="1:10" ht="15.75" thickBot="1" x14ac:dyDescent="0.3"/>
    <row r="337" spans="1:10" x14ac:dyDescent="0.25">
      <c r="A337" s="772"/>
      <c r="B337" s="844"/>
      <c r="C337" s="845"/>
      <c r="D337" s="845"/>
      <c r="E337" s="845"/>
      <c r="F337" s="845"/>
      <c r="G337" s="845"/>
      <c r="H337" s="845"/>
      <c r="I337" s="845"/>
      <c r="J337" s="846"/>
    </row>
    <row r="338" spans="1:10" x14ac:dyDescent="0.25">
      <c r="A338" s="775"/>
      <c r="B338" s="847"/>
      <c r="C338" s="847"/>
      <c r="D338" s="847"/>
      <c r="E338" s="847"/>
      <c r="F338" s="847"/>
      <c r="G338" s="847"/>
      <c r="H338" s="847"/>
      <c r="I338" s="847"/>
      <c r="J338" s="848"/>
    </row>
    <row r="339" spans="1:10" x14ac:dyDescent="0.25">
      <c r="A339" s="775"/>
      <c r="B339" s="847"/>
      <c r="C339" s="847"/>
      <c r="D339" s="847"/>
      <c r="E339" s="847"/>
      <c r="F339" s="847"/>
      <c r="G339" s="847"/>
      <c r="H339" s="847"/>
      <c r="I339" s="847"/>
      <c r="J339" s="848"/>
    </row>
    <row r="340" spans="1:10" x14ac:dyDescent="0.25">
      <c r="A340" s="775"/>
      <c r="B340" s="847"/>
      <c r="C340" s="847"/>
      <c r="D340" s="847"/>
      <c r="E340" s="847"/>
      <c r="F340" s="847"/>
      <c r="G340" s="847"/>
      <c r="H340" s="847"/>
      <c r="I340" s="847"/>
      <c r="J340" s="848"/>
    </row>
    <row r="341" spans="1:10" x14ac:dyDescent="0.25">
      <c r="A341" s="775"/>
      <c r="B341" s="847"/>
      <c r="C341" s="847"/>
      <c r="D341" s="847"/>
      <c r="E341" s="847"/>
      <c r="F341" s="847"/>
      <c r="G341" s="847"/>
      <c r="H341" s="847"/>
      <c r="I341" s="847"/>
      <c r="J341" s="848"/>
    </row>
    <row r="342" spans="1:10" x14ac:dyDescent="0.25">
      <c r="A342" s="775"/>
      <c r="B342" s="847"/>
      <c r="C342" s="847"/>
      <c r="D342" s="847"/>
      <c r="E342" s="847"/>
      <c r="F342" s="847"/>
      <c r="G342" s="847"/>
      <c r="H342" s="847"/>
      <c r="I342" s="847"/>
      <c r="J342" s="848"/>
    </row>
    <row r="343" spans="1:10" x14ac:dyDescent="0.25">
      <c r="A343" s="775"/>
      <c r="B343" s="847"/>
      <c r="C343" s="847"/>
      <c r="D343" s="847"/>
      <c r="E343" s="847"/>
      <c r="F343" s="847"/>
      <c r="G343" s="847"/>
      <c r="H343" s="847"/>
      <c r="I343" s="847"/>
      <c r="J343" s="848"/>
    </row>
    <row r="344" spans="1:10" x14ac:dyDescent="0.25">
      <c r="A344" s="775"/>
      <c r="B344" s="847"/>
      <c r="C344" s="847"/>
      <c r="D344" s="847"/>
      <c r="E344" s="847"/>
      <c r="F344" s="847"/>
      <c r="G344" s="847"/>
      <c r="H344" s="847"/>
      <c r="I344" s="847"/>
      <c r="J344" s="848"/>
    </row>
    <row r="345" spans="1:10" x14ac:dyDescent="0.25">
      <c r="A345" s="775"/>
      <c r="B345" s="847"/>
      <c r="C345" s="847"/>
      <c r="D345" s="847"/>
      <c r="E345" s="847"/>
      <c r="F345" s="847"/>
      <c r="G345" s="847"/>
      <c r="H345" s="847"/>
      <c r="I345" s="847"/>
      <c r="J345" s="848"/>
    </row>
    <row r="346" spans="1:10" x14ac:dyDescent="0.25">
      <c r="A346" s="775"/>
      <c r="B346" s="847"/>
      <c r="C346" s="847"/>
      <c r="D346" s="847"/>
      <c r="E346" s="847"/>
      <c r="F346" s="847"/>
      <c r="G346" s="847"/>
      <c r="H346" s="847"/>
      <c r="I346" s="847"/>
      <c r="J346" s="848"/>
    </row>
    <row r="347" spans="1:10" x14ac:dyDescent="0.25">
      <c r="A347" s="775"/>
      <c r="B347" s="847"/>
      <c r="C347" s="847"/>
      <c r="D347" s="847"/>
      <c r="E347" s="847"/>
      <c r="F347" s="847"/>
      <c r="G347" s="847"/>
      <c r="H347" s="847"/>
      <c r="I347" s="847"/>
      <c r="J347" s="848"/>
    </row>
    <row r="348" spans="1:10" x14ac:dyDescent="0.25">
      <c r="A348" s="775"/>
      <c r="B348" s="847"/>
      <c r="C348" s="847"/>
      <c r="D348" s="847"/>
      <c r="E348" s="847"/>
      <c r="F348" s="847"/>
      <c r="G348" s="847"/>
      <c r="H348" s="847"/>
      <c r="I348" s="847"/>
      <c r="J348" s="848"/>
    </row>
    <row r="349" spans="1:10" x14ac:dyDescent="0.25">
      <c r="A349" s="775"/>
      <c r="B349" s="847"/>
      <c r="C349" s="847"/>
      <c r="D349" s="847"/>
      <c r="E349" s="847"/>
      <c r="F349" s="847"/>
      <c r="G349" s="847"/>
      <c r="H349" s="847"/>
      <c r="I349" s="847"/>
      <c r="J349" s="848"/>
    </row>
    <row r="350" spans="1:10" x14ac:dyDescent="0.25">
      <c r="A350" s="775"/>
      <c r="B350" s="847"/>
      <c r="C350" s="847"/>
      <c r="D350" s="847"/>
      <c r="E350" s="847"/>
      <c r="F350" s="847"/>
      <c r="G350" s="847"/>
      <c r="H350" s="847"/>
      <c r="I350" s="847"/>
      <c r="J350" s="848"/>
    </row>
    <row r="351" spans="1:10" x14ac:dyDescent="0.25">
      <c r="A351" s="775"/>
      <c r="B351" s="847"/>
      <c r="C351" s="847"/>
      <c r="D351" s="847"/>
      <c r="E351" s="847"/>
      <c r="F351" s="847"/>
      <c r="G351" s="847"/>
      <c r="H351" s="847"/>
      <c r="I351" s="847"/>
      <c r="J351" s="848"/>
    </row>
    <row r="352" spans="1:10" x14ac:dyDescent="0.25">
      <c r="A352" s="775"/>
      <c r="B352" s="847"/>
      <c r="C352" s="847"/>
      <c r="D352" s="847"/>
      <c r="E352" s="847"/>
      <c r="F352" s="847"/>
      <c r="G352" s="847"/>
      <c r="H352" s="847"/>
      <c r="I352" s="847"/>
      <c r="J352" s="848"/>
    </row>
    <row r="353" spans="1:10" x14ac:dyDescent="0.25">
      <c r="A353" s="775"/>
      <c r="B353" s="847"/>
      <c r="C353" s="847"/>
      <c r="D353" s="847"/>
      <c r="E353" s="847"/>
      <c r="F353" s="847"/>
      <c r="G353" s="847"/>
      <c r="H353" s="847"/>
      <c r="I353" s="847"/>
      <c r="J353" s="848"/>
    </row>
    <row r="354" spans="1:10" x14ac:dyDescent="0.25">
      <c r="A354" s="775"/>
      <c r="B354" s="847"/>
      <c r="C354" s="847"/>
      <c r="D354" s="847"/>
      <c r="E354" s="847"/>
      <c r="F354" s="847"/>
      <c r="G354" s="847"/>
      <c r="H354" s="847"/>
      <c r="I354" s="847"/>
      <c r="J354" s="848"/>
    </row>
    <row r="355" spans="1:10" x14ac:dyDescent="0.25">
      <c r="A355" s="775"/>
      <c r="B355" s="847"/>
      <c r="C355" s="847"/>
      <c r="D355" s="847"/>
      <c r="E355" s="847"/>
      <c r="F355" s="847"/>
      <c r="G355" s="847"/>
      <c r="H355" s="847"/>
      <c r="I355" s="847"/>
      <c r="J355" s="848"/>
    </row>
    <row r="356" spans="1:10" x14ac:dyDescent="0.25">
      <c r="A356" s="775"/>
      <c r="B356" s="847"/>
      <c r="C356" s="847"/>
      <c r="D356" s="847"/>
      <c r="E356" s="847"/>
      <c r="F356" s="847"/>
      <c r="G356" s="847"/>
      <c r="H356" s="847"/>
      <c r="I356" s="847"/>
      <c r="J356" s="848"/>
    </row>
    <row r="357" spans="1:10" x14ac:dyDescent="0.25">
      <c r="A357" s="778"/>
      <c r="B357" s="847"/>
      <c r="C357" s="847"/>
      <c r="D357" s="847"/>
      <c r="E357" s="847"/>
      <c r="F357" s="847"/>
      <c r="G357" s="847"/>
      <c r="H357" s="847"/>
      <c r="I357" s="847"/>
      <c r="J357" s="848"/>
    </row>
    <row r="358" spans="1:10" x14ac:dyDescent="0.25">
      <c r="A358" s="778"/>
      <c r="B358" s="847"/>
      <c r="C358" s="847"/>
      <c r="D358" s="847"/>
      <c r="E358" s="847"/>
      <c r="F358" s="847"/>
      <c r="G358" s="847"/>
      <c r="H358" s="847"/>
      <c r="I358" s="847"/>
      <c r="J358" s="848"/>
    </row>
    <row r="359" spans="1:10" x14ac:dyDescent="0.25">
      <c r="A359" s="778"/>
      <c r="B359" s="847"/>
      <c r="C359" s="847"/>
      <c r="D359" s="847"/>
      <c r="E359" s="847"/>
      <c r="F359" s="847"/>
      <c r="G359" s="847"/>
      <c r="H359" s="847"/>
      <c r="I359" s="847"/>
      <c r="J359" s="848"/>
    </row>
    <row r="360" spans="1:10" x14ac:dyDescent="0.25">
      <c r="A360" s="778"/>
      <c r="B360" s="847"/>
      <c r="C360" s="847"/>
      <c r="D360" s="847"/>
      <c r="E360" s="847"/>
      <c r="F360" s="847"/>
      <c r="G360" s="847"/>
      <c r="H360" s="847"/>
      <c r="I360" s="847"/>
      <c r="J360" s="848"/>
    </row>
    <row r="361" spans="1:10" x14ac:dyDescent="0.25">
      <c r="A361" s="778"/>
      <c r="B361" s="847"/>
      <c r="C361" s="847"/>
      <c r="D361" s="847"/>
      <c r="E361" s="847"/>
      <c r="F361" s="847"/>
      <c r="G361" s="847"/>
      <c r="H361" s="847"/>
      <c r="I361" s="847"/>
      <c r="J361" s="848"/>
    </row>
    <row r="362" spans="1:10" x14ac:dyDescent="0.25">
      <c r="A362" s="778"/>
      <c r="B362" s="847"/>
      <c r="C362" s="847"/>
      <c r="D362" s="847"/>
      <c r="E362" s="847"/>
      <c r="F362" s="847"/>
      <c r="G362" s="847"/>
      <c r="H362" s="847"/>
      <c r="I362" s="847"/>
      <c r="J362" s="848"/>
    </row>
    <row r="363" spans="1:10" x14ac:dyDescent="0.25">
      <c r="A363" s="778"/>
      <c r="B363" s="847"/>
      <c r="C363" s="847"/>
      <c r="D363" s="847"/>
      <c r="E363" s="847"/>
      <c r="F363" s="847"/>
      <c r="G363" s="847"/>
      <c r="H363" s="847"/>
      <c r="I363" s="847"/>
      <c r="J363" s="848"/>
    </row>
    <row r="364" spans="1:10" x14ac:dyDescent="0.25">
      <c r="A364" s="778"/>
      <c r="B364" s="847"/>
      <c r="C364" s="847"/>
      <c r="D364" s="847"/>
      <c r="E364" s="847"/>
      <c r="F364" s="847"/>
      <c r="G364" s="847"/>
      <c r="H364" s="847"/>
      <c r="I364" s="847"/>
      <c r="J364" s="848"/>
    </row>
    <row r="365" spans="1:10" x14ac:dyDescent="0.25">
      <c r="A365" s="778"/>
      <c r="B365" s="847"/>
      <c r="C365" s="847"/>
      <c r="D365" s="847"/>
      <c r="E365" s="847"/>
      <c r="F365" s="847"/>
      <c r="G365" s="847"/>
      <c r="H365" s="847"/>
      <c r="I365" s="847"/>
      <c r="J365" s="848"/>
    </row>
    <row r="366" spans="1:10" x14ac:dyDescent="0.25">
      <c r="A366" s="778"/>
      <c r="B366" s="847"/>
      <c r="C366" s="847"/>
      <c r="D366" s="847"/>
      <c r="E366" s="847"/>
      <c r="F366" s="847"/>
      <c r="G366" s="847"/>
      <c r="H366" s="847"/>
      <c r="I366" s="847"/>
      <c r="J366" s="848"/>
    </row>
    <row r="367" spans="1:10" x14ac:dyDescent="0.25">
      <c r="A367" s="778"/>
      <c r="B367" s="847"/>
      <c r="C367" s="847"/>
      <c r="D367" s="847"/>
      <c r="E367" s="847"/>
      <c r="F367" s="847"/>
      <c r="G367" s="847"/>
      <c r="H367" s="847"/>
      <c r="I367" s="847"/>
      <c r="J367" s="848"/>
    </row>
    <row r="368" spans="1:10" x14ac:dyDescent="0.25">
      <c r="A368" s="778"/>
      <c r="B368" s="847"/>
      <c r="C368" s="847"/>
      <c r="D368" s="847"/>
      <c r="E368" s="847"/>
      <c r="F368" s="847"/>
      <c r="G368" s="847"/>
      <c r="H368" s="847"/>
      <c r="I368" s="847"/>
      <c r="J368" s="848"/>
    </row>
    <row r="369" spans="1:10" x14ac:dyDescent="0.25">
      <c r="A369" s="778"/>
      <c r="B369" s="847"/>
      <c r="C369" s="847"/>
      <c r="D369" s="847"/>
      <c r="E369" s="847"/>
      <c r="F369" s="847"/>
      <c r="G369" s="847"/>
      <c r="H369" s="847"/>
      <c r="I369" s="847"/>
      <c r="J369" s="848"/>
    </row>
    <row r="370" spans="1:10" x14ac:dyDescent="0.25">
      <c r="A370" s="778"/>
      <c r="B370" s="847"/>
      <c r="C370" s="847"/>
      <c r="D370" s="847"/>
      <c r="E370" s="847"/>
      <c r="F370" s="847"/>
      <c r="G370" s="847"/>
      <c r="H370" s="847"/>
      <c r="I370" s="847"/>
      <c r="J370" s="848"/>
    </row>
    <row r="371" spans="1:10" x14ac:dyDescent="0.25">
      <c r="A371" s="778"/>
      <c r="B371" s="847"/>
      <c r="C371" s="847"/>
      <c r="D371" s="847"/>
      <c r="E371" s="847"/>
      <c r="F371" s="847"/>
      <c r="G371" s="847"/>
      <c r="H371" s="847"/>
      <c r="I371" s="847"/>
      <c r="J371" s="848"/>
    </row>
    <row r="372" spans="1:10" x14ac:dyDescent="0.25">
      <c r="A372" s="778"/>
      <c r="B372" s="847"/>
      <c r="C372" s="847"/>
      <c r="D372" s="847"/>
      <c r="E372" s="847"/>
      <c r="F372" s="847"/>
      <c r="G372" s="847"/>
      <c r="H372" s="847"/>
      <c r="I372" s="847"/>
      <c r="J372" s="848"/>
    </row>
    <row r="373" spans="1:10" x14ac:dyDescent="0.25">
      <c r="A373" s="778"/>
      <c r="B373" s="847"/>
      <c r="C373" s="847"/>
      <c r="D373" s="847"/>
      <c r="E373" s="847"/>
      <c r="F373" s="847"/>
      <c r="G373" s="847"/>
      <c r="H373" s="847"/>
      <c r="I373" s="847"/>
      <c r="J373" s="848"/>
    </row>
    <row r="374" spans="1:10" x14ac:dyDescent="0.25">
      <c r="A374" s="775"/>
      <c r="B374" s="847"/>
      <c r="C374" s="847"/>
      <c r="D374" s="847"/>
      <c r="E374" s="847"/>
      <c r="F374" s="847"/>
      <c r="G374" s="847"/>
      <c r="H374" s="847"/>
      <c r="I374" s="847"/>
      <c r="J374" s="848"/>
    </row>
    <row r="375" spans="1:10" x14ac:dyDescent="0.25">
      <c r="A375" s="775"/>
      <c r="B375" s="847"/>
      <c r="C375" s="847"/>
      <c r="D375" s="847"/>
      <c r="E375" s="847"/>
      <c r="F375" s="847"/>
      <c r="G375" s="847"/>
      <c r="H375" s="847"/>
      <c r="I375" s="847"/>
      <c r="J375" s="848"/>
    </row>
    <row r="376" spans="1:10" x14ac:dyDescent="0.25">
      <c r="A376" s="775"/>
      <c r="B376" s="847"/>
      <c r="C376" s="847"/>
      <c r="D376" s="847"/>
      <c r="E376" s="847"/>
      <c r="F376" s="847"/>
      <c r="G376" s="847"/>
      <c r="H376" s="847"/>
      <c r="I376" s="847"/>
      <c r="J376" s="848"/>
    </row>
    <row r="377" spans="1:10" x14ac:dyDescent="0.25">
      <c r="A377" s="775"/>
      <c r="B377" s="847"/>
      <c r="C377" s="847"/>
      <c r="D377" s="847"/>
      <c r="E377" s="847"/>
      <c r="F377" s="847"/>
      <c r="G377" s="847"/>
      <c r="H377" s="847"/>
      <c r="I377" s="847"/>
      <c r="J377" s="848"/>
    </row>
    <row r="378" spans="1:10" x14ac:dyDescent="0.25">
      <c r="A378" s="775"/>
      <c r="B378" s="847"/>
      <c r="C378" s="847"/>
      <c r="D378" s="847"/>
      <c r="E378" s="847"/>
      <c r="F378" s="847"/>
      <c r="G378" s="847"/>
      <c r="H378" s="847"/>
      <c r="I378" s="847"/>
      <c r="J378" s="848"/>
    </row>
    <row r="379" spans="1:10" x14ac:dyDescent="0.25">
      <c r="A379" s="775"/>
      <c r="B379" s="847"/>
      <c r="C379" s="847"/>
      <c r="D379" s="847"/>
      <c r="E379" s="847"/>
      <c r="F379" s="847"/>
      <c r="G379" s="847"/>
      <c r="H379" s="847"/>
      <c r="I379" s="847"/>
      <c r="J379" s="848"/>
    </row>
    <row r="380" spans="1:10" x14ac:dyDescent="0.25">
      <c r="A380" s="775"/>
      <c r="B380" s="847"/>
      <c r="C380" s="847"/>
      <c r="D380" s="847"/>
      <c r="E380" s="847"/>
      <c r="F380" s="847"/>
      <c r="G380" s="847"/>
      <c r="H380" s="847"/>
      <c r="I380" s="847"/>
      <c r="J380" s="848"/>
    </row>
    <row r="381" spans="1:10" x14ac:dyDescent="0.25">
      <c r="A381" s="775"/>
      <c r="B381" s="847"/>
      <c r="C381" s="847"/>
      <c r="D381" s="847"/>
      <c r="E381" s="847"/>
      <c r="F381" s="847"/>
      <c r="G381" s="847"/>
      <c r="H381" s="847"/>
      <c r="I381" s="847"/>
      <c r="J381" s="848"/>
    </row>
    <row r="382" spans="1:10" x14ac:dyDescent="0.25">
      <c r="A382" s="775"/>
      <c r="B382" s="847"/>
      <c r="C382" s="847"/>
      <c r="D382" s="847"/>
      <c r="E382" s="847"/>
      <c r="F382" s="847"/>
      <c r="G382" s="847"/>
      <c r="H382" s="847"/>
      <c r="I382" s="847"/>
      <c r="J382" s="848"/>
    </row>
    <row r="383" spans="1:10" x14ac:dyDescent="0.25">
      <c r="A383" s="775"/>
      <c r="B383" s="779"/>
      <c r="C383" s="779"/>
      <c r="D383" s="779"/>
      <c r="E383" s="779"/>
      <c r="F383" s="779"/>
      <c r="G383" s="779"/>
      <c r="H383" s="779"/>
      <c r="I383" s="780" t="s">
        <v>795</v>
      </c>
      <c r="J383" s="776"/>
    </row>
    <row r="384" spans="1:10" ht="15.75" thickBot="1" x14ac:dyDescent="0.3">
      <c r="A384" s="781"/>
      <c r="B384" s="782"/>
      <c r="C384" s="782"/>
      <c r="D384" s="782"/>
      <c r="E384" s="782"/>
      <c r="F384" s="782"/>
      <c r="G384" s="782"/>
      <c r="H384" s="782"/>
      <c r="I384" s="782"/>
      <c r="J384" s="783"/>
    </row>
    <row r="394" spans="1:10" ht="15.75" thickBot="1" x14ac:dyDescent="0.3"/>
    <row r="395" spans="1:10" x14ac:dyDescent="0.25">
      <c r="A395" s="772"/>
      <c r="B395" s="844"/>
      <c r="C395" s="845"/>
      <c r="D395" s="845"/>
      <c r="E395" s="845"/>
      <c r="F395" s="845"/>
      <c r="G395" s="845"/>
      <c r="H395" s="845"/>
      <c r="I395" s="845"/>
      <c r="J395" s="846"/>
    </row>
    <row r="396" spans="1:10" x14ac:dyDescent="0.25">
      <c r="A396" s="775"/>
      <c r="B396" s="847"/>
      <c r="C396" s="847"/>
      <c r="D396" s="847"/>
      <c r="E396" s="847"/>
      <c r="F396" s="847"/>
      <c r="G396" s="847"/>
      <c r="H396" s="847"/>
      <c r="I396" s="847"/>
      <c r="J396" s="848"/>
    </row>
    <row r="397" spans="1:10" x14ac:dyDescent="0.25">
      <c r="A397" s="775"/>
      <c r="B397" s="847"/>
      <c r="C397" s="847"/>
      <c r="D397" s="847"/>
      <c r="E397" s="847"/>
      <c r="F397" s="847"/>
      <c r="G397" s="847"/>
      <c r="H397" s="847"/>
      <c r="I397" s="847"/>
      <c r="J397" s="848"/>
    </row>
    <row r="398" spans="1:10" x14ac:dyDescent="0.25">
      <c r="A398" s="775"/>
      <c r="B398" s="847"/>
      <c r="C398" s="847"/>
      <c r="D398" s="847"/>
      <c r="E398" s="847"/>
      <c r="F398" s="847"/>
      <c r="G398" s="847"/>
      <c r="H398" s="847"/>
      <c r="I398" s="847"/>
      <c r="J398" s="848"/>
    </row>
    <row r="399" spans="1:10" x14ac:dyDescent="0.25">
      <c r="A399" s="775"/>
      <c r="B399" s="847"/>
      <c r="C399" s="847"/>
      <c r="D399" s="847"/>
      <c r="E399" s="847"/>
      <c r="F399" s="847"/>
      <c r="G399" s="847"/>
      <c r="H399" s="847"/>
      <c r="I399" s="847"/>
      <c r="J399" s="848"/>
    </row>
    <row r="400" spans="1:10" x14ac:dyDescent="0.25">
      <c r="A400" s="775"/>
      <c r="B400" s="847"/>
      <c r="C400" s="847"/>
      <c r="D400" s="847"/>
      <c r="E400" s="847"/>
      <c r="F400" s="847"/>
      <c r="G400" s="847"/>
      <c r="H400" s="847"/>
      <c r="I400" s="847"/>
      <c r="J400" s="848"/>
    </row>
    <row r="401" spans="1:10" x14ac:dyDescent="0.25">
      <c r="A401" s="775"/>
      <c r="B401" s="847"/>
      <c r="C401" s="847"/>
      <c r="D401" s="847"/>
      <c r="E401" s="847"/>
      <c r="F401" s="847"/>
      <c r="G401" s="847"/>
      <c r="H401" s="847"/>
      <c r="I401" s="847"/>
      <c r="J401" s="848"/>
    </row>
    <row r="402" spans="1:10" x14ac:dyDescent="0.25">
      <c r="A402" s="775"/>
      <c r="B402" s="847"/>
      <c r="C402" s="847"/>
      <c r="D402" s="847"/>
      <c r="E402" s="847"/>
      <c r="F402" s="847"/>
      <c r="G402" s="847"/>
      <c r="H402" s="847"/>
      <c r="I402" s="847"/>
      <c r="J402" s="848"/>
    </row>
    <row r="403" spans="1:10" x14ac:dyDescent="0.25">
      <c r="A403" s="775"/>
      <c r="B403" s="847"/>
      <c r="C403" s="847"/>
      <c r="D403" s="847"/>
      <c r="E403" s="847"/>
      <c r="F403" s="847"/>
      <c r="G403" s="847"/>
      <c r="H403" s="847"/>
      <c r="I403" s="847"/>
      <c r="J403" s="848"/>
    </row>
    <row r="404" spans="1:10" x14ac:dyDescent="0.25">
      <c r="A404" s="775"/>
      <c r="B404" s="847"/>
      <c r="C404" s="847"/>
      <c r="D404" s="847"/>
      <c r="E404" s="847"/>
      <c r="F404" s="847"/>
      <c r="G404" s="847"/>
      <c r="H404" s="847"/>
      <c r="I404" s="847"/>
      <c r="J404" s="848"/>
    </row>
    <row r="405" spans="1:10" x14ac:dyDescent="0.25">
      <c r="A405" s="775"/>
      <c r="B405" s="847"/>
      <c r="C405" s="847"/>
      <c r="D405" s="847"/>
      <c r="E405" s="847"/>
      <c r="F405" s="847"/>
      <c r="G405" s="847"/>
      <c r="H405" s="847"/>
      <c r="I405" s="847"/>
      <c r="J405" s="848"/>
    </row>
    <row r="406" spans="1:10" x14ac:dyDescent="0.25">
      <c r="A406" s="775"/>
      <c r="B406" s="847"/>
      <c r="C406" s="847"/>
      <c r="D406" s="847"/>
      <c r="E406" s="847"/>
      <c r="F406" s="847"/>
      <c r="G406" s="847"/>
      <c r="H406" s="847"/>
      <c r="I406" s="847"/>
      <c r="J406" s="848"/>
    </row>
    <row r="407" spans="1:10" x14ac:dyDescent="0.25">
      <c r="A407" s="775"/>
      <c r="B407" s="847"/>
      <c r="C407" s="847"/>
      <c r="D407" s="847"/>
      <c r="E407" s="847"/>
      <c r="F407" s="847"/>
      <c r="G407" s="847"/>
      <c r="H407" s="847"/>
      <c r="I407" s="847"/>
      <c r="J407" s="848"/>
    </row>
    <row r="408" spans="1:10" x14ac:dyDescent="0.25">
      <c r="A408" s="775"/>
      <c r="B408" s="847"/>
      <c r="C408" s="847"/>
      <c r="D408" s="847"/>
      <c r="E408" s="847"/>
      <c r="F408" s="847"/>
      <c r="G408" s="847"/>
      <c r="H408" s="847"/>
      <c r="I408" s="847"/>
      <c r="J408" s="848"/>
    </row>
    <row r="409" spans="1:10" x14ac:dyDescent="0.25">
      <c r="A409" s="775"/>
      <c r="B409" s="847"/>
      <c r="C409" s="847"/>
      <c r="D409" s="847"/>
      <c r="E409" s="847"/>
      <c r="F409" s="847"/>
      <c r="G409" s="847"/>
      <c r="H409" s="847"/>
      <c r="I409" s="847"/>
      <c r="J409" s="848"/>
    </row>
    <row r="410" spans="1:10" x14ac:dyDescent="0.25">
      <c r="A410" s="775"/>
      <c r="B410" s="847"/>
      <c r="C410" s="847"/>
      <c r="D410" s="847"/>
      <c r="E410" s="847"/>
      <c r="F410" s="847"/>
      <c r="G410" s="847"/>
      <c r="H410" s="847"/>
      <c r="I410" s="847"/>
      <c r="J410" s="848"/>
    </row>
    <row r="411" spans="1:10" x14ac:dyDescent="0.25">
      <c r="A411" s="775"/>
      <c r="B411" s="847"/>
      <c r="C411" s="847"/>
      <c r="D411" s="847"/>
      <c r="E411" s="847"/>
      <c r="F411" s="847"/>
      <c r="G411" s="847"/>
      <c r="H411" s="847"/>
      <c r="I411" s="847"/>
      <c r="J411" s="848"/>
    </row>
    <row r="412" spans="1:10" x14ac:dyDescent="0.25">
      <c r="A412" s="775"/>
      <c r="B412" s="847"/>
      <c r="C412" s="847"/>
      <c r="D412" s="847"/>
      <c r="E412" s="847"/>
      <c r="F412" s="847"/>
      <c r="G412" s="847"/>
      <c r="H412" s="847"/>
      <c r="I412" s="847"/>
      <c r="J412" s="848"/>
    </row>
    <row r="413" spans="1:10" x14ac:dyDescent="0.25">
      <c r="A413" s="775"/>
      <c r="B413" s="847"/>
      <c r="C413" s="847"/>
      <c r="D413" s="847"/>
      <c r="E413" s="847"/>
      <c r="F413" s="847"/>
      <c r="G413" s="847"/>
      <c r="H413" s="847"/>
      <c r="I413" s="847"/>
      <c r="J413" s="848"/>
    </row>
    <row r="414" spans="1:10" x14ac:dyDescent="0.25">
      <c r="A414" s="775"/>
      <c r="B414" s="847"/>
      <c r="C414" s="847"/>
      <c r="D414" s="847"/>
      <c r="E414" s="847"/>
      <c r="F414" s="847"/>
      <c r="G414" s="847"/>
      <c r="H414" s="847"/>
      <c r="I414" s="847"/>
      <c r="J414" s="848"/>
    </row>
    <row r="415" spans="1:10" x14ac:dyDescent="0.25">
      <c r="A415" s="778"/>
      <c r="B415" s="847"/>
      <c r="C415" s="847"/>
      <c r="D415" s="847"/>
      <c r="E415" s="847"/>
      <c r="F415" s="847"/>
      <c r="G415" s="847"/>
      <c r="H415" s="847"/>
      <c r="I415" s="847"/>
      <c r="J415" s="848"/>
    </row>
    <row r="416" spans="1:10" x14ac:dyDescent="0.25">
      <c r="A416" s="778"/>
      <c r="B416" s="847"/>
      <c r="C416" s="847"/>
      <c r="D416" s="847"/>
      <c r="E416" s="847"/>
      <c r="F416" s="847"/>
      <c r="G416" s="847"/>
      <c r="H416" s="847"/>
      <c r="I416" s="847"/>
      <c r="J416" s="848"/>
    </row>
    <row r="417" spans="1:10" x14ac:dyDescent="0.25">
      <c r="A417" s="778"/>
      <c r="B417" s="847"/>
      <c r="C417" s="847"/>
      <c r="D417" s="847"/>
      <c r="E417" s="847"/>
      <c r="F417" s="847"/>
      <c r="G417" s="847"/>
      <c r="H417" s="847"/>
      <c r="I417" s="847"/>
      <c r="J417" s="848"/>
    </row>
    <row r="418" spans="1:10" x14ac:dyDescent="0.25">
      <c r="A418" s="778"/>
      <c r="B418" s="847"/>
      <c r="C418" s="847"/>
      <c r="D418" s="847"/>
      <c r="E418" s="847"/>
      <c r="F418" s="847"/>
      <c r="G418" s="847"/>
      <c r="H418" s="847"/>
      <c r="I418" s="847"/>
      <c r="J418" s="848"/>
    </row>
    <row r="419" spans="1:10" x14ac:dyDescent="0.25">
      <c r="A419" s="778"/>
      <c r="B419" s="847"/>
      <c r="C419" s="847"/>
      <c r="D419" s="847"/>
      <c r="E419" s="847"/>
      <c r="F419" s="847"/>
      <c r="G419" s="847"/>
      <c r="H419" s="847"/>
      <c r="I419" s="847"/>
      <c r="J419" s="848"/>
    </row>
    <row r="420" spans="1:10" x14ac:dyDescent="0.25">
      <c r="A420" s="778"/>
      <c r="B420" s="847"/>
      <c r="C420" s="847"/>
      <c r="D420" s="847"/>
      <c r="E420" s="847"/>
      <c r="F420" s="847"/>
      <c r="G420" s="847"/>
      <c r="H420" s="847"/>
      <c r="I420" s="847"/>
      <c r="J420" s="848"/>
    </row>
    <row r="421" spans="1:10" x14ac:dyDescent="0.25">
      <c r="A421" s="778"/>
      <c r="B421" s="847"/>
      <c r="C421" s="847"/>
      <c r="D421" s="847"/>
      <c r="E421" s="847"/>
      <c r="F421" s="847"/>
      <c r="G421" s="847"/>
      <c r="H421" s="847"/>
      <c r="I421" s="847"/>
      <c r="J421" s="848"/>
    </row>
    <row r="422" spans="1:10" x14ac:dyDescent="0.25">
      <c r="A422" s="778"/>
      <c r="B422" s="847"/>
      <c r="C422" s="847"/>
      <c r="D422" s="847"/>
      <c r="E422" s="847"/>
      <c r="F422" s="847"/>
      <c r="G422" s="847"/>
      <c r="H422" s="847"/>
      <c r="I422" s="847"/>
      <c r="J422" s="848"/>
    </row>
    <row r="423" spans="1:10" x14ac:dyDescent="0.25">
      <c r="A423" s="778"/>
      <c r="B423" s="847"/>
      <c r="C423" s="847"/>
      <c r="D423" s="847"/>
      <c r="E423" s="847"/>
      <c r="F423" s="847"/>
      <c r="G423" s="847"/>
      <c r="H423" s="847"/>
      <c r="I423" s="847"/>
      <c r="J423" s="848"/>
    </row>
    <row r="424" spans="1:10" x14ac:dyDescent="0.25">
      <c r="A424" s="778"/>
      <c r="B424" s="847"/>
      <c r="C424" s="847"/>
      <c r="D424" s="847"/>
      <c r="E424" s="847"/>
      <c r="F424" s="847"/>
      <c r="G424" s="847"/>
      <c r="H424" s="847"/>
      <c r="I424" s="847"/>
      <c r="J424" s="848"/>
    </row>
    <row r="425" spans="1:10" x14ac:dyDescent="0.25">
      <c r="A425" s="778"/>
      <c r="B425" s="847"/>
      <c r="C425" s="847"/>
      <c r="D425" s="847"/>
      <c r="E425" s="847"/>
      <c r="F425" s="847"/>
      <c r="G425" s="847"/>
      <c r="H425" s="847"/>
      <c r="I425" s="847"/>
      <c r="J425" s="848"/>
    </row>
    <row r="426" spans="1:10" x14ac:dyDescent="0.25">
      <c r="A426" s="778"/>
      <c r="B426" s="847"/>
      <c r="C426" s="847"/>
      <c r="D426" s="847"/>
      <c r="E426" s="847"/>
      <c r="F426" s="847"/>
      <c r="G426" s="847"/>
      <c r="H426" s="847"/>
      <c r="I426" s="847"/>
      <c r="J426" s="848"/>
    </row>
    <row r="427" spans="1:10" x14ac:dyDescent="0.25">
      <c r="A427" s="778"/>
      <c r="B427" s="847"/>
      <c r="C427" s="847"/>
      <c r="D427" s="847"/>
      <c r="E427" s="847"/>
      <c r="F427" s="847"/>
      <c r="G427" s="847"/>
      <c r="H427" s="847"/>
      <c r="I427" s="847"/>
      <c r="J427" s="848"/>
    </row>
    <row r="428" spans="1:10" x14ac:dyDescent="0.25">
      <c r="A428" s="778"/>
      <c r="B428" s="847"/>
      <c r="C428" s="847"/>
      <c r="D428" s="847"/>
      <c r="E428" s="847"/>
      <c r="F428" s="847"/>
      <c r="G428" s="847"/>
      <c r="H428" s="847"/>
      <c r="I428" s="847"/>
      <c r="J428" s="848"/>
    </row>
    <row r="429" spans="1:10" x14ac:dyDescent="0.25">
      <c r="A429" s="778"/>
      <c r="B429" s="847"/>
      <c r="C429" s="847"/>
      <c r="D429" s="847"/>
      <c r="E429" s="847"/>
      <c r="F429" s="847"/>
      <c r="G429" s="847"/>
      <c r="H429" s="847"/>
      <c r="I429" s="847"/>
      <c r="J429" s="848"/>
    </row>
    <row r="430" spans="1:10" x14ac:dyDescent="0.25">
      <c r="A430" s="778"/>
      <c r="B430" s="847"/>
      <c r="C430" s="847"/>
      <c r="D430" s="847"/>
      <c r="E430" s="847"/>
      <c r="F430" s="847"/>
      <c r="G430" s="847"/>
      <c r="H430" s="847"/>
      <c r="I430" s="847"/>
      <c r="J430" s="848"/>
    </row>
    <row r="431" spans="1:10" x14ac:dyDescent="0.25">
      <c r="A431" s="778"/>
      <c r="B431" s="847"/>
      <c r="C431" s="847"/>
      <c r="D431" s="847"/>
      <c r="E431" s="847"/>
      <c r="F431" s="847"/>
      <c r="G431" s="847"/>
      <c r="H431" s="847"/>
      <c r="I431" s="847"/>
      <c r="J431" s="848"/>
    </row>
    <row r="432" spans="1:10" x14ac:dyDescent="0.25">
      <c r="A432" s="775"/>
      <c r="B432" s="847"/>
      <c r="C432" s="847"/>
      <c r="D432" s="847"/>
      <c r="E432" s="847"/>
      <c r="F432" s="847"/>
      <c r="G432" s="847"/>
      <c r="H432" s="847"/>
      <c r="I432" s="847"/>
      <c r="J432" s="848"/>
    </row>
    <row r="433" spans="1:10" x14ac:dyDescent="0.25">
      <c r="A433" s="775"/>
      <c r="B433" s="847"/>
      <c r="C433" s="847"/>
      <c r="D433" s="847"/>
      <c r="E433" s="847"/>
      <c r="F433" s="847"/>
      <c r="G433" s="847"/>
      <c r="H433" s="847"/>
      <c r="I433" s="847"/>
      <c r="J433" s="848"/>
    </row>
    <row r="434" spans="1:10" x14ac:dyDescent="0.25">
      <c r="A434" s="775"/>
      <c r="B434" s="847"/>
      <c r="C434" s="847"/>
      <c r="D434" s="847"/>
      <c r="E434" s="847"/>
      <c r="F434" s="847"/>
      <c r="G434" s="847"/>
      <c r="H434" s="847"/>
      <c r="I434" s="847"/>
      <c r="J434" s="848"/>
    </row>
    <row r="435" spans="1:10" x14ac:dyDescent="0.25">
      <c r="A435" s="775"/>
      <c r="B435" s="847"/>
      <c r="C435" s="847"/>
      <c r="D435" s="847"/>
      <c r="E435" s="847"/>
      <c r="F435" s="847"/>
      <c r="G435" s="847"/>
      <c r="H435" s="847"/>
      <c r="I435" s="847"/>
      <c r="J435" s="848"/>
    </row>
    <row r="436" spans="1:10" x14ac:dyDescent="0.25">
      <c r="A436" s="775"/>
      <c r="B436" s="847"/>
      <c r="C436" s="847"/>
      <c r="D436" s="847"/>
      <c r="E436" s="847"/>
      <c r="F436" s="847"/>
      <c r="G436" s="847"/>
      <c r="H436" s="847"/>
      <c r="I436" s="847"/>
      <c r="J436" s="848"/>
    </row>
    <row r="437" spans="1:10" x14ac:dyDescent="0.25">
      <c r="A437" s="775"/>
      <c r="B437" s="847"/>
      <c r="C437" s="847"/>
      <c r="D437" s="847"/>
      <c r="E437" s="847"/>
      <c r="F437" s="847"/>
      <c r="G437" s="847"/>
      <c r="H437" s="847"/>
      <c r="I437" s="847"/>
      <c r="J437" s="848"/>
    </row>
    <row r="438" spans="1:10" x14ac:dyDescent="0.25">
      <c r="A438" s="775"/>
      <c r="B438" s="847"/>
      <c r="C438" s="847"/>
      <c r="D438" s="847"/>
      <c r="E438" s="847"/>
      <c r="F438" s="847"/>
      <c r="G438" s="847"/>
      <c r="H438" s="847"/>
      <c r="I438" s="847"/>
      <c r="J438" s="848"/>
    </row>
    <row r="439" spans="1:10" x14ac:dyDescent="0.25">
      <c r="A439" s="775"/>
      <c r="B439" s="847"/>
      <c r="C439" s="847"/>
      <c r="D439" s="847"/>
      <c r="E439" s="847"/>
      <c r="F439" s="847"/>
      <c r="G439" s="847"/>
      <c r="H439" s="847"/>
      <c r="I439" s="847"/>
      <c r="J439" s="848"/>
    </row>
    <row r="440" spans="1:10" x14ac:dyDescent="0.25">
      <c r="A440" s="775"/>
      <c r="B440" s="847"/>
      <c r="C440" s="847"/>
      <c r="D440" s="847"/>
      <c r="E440" s="847"/>
      <c r="F440" s="847"/>
      <c r="G440" s="847"/>
      <c r="H440" s="847"/>
      <c r="I440" s="847"/>
      <c r="J440" s="848"/>
    </row>
    <row r="441" spans="1:10" x14ac:dyDescent="0.25">
      <c r="A441" s="775"/>
      <c r="B441" s="779"/>
      <c r="C441" s="779"/>
      <c r="D441" s="779"/>
      <c r="E441" s="779"/>
      <c r="F441" s="779"/>
      <c r="G441" s="779"/>
      <c r="H441" s="779"/>
      <c r="I441" s="780" t="s">
        <v>796</v>
      </c>
      <c r="J441" s="776"/>
    </row>
    <row r="442" spans="1:10" ht="15.75" thickBot="1" x14ac:dyDescent="0.3">
      <c r="A442" s="781"/>
      <c r="B442" s="782"/>
      <c r="C442" s="782"/>
      <c r="D442" s="782"/>
      <c r="E442" s="782"/>
      <c r="F442" s="782"/>
      <c r="G442" s="782"/>
      <c r="H442" s="782"/>
      <c r="I442" s="782"/>
      <c r="J442" s="783"/>
    </row>
    <row r="452" spans="1:10" ht="15.75" thickBot="1" x14ac:dyDescent="0.3"/>
    <row r="453" spans="1:10" x14ac:dyDescent="0.25">
      <c r="A453" s="772"/>
      <c r="B453" s="844"/>
      <c r="C453" s="845"/>
      <c r="D453" s="845"/>
      <c r="E453" s="845"/>
      <c r="F453" s="845"/>
      <c r="G453" s="845"/>
      <c r="H453" s="845"/>
      <c r="I453" s="845"/>
      <c r="J453" s="846"/>
    </row>
    <row r="454" spans="1:10" x14ac:dyDescent="0.25">
      <c r="A454" s="775"/>
      <c r="B454" s="847"/>
      <c r="C454" s="847"/>
      <c r="D454" s="847"/>
      <c r="E454" s="847"/>
      <c r="F454" s="847"/>
      <c r="G454" s="847"/>
      <c r="H454" s="847"/>
      <c r="I454" s="847"/>
      <c r="J454" s="848"/>
    </row>
    <row r="455" spans="1:10" x14ac:dyDescent="0.25">
      <c r="A455" s="775"/>
      <c r="B455" s="847"/>
      <c r="C455" s="847"/>
      <c r="D455" s="847"/>
      <c r="E455" s="847"/>
      <c r="F455" s="847"/>
      <c r="G455" s="847"/>
      <c r="H455" s="847"/>
      <c r="I455" s="847"/>
      <c r="J455" s="848"/>
    </row>
    <row r="456" spans="1:10" x14ac:dyDescent="0.25">
      <c r="A456" s="775"/>
      <c r="B456" s="847"/>
      <c r="C456" s="847"/>
      <c r="D456" s="847"/>
      <c r="E456" s="847"/>
      <c r="F456" s="847"/>
      <c r="G456" s="847"/>
      <c r="H456" s="847"/>
      <c r="I456" s="847"/>
      <c r="J456" s="848"/>
    </row>
    <row r="457" spans="1:10" x14ac:dyDescent="0.25">
      <c r="A457" s="775"/>
      <c r="B457" s="847"/>
      <c r="C457" s="847"/>
      <c r="D457" s="847"/>
      <c r="E457" s="847"/>
      <c r="F457" s="847"/>
      <c r="G457" s="847"/>
      <c r="H457" s="847"/>
      <c r="I457" s="847"/>
      <c r="J457" s="848"/>
    </row>
    <row r="458" spans="1:10" x14ac:dyDescent="0.25">
      <c r="A458" s="775"/>
      <c r="B458" s="847"/>
      <c r="C458" s="847"/>
      <c r="D458" s="847"/>
      <c r="E458" s="847"/>
      <c r="F458" s="847"/>
      <c r="G458" s="847"/>
      <c r="H458" s="847"/>
      <c r="I458" s="847"/>
      <c r="J458" s="848"/>
    </row>
    <row r="459" spans="1:10" x14ac:dyDescent="0.25">
      <c r="A459" s="775"/>
      <c r="B459" s="847"/>
      <c r="C459" s="847"/>
      <c r="D459" s="847"/>
      <c r="E459" s="847"/>
      <c r="F459" s="847"/>
      <c r="G459" s="847"/>
      <c r="H459" s="847"/>
      <c r="I459" s="847"/>
      <c r="J459" s="848"/>
    </row>
    <row r="460" spans="1:10" x14ac:dyDescent="0.25">
      <c r="A460" s="775"/>
      <c r="B460" s="847"/>
      <c r="C460" s="847"/>
      <c r="D460" s="847"/>
      <c r="E460" s="847"/>
      <c r="F460" s="847"/>
      <c r="G460" s="847"/>
      <c r="H460" s="847"/>
      <c r="I460" s="847"/>
      <c r="J460" s="848"/>
    </row>
    <row r="461" spans="1:10" x14ac:dyDescent="0.25">
      <c r="A461" s="775"/>
      <c r="B461" s="847"/>
      <c r="C461" s="847"/>
      <c r="D461" s="847"/>
      <c r="E461" s="847"/>
      <c r="F461" s="847"/>
      <c r="G461" s="847"/>
      <c r="H461" s="847"/>
      <c r="I461" s="847"/>
      <c r="J461" s="848"/>
    </row>
    <row r="462" spans="1:10" x14ac:dyDescent="0.25">
      <c r="A462" s="775"/>
      <c r="B462" s="847"/>
      <c r="C462" s="847"/>
      <c r="D462" s="847"/>
      <c r="E462" s="847"/>
      <c r="F462" s="847"/>
      <c r="G462" s="847"/>
      <c r="H462" s="847"/>
      <c r="I462" s="847"/>
      <c r="J462" s="848"/>
    </row>
    <row r="463" spans="1:10" x14ac:dyDescent="0.25">
      <c r="A463" s="775"/>
      <c r="B463" s="847"/>
      <c r="C463" s="847"/>
      <c r="D463" s="847"/>
      <c r="E463" s="847"/>
      <c r="F463" s="847"/>
      <c r="G463" s="847"/>
      <c r="H463" s="847"/>
      <c r="I463" s="847"/>
      <c r="J463" s="848"/>
    </row>
    <row r="464" spans="1:10" x14ac:dyDescent="0.25">
      <c r="A464" s="775"/>
      <c r="B464" s="847"/>
      <c r="C464" s="847"/>
      <c r="D464" s="847"/>
      <c r="E464" s="847"/>
      <c r="F464" s="847"/>
      <c r="G464" s="847"/>
      <c r="H464" s="847"/>
      <c r="I464" s="847"/>
      <c r="J464" s="848"/>
    </row>
    <row r="465" spans="1:10" x14ac:dyDescent="0.25">
      <c r="A465" s="775"/>
      <c r="B465" s="847"/>
      <c r="C465" s="847"/>
      <c r="D465" s="847"/>
      <c r="E465" s="847"/>
      <c r="F465" s="847"/>
      <c r="G465" s="847"/>
      <c r="H465" s="847"/>
      <c r="I465" s="847"/>
      <c r="J465" s="848"/>
    </row>
    <row r="466" spans="1:10" x14ac:dyDescent="0.25">
      <c r="A466" s="775"/>
      <c r="B466" s="847"/>
      <c r="C466" s="847"/>
      <c r="D466" s="847"/>
      <c r="E466" s="847"/>
      <c r="F466" s="847"/>
      <c r="G466" s="847"/>
      <c r="H466" s="847"/>
      <c r="I466" s="847"/>
      <c r="J466" s="848"/>
    </row>
    <row r="467" spans="1:10" x14ac:dyDescent="0.25">
      <c r="A467" s="775"/>
      <c r="B467" s="847"/>
      <c r="C467" s="847"/>
      <c r="D467" s="847"/>
      <c r="E467" s="847"/>
      <c r="F467" s="847"/>
      <c r="G467" s="847"/>
      <c r="H467" s="847"/>
      <c r="I467" s="847"/>
      <c r="J467" s="848"/>
    </row>
    <row r="468" spans="1:10" x14ac:dyDescent="0.25">
      <c r="A468" s="775"/>
      <c r="B468" s="847"/>
      <c r="C468" s="847"/>
      <c r="D468" s="847"/>
      <c r="E468" s="847"/>
      <c r="F468" s="847"/>
      <c r="G468" s="847"/>
      <c r="H468" s="847"/>
      <c r="I468" s="847"/>
      <c r="J468" s="848"/>
    </row>
    <row r="469" spans="1:10" x14ac:dyDescent="0.25">
      <c r="A469" s="775"/>
      <c r="B469" s="847"/>
      <c r="C469" s="847"/>
      <c r="D469" s="847"/>
      <c r="E469" s="847"/>
      <c r="F469" s="847"/>
      <c r="G469" s="847"/>
      <c r="H469" s="847"/>
      <c r="I469" s="847"/>
      <c r="J469" s="848"/>
    </row>
    <row r="470" spans="1:10" x14ac:dyDescent="0.25">
      <c r="A470" s="775"/>
      <c r="B470" s="847"/>
      <c r="C470" s="847"/>
      <c r="D470" s="847"/>
      <c r="E470" s="847"/>
      <c r="F470" s="847"/>
      <c r="G470" s="847"/>
      <c r="H470" s="847"/>
      <c r="I470" s="847"/>
      <c r="J470" s="848"/>
    </row>
    <row r="471" spans="1:10" x14ac:dyDescent="0.25">
      <c r="A471" s="775"/>
      <c r="B471" s="847"/>
      <c r="C471" s="847"/>
      <c r="D471" s="847"/>
      <c r="E471" s="847"/>
      <c r="F471" s="847"/>
      <c r="G471" s="847"/>
      <c r="H471" s="847"/>
      <c r="I471" s="847"/>
      <c r="J471" s="848"/>
    </row>
    <row r="472" spans="1:10" x14ac:dyDescent="0.25">
      <c r="A472" s="775"/>
      <c r="B472" s="847"/>
      <c r="C472" s="847"/>
      <c r="D472" s="847"/>
      <c r="E472" s="847"/>
      <c r="F472" s="847"/>
      <c r="G472" s="847"/>
      <c r="H472" s="847"/>
      <c r="I472" s="847"/>
      <c r="J472" s="848"/>
    </row>
    <row r="473" spans="1:10" x14ac:dyDescent="0.25">
      <c r="A473" s="778"/>
      <c r="B473" s="847"/>
      <c r="C473" s="847"/>
      <c r="D473" s="847"/>
      <c r="E473" s="847"/>
      <c r="F473" s="847"/>
      <c r="G473" s="847"/>
      <c r="H473" s="847"/>
      <c r="I473" s="847"/>
      <c r="J473" s="848"/>
    </row>
    <row r="474" spans="1:10" x14ac:dyDescent="0.25">
      <c r="A474" s="778"/>
      <c r="B474" s="847"/>
      <c r="C474" s="847"/>
      <c r="D474" s="847"/>
      <c r="E474" s="847"/>
      <c r="F474" s="847"/>
      <c r="G474" s="847"/>
      <c r="H474" s="847"/>
      <c r="I474" s="847"/>
      <c r="J474" s="848"/>
    </row>
    <row r="475" spans="1:10" x14ac:dyDescent="0.25">
      <c r="A475" s="778"/>
      <c r="B475" s="847"/>
      <c r="C475" s="847"/>
      <c r="D475" s="847"/>
      <c r="E475" s="847"/>
      <c r="F475" s="847"/>
      <c r="G475" s="847"/>
      <c r="H475" s="847"/>
      <c r="I475" s="847"/>
      <c r="J475" s="848"/>
    </row>
    <row r="476" spans="1:10" x14ac:dyDescent="0.25">
      <c r="A476" s="778"/>
      <c r="B476" s="847"/>
      <c r="C476" s="847"/>
      <c r="D476" s="847"/>
      <c r="E476" s="847"/>
      <c r="F476" s="847"/>
      <c r="G476" s="847"/>
      <c r="H476" s="847"/>
      <c r="I476" s="847"/>
      <c r="J476" s="848"/>
    </row>
    <row r="477" spans="1:10" x14ac:dyDescent="0.25">
      <c r="A477" s="778"/>
      <c r="B477" s="847"/>
      <c r="C477" s="847"/>
      <c r="D477" s="847"/>
      <c r="E477" s="847"/>
      <c r="F477" s="847"/>
      <c r="G477" s="847"/>
      <c r="H477" s="847"/>
      <c r="I477" s="847"/>
      <c r="J477" s="848"/>
    </row>
    <row r="478" spans="1:10" x14ac:dyDescent="0.25">
      <c r="A478" s="778"/>
      <c r="B478" s="847"/>
      <c r="C478" s="847"/>
      <c r="D478" s="847"/>
      <c r="E478" s="847"/>
      <c r="F478" s="847"/>
      <c r="G478" s="847"/>
      <c r="H478" s="847"/>
      <c r="I478" s="847"/>
      <c r="J478" s="848"/>
    </row>
    <row r="479" spans="1:10" x14ac:dyDescent="0.25">
      <c r="A479" s="778"/>
      <c r="B479" s="847"/>
      <c r="C479" s="847"/>
      <c r="D479" s="847"/>
      <c r="E479" s="847"/>
      <c r="F479" s="847"/>
      <c r="G479" s="847"/>
      <c r="H479" s="847"/>
      <c r="I479" s="847"/>
      <c r="J479" s="848"/>
    </row>
    <row r="480" spans="1:10" x14ac:dyDescent="0.25">
      <c r="A480" s="778"/>
      <c r="B480" s="847"/>
      <c r="C480" s="847"/>
      <c r="D480" s="847"/>
      <c r="E480" s="847"/>
      <c r="F480" s="847"/>
      <c r="G480" s="847"/>
      <c r="H480" s="847"/>
      <c r="I480" s="847"/>
      <c r="J480" s="848"/>
    </row>
    <row r="481" spans="1:10" x14ac:dyDescent="0.25">
      <c r="A481" s="778"/>
      <c r="B481" s="847"/>
      <c r="C481" s="847"/>
      <c r="D481" s="847"/>
      <c r="E481" s="847"/>
      <c r="F481" s="847"/>
      <c r="G481" s="847"/>
      <c r="H481" s="847"/>
      <c r="I481" s="847"/>
      <c r="J481" s="848"/>
    </row>
    <row r="482" spans="1:10" x14ac:dyDescent="0.25">
      <c r="A482" s="778"/>
      <c r="B482" s="847"/>
      <c r="C482" s="847"/>
      <c r="D482" s="847"/>
      <c r="E482" s="847"/>
      <c r="F482" s="847"/>
      <c r="G482" s="847"/>
      <c r="H482" s="847"/>
      <c r="I482" s="847"/>
      <c r="J482" s="848"/>
    </row>
    <row r="483" spans="1:10" x14ac:dyDescent="0.25">
      <c r="A483" s="778"/>
      <c r="B483" s="847"/>
      <c r="C483" s="847"/>
      <c r="D483" s="847"/>
      <c r="E483" s="847"/>
      <c r="F483" s="847"/>
      <c r="G483" s="847"/>
      <c r="H483" s="847"/>
      <c r="I483" s="847"/>
      <c r="J483" s="848"/>
    </row>
    <row r="484" spans="1:10" x14ac:dyDescent="0.25">
      <c r="A484" s="778"/>
      <c r="B484" s="847"/>
      <c r="C484" s="847"/>
      <c r="D484" s="847"/>
      <c r="E484" s="847"/>
      <c r="F484" s="847"/>
      <c r="G484" s="847"/>
      <c r="H484" s="847"/>
      <c r="I484" s="847"/>
      <c r="J484" s="848"/>
    </row>
    <row r="485" spans="1:10" x14ac:dyDescent="0.25">
      <c r="A485" s="778"/>
      <c r="B485" s="847"/>
      <c r="C485" s="847"/>
      <c r="D485" s="847"/>
      <c r="E485" s="847"/>
      <c r="F485" s="847"/>
      <c r="G485" s="847"/>
      <c r="H485" s="847"/>
      <c r="I485" s="847"/>
      <c r="J485" s="848"/>
    </row>
    <row r="486" spans="1:10" x14ac:dyDescent="0.25">
      <c r="A486" s="778"/>
      <c r="B486" s="847"/>
      <c r="C486" s="847"/>
      <c r="D486" s="847"/>
      <c r="E486" s="847"/>
      <c r="F486" s="847"/>
      <c r="G486" s="847"/>
      <c r="H486" s="847"/>
      <c r="I486" s="847"/>
      <c r="J486" s="848"/>
    </row>
    <row r="487" spans="1:10" x14ac:dyDescent="0.25">
      <c r="A487" s="778"/>
      <c r="B487" s="847"/>
      <c r="C487" s="847"/>
      <c r="D487" s="847"/>
      <c r="E487" s="847"/>
      <c r="F487" s="847"/>
      <c r="G487" s="847"/>
      <c r="H487" s="847"/>
      <c r="I487" s="847"/>
      <c r="J487" s="848"/>
    </row>
    <row r="488" spans="1:10" x14ac:dyDescent="0.25">
      <c r="A488" s="778"/>
      <c r="B488" s="847"/>
      <c r="C488" s="847"/>
      <c r="D488" s="847"/>
      <c r="E488" s="847"/>
      <c r="F488" s="847"/>
      <c r="G488" s="847"/>
      <c r="H488" s="847"/>
      <c r="I488" s="847"/>
      <c r="J488" s="848"/>
    </row>
    <row r="489" spans="1:10" x14ac:dyDescent="0.25">
      <c r="A489" s="778"/>
      <c r="B489" s="847"/>
      <c r="C489" s="847"/>
      <c r="D489" s="847"/>
      <c r="E489" s="847"/>
      <c r="F489" s="847"/>
      <c r="G489" s="847"/>
      <c r="H489" s="847"/>
      <c r="I489" s="847"/>
      <c r="J489" s="848"/>
    </row>
    <row r="490" spans="1:10" x14ac:dyDescent="0.25">
      <c r="A490" s="775"/>
      <c r="B490" s="847"/>
      <c r="C490" s="847"/>
      <c r="D490" s="847"/>
      <c r="E490" s="847"/>
      <c r="F490" s="847"/>
      <c r="G490" s="847"/>
      <c r="H490" s="847"/>
      <c r="I490" s="847"/>
      <c r="J490" s="848"/>
    </row>
    <row r="491" spans="1:10" x14ac:dyDescent="0.25">
      <c r="A491" s="775"/>
      <c r="B491" s="847"/>
      <c r="C491" s="847"/>
      <c r="D491" s="847"/>
      <c r="E491" s="847"/>
      <c r="F491" s="847"/>
      <c r="G491" s="847"/>
      <c r="H491" s="847"/>
      <c r="I491" s="847"/>
      <c r="J491" s="848"/>
    </row>
    <row r="492" spans="1:10" x14ac:dyDescent="0.25">
      <c r="A492" s="775"/>
      <c r="B492" s="847"/>
      <c r="C492" s="847"/>
      <c r="D492" s="847"/>
      <c r="E492" s="847"/>
      <c r="F492" s="847"/>
      <c r="G492" s="847"/>
      <c r="H492" s="847"/>
      <c r="I492" s="847"/>
      <c r="J492" s="848"/>
    </row>
    <row r="493" spans="1:10" x14ac:dyDescent="0.25">
      <c r="A493" s="775"/>
      <c r="B493" s="847"/>
      <c r="C493" s="847"/>
      <c r="D493" s="847"/>
      <c r="E493" s="847"/>
      <c r="F493" s="847"/>
      <c r="G493" s="847"/>
      <c r="H493" s="847"/>
      <c r="I493" s="847"/>
      <c r="J493" s="848"/>
    </row>
    <row r="494" spans="1:10" x14ac:dyDescent="0.25">
      <c r="A494" s="775"/>
      <c r="B494" s="847"/>
      <c r="C494" s="847"/>
      <c r="D494" s="847"/>
      <c r="E494" s="847"/>
      <c r="F494" s="847"/>
      <c r="G494" s="847"/>
      <c r="H494" s="847"/>
      <c r="I494" s="847"/>
      <c r="J494" s="848"/>
    </row>
    <row r="495" spans="1:10" x14ac:dyDescent="0.25">
      <c r="A495" s="775"/>
      <c r="B495" s="847"/>
      <c r="C495" s="847"/>
      <c r="D495" s="847"/>
      <c r="E495" s="847"/>
      <c r="F495" s="847"/>
      <c r="G495" s="847"/>
      <c r="H495" s="847"/>
      <c r="I495" s="847"/>
      <c r="J495" s="848"/>
    </row>
    <row r="496" spans="1:10" x14ac:dyDescent="0.25">
      <c r="A496" s="775"/>
      <c r="B496" s="847"/>
      <c r="C496" s="847"/>
      <c r="D496" s="847"/>
      <c r="E496" s="847"/>
      <c r="F496" s="847"/>
      <c r="G496" s="847"/>
      <c r="H496" s="847"/>
      <c r="I496" s="847"/>
      <c r="J496" s="848"/>
    </row>
    <row r="497" spans="1:10" x14ac:dyDescent="0.25">
      <c r="A497" s="775"/>
      <c r="B497" s="847"/>
      <c r="C497" s="847"/>
      <c r="D497" s="847"/>
      <c r="E497" s="847"/>
      <c r="F497" s="847"/>
      <c r="G497" s="847"/>
      <c r="H497" s="847"/>
      <c r="I497" s="847"/>
      <c r="J497" s="848"/>
    </row>
    <row r="498" spans="1:10" x14ac:dyDescent="0.25">
      <c r="A498" s="775"/>
      <c r="B498" s="847"/>
      <c r="C498" s="847"/>
      <c r="D498" s="847"/>
      <c r="E498" s="847"/>
      <c r="F498" s="847"/>
      <c r="G498" s="847"/>
      <c r="H498" s="847"/>
      <c r="I498" s="847"/>
      <c r="J498" s="848"/>
    </row>
    <row r="499" spans="1:10" x14ac:dyDescent="0.25">
      <c r="A499" s="775"/>
      <c r="B499" s="779"/>
      <c r="C499" s="779"/>
      <c r="D499" s="779"/>
      <c r="E499" s="779"/>
      <c r="F499" s="779"/>
      <c r="G499" s="779"/>
      <c r="H499" s="779"/>
      <c r="I499" s="780" t="s">
        <v>797</v>
      </c>
      <c r="J499" s="776"/>
    </row>
    <row r="500" spans="1:10" ht="15.75" thickBot="1" x14ac:dyDescent="0.3">
      <c r="A500" s="781"/>
      <c r="B500" s="782"/>
      <c r="C500" s="782"/>
      <c r="D500" s="782"/>
      <c r="E500" s="782"/>
      <c r="F500" s="782"/>
      <c r="G500" s="782"/>
      <c r="H500" s="782"/>
      <c r="I500" s="782"/>
      <c r="J500" s="783"/>
    </row>
    <row r="510" spans="1:10" ht="15.75" thickBot="1" x14ac:dyDescent="0.3"/>
    <row r="511" spans="1:10" x14ac:dyDescent="0.25">
      <c r="A511" s="772"/>
      <c r="B511" s="786"/>
      <c r="C511" s="787"/>
      <c r="D511" s="787"/>
      <c r="E511" s="787"/>
      <c r="F511" s="787"/>
      <c r="G511" s="787"/>
      <c r="H511" s="787"/>
      <c r="I511" s="787"/>
      <c r="J511" s="788"/>
    </row>
    <row r="512" spans="1:10" x14ac:dyDescent="0.25">
      <c r="A512" s="775"/>
      <c r="B512" s="789"/>
      <c r="C512" s="789"/>
      <c r="D512" s="789"/>
      <c r="E512" s="789"/>
      <c r="F512" s="789"/>
      <c r="G512" s="789"/>
      <c r="H512" s="789"/>
      <c r="I512" s="789"/>
      <c r="J512" s="790"/>
    </row>
    <row r="513" spans="1:10" x14ac:dyDescent="0.25">
      <c r="A513" s="775"/>
      <c r="B513" s="789"/>
      <c r="C513" s="789"/>
      <c r="D513" s="789"/>
      <c r="E513" s="789"/>
      <c r="F513" s="789"/>
      <c r="G513" s="789"/>
      <c r="H513" s="789"/>
      <c r="I513" s="789"/>
      <c r="J513" s="790"/>
    </row>
    <row r="514" spans="1:10" x14ac:dyDescent="0.25">
      <c r="A514" s="775"/>
      <c r="B514" s="789"/>
      <c r="C514" s="789"/>
      <c r="D514" s="789"/>
      <c r="E514" s="789"/>
      <c r="F514" s="789"/>
      <c r="G514" s="789"/>
      <c r="H514" s="789"/>
      <c r="I514" s="789"/>
      <c r="J514" s="790"/>
    </row>
    <row r="515" spans="1:10" x14ac:dyDescent="0.25">
      <c r="A515" s="775"/>
      <c r="B515" s="789"/>
      <c r="C515" s="789"/>
      <c r="D515" s="789"/>
      <c r="E515" s="789"/>
      <c r="F515" s="789"/>
      <c r="G515" s="789"/>
      <c r="H515" s="789"/>
      <c r="I515" s="789"/>
      <c r="J515" s="790"/>
    </row>
    <row r="516" spans="1:10" x14ac:dyDescent="0.25">
      <c r="A516" s="775"/>
      <c r="B516" s="789"/>
      <c r="C516" s="789"/>
      <c r="D516" s="789"/>
      <c r="E516" s="789"/>
      <c r="F516" s="789"/>
      <c r="G516" s="789"/>
      <c r="H516" s="789"/>
      <c r="I516" s="789"/>
      <c r="J516" s="790"/>
    </row>
    <row r="517" spans="1:10" x14ac:dyDescent="0.25">
      <c r="A517" s="775"/>
      <c r="B517" s="789"/>
      <c r="C517" s="789"/>
      <c r="D517" s="789"/>
      <c r="E517" s="789"/>
      <c r="F517" s="789"/>
      <c r="G517" s="789"/>
      <c r="H517" s="789"/>
      <c r="I517" s="789"/>
      <c r="J517" s="790"/>
    </row>
    <row r="518" spans="1:10" x14ac:dyDescent="0.25">
      <c r="A518" s="775"/>
      <c r="B518" s="789"/>
      <c r="C518" s="789"/>
      <c r="D518" s="789"/>
      <c r="E518" s="789"/>
      <c r="F518" s="789"/>
      <c r="G518" s="789"/>
      <c r="H518" s="789"/>
      <c r="I518" s="789"/>
      <c r="J518" s="790"/>
    </row>
    <row r="519" spans="1:10" x14ac:dyDescent="0.25">
      <c r="A519" s="775"/>
      <c r="B519" s="789"/>
      <c r="C519" s="789"/>
      <c r="D519" s="789"/>
      <c r="E519" s="789"/>
      <c r="F519" s="789"/>
      <c r="G519" s="789"/>
      <c r="H519" s="789"/>
      <c r="I519" s="789"/>
      <c r="J519" s="790"/>
    </row>
    <row r="520" spans="1:10" x14ac:dyDescent="0.25">
      <c r="A520" s="775"/>
      <c r="B520" s="789"/>
      <c r="C520" s="789"/>
      <c r="D520" s="789"/>
      <c r="E520" s="789"/>
      <c r="F520" s="789"/>
      <c r="G520" s="789"/>
      <c r="H520" s="789"/>
      <c r="I520" s="789"/>
      <c r="J520" s="790"/>
    </row>
    <row r="521" spans="1:10" x14ac:dyDescent="0.25">
      <c r="A521" s="775"/>
      <c r="B521" s="789"/>
      <c r="C521" s="789"/>
      <c r="D521" s="789"/>
      <c r="E521" s="789"/>
      <c r="F521" s="789"/>
      <c r="G521" s="789"/>
      <c r="H521" s="789"/>
      <c r="I521" s="789"/>
      <c r="J521" s="790"/>
    </row>
    <row r="522" spans="1:10" x14ac:dyDescent="0.25">
      <c r="A522" s="775"/>
      <c r="B522" s="789"/>
      <c r="C522" s="789"/>
      <c r="D522" s="789"/>
      <c r="E522" s="789"/>
      <c r="F522" s="789"/>
      <c r="G522" s="789"/>
      <c r="H522" s="789"/>
      <c r="I522" s="789"/>
      <c r="J522" s="790"/>
    </row>
    <row r="523" spans="1:10" x14ac:dyDescent="0.25">
      <c r="A523" s="775"/>
      <c r="B523" s="789"/>
      <c r="C523" s="789"/>
      <c r="D523" s="789"/>
      <c r="E523" s="789"/>
      <c r="F523" s="789"/>
      <c r="G523" s="789"/>
      <c r="H523" s="789"/>
      <c r="I523" s="789"/>
      <c r="J523" s="790"/>
    </row>
    <row r="524" spans="1:10" x14ac:dyDescent="0.25">
      <c r="A524" s="778"/>
      <c r="B524" s="789"/>
      <c r="C524" s="789"/>
      <c r="D524" s="789"/>
      <c r="E524" s="789"/>
      <c r="F524" s="789"/>
      <c r="G524" s="789"/>
      <c r="H524" s="789"/>
      <c r="I524" s="789"/>
      <c r="J524" s="790"/>
    </row>
    <row r="525" spans="1:10" x14ac:dyDescent="0.25">
      <c r="A525" s="778"/>
      <c r="B525" s="789"/>
      <c r="C525" s="789"/>
      <c r="D525" s="789"/>
      <c r="E525" s="789"/>
      <c r="F525" s="789"/>
      <c r="G525" s="789"/>
      <c r="H525" s="789"/>
      <c r="I525" s="789"/>
      <c r="J525" s="790"/>
    </row>
    <row r="526" spans="1:10" x14ac:dyDescent="0.25">
      <c r="A526" s="778"/>
      <c r="B526" s="789"/>
      <c r="C526" s="789"/>
      <c r="D526" s="789"/>
      <c r="E526" s="789"/>
      <c r="F526" s="789"/>
      <c r="G526" s="789"/>
      <c r="H526" s="789"/>
      <c r="I526" s="789"/>
      <c r="J526" s="790"/>
    </row>
    <row r="527" spans="1:10" x14ac:dyDescent="0.25">
      <c r="A527" s="778"/>
      <c r="B527" s="789"/>
      <c r="C527" s="789"/>
      <c r="D527" s="789"/>
      <c r="E527" s="789"/>
      <c r="F527" s="789"/>
      <c r="G527" s="789"/>
      <c r="H527" s="789"/>
      <c r="I527" s="789"/>
      <c r="J527" s="790"/>
    </row>
    <row r="528" spans="1:10" x14ac:dyDescent="0.25">
      <c r="A528" s="778"/>
      <c r="B528" s="789"/>
      <c r="C528" s="789"/>
      <c r="D528" s="789"/>
      <c r="E528" s="789"/>
      <c r="F528" s="789"/>
      <c r="G528" s="789"/>
      <c r="H528" s="789"/>
      <c r="I528" s="789"/>
      <c r="J528" s="790"/>
    </row>
    <row r="529" spans="1:14" x14ac:dyDescent="0.25">
      <c r="A529" s="778"/>
      <c r="B529" s="789"/>
      <c r="C529" s="789"/>
      <c r="D529" s="789"/>
      <c r="E529" s="789"/>
      <c r="F529" s="789"/>
      <c r="G529" s="789"/>
      <c r="H529" s="789"/>
      <c r="I529" s="789"/>
      <c r="J529" s="790"/>
    </row>
    <row r="530" spans="1:14" x14ac:dyDescent="0.25">
      <c r="A530" s="778"/>
      <c r="B530" s="789"/>
      <c r="C530" s="789"/>
      <c r="D530" s="789"/>
      <c r="E530" s="789"/>
      <c r="F530" s="789"/>
      <c r="G530" s="789"/>
      <c r="H530" s="789"/>
      <c r="I530" s="789"/>
      <c r="J530" s="790"/>
    </row>
    <row r="531" spans="1:14" x14ac:dyDescent="0.25">
      <c r="A531" s="778"/>
      <c r="B531" s="789"/>
      <c r="C531" s="789"/>
      <c r="D531" s="789"/>
      <c r="E531" s="789"/>
      <c r="F531" s="789"/>
      <c r="G531" s="789"/>
      <c r="H531" s="789"/>
      <c r="I531" s="789"/>
      <c r="J531" s="790"/>
      <c r="K531" s="777"/>
      <c r="L531" s="777"/>
      <c r="M531" s="777"/>
      <c r="N531" s="777"/>
    </row>
    <row r="532" spans="1:14" x14ac:dyDescent="0.25">
      <c r="A532" s="778"/>
      <c r="B532" s="789"/>
      <c r="C532" s="789"/>
      <c r="D532" s="789"/>
      <c r="E532" s="789"/>
      <c r="F532" s="789"/>
      <c r="G532" s="789"/>
      <c r="H532" s="789"/>
      <c r="I532" s="789"/>
      <c r="J532" s="790"/>
      <c r="K532" s="777"/>
      <c r="L532" s="777"/>
      <c r="M532" s="777"/>
      <c r="N532" s="777"/>
    </row>
    <row r="533" spans="1:14" x14ac:dyDescent="0.25">
      <c r="A533" s="778"/>
      <c r="B533" s="789"/>
      <c r="C533" s="789"/>
      <c r="D533" s="789"/>
      <c r="E533" s="789"/>
      <c r="F533" s="789"/>
      <c r="G533" s="789"/>
      <c r="H533" s="789"/>
      <c r="I533" s="789"/>
      <c r="J533" s="790"/>
      <c r="K533" s="777"/>
      <c r="L533" s="777"/>
      <c r="M533" s="777"/>
      <c r="N533" s="777"/>
    </row>
    <row r="534" spans="1:14" x14ac:dyDescent="0.25">
      <c r="A534" s="778"/>
      <c r="B534" s="789"/>
      <c r="C534" s="789"/>
      <c r="D534" s="789"/>
      <c r="E534" s="789"/>
      <c r="F534" s="789"/>
      <c r="G534" s="789"/>
      <c r="H534" s="789"/>
      <c r="I534" s="789"/>
      <c r="J534" s="790"/>
      <c r="K534" s="777"/>
      <c r="L534" s="777"/>
      <c r="M534" s="777"/>
      <c r="N534" s="777"/>
    </row>
    <row r="535" spans="1:14" x14ac:dyDescent="0.25">
      <c r="A535" s="778"/>
      <c r="B535" s="789"/>
      <c r="C535" s="789"/>
      <c r="D535" s="789"/>
      <c r="E535" s="789"/>
      <c r="F535" s="789"/>
      <c r="G535" s="789"/>
      <c r="H535" s="789"/>
      <c r="I535" s="789"/>
      <c r="J535" s="790"/>
      <c r="K535" s="777"/>
      <c r="L535" s="777"/>
      <c r="M535" s="777"/>
      <c r="N535" s="777"/>
    </row>
    <row r="536" spans="1:14" x14ac:dyDescent="0.25">
      <c r="A536" s="778"/>
      <c r="B536" s="789"/>
      <c r="C536" s="789"/>
      <c r="D536" s="789"/>
      <c r="E536" s="789"/>
      <c r="F536" s="789"/>
      <c r="G536" s="789"/>
      <c r="H536" s="789"/>
      <c r="I536" s="789"/>
      <c r="J536" s="790"/>
      <c r="K536" s="777"/>
      <c r="L536" s="777"/>
      <c r="M536" s="777"/>
      <c r="N536" s="777"/>
    </row>
    <row r="537" spans="1:14" x14ac:dyDescent="0.25">
      <c r="A537" s="778"/>
      <c r="B537" s="789"/>
      <c r="C537" s="789"/>
      <c r="D537" s="789"/>
      <c r="E537" s="789"/>
      <c r="F537" s="789"/>
      <c r="G537" s="789"/>
      <c r="H537" s="789"/>
      <c r="I537" s="789"/>
      <c r="J537" s="790"/>
      <c r="K537" s="777"/>
      <c r="L537" s="777"/>
      <c r="M537" s="777"/>
      <c r="N537" s="777"/>
    </row>
    <row r="538" spans="1:14" x14ac:dyDescent="0.25">
      <c r="A538" s="778"/>
      <c r="B538" s="789"/>
      <c r="C538" s="789"/>
      <c r="D538" s="789"/>
      <c r="E538" s="789"/>
      <c r="F538" s="789"/>
      <c r="G538" s="789"/>
      <c r="H538" s="789"/>
      <c r="I538" s="789"/>
      <c r="J538" s="790"/>
      <c r="L538" s="777"/>
    </row>
    <row r="539" spans="1:14" x14ac:dyDescent="0.25">
      <c r="A539" s="778"/>
      <c r="B539" s="789"/>
      <c r="C539" s="789"/>
      <c r="D539" s="789"/>
      <c r="E539" s="789"/>
      <c r="F539" s="789"/>
      <c r="G539" s="789"/>
      <c r="H539" s="789"/>
      <c r="I539" s="789"/>
      <c r="J539" s="790"/>
    </row>
    <row r="540" spans="1:14" x14ac:dyDescent="0.25">
      <c r="A540" s="778"/>
      <c r="B540" s="789"/>
      <c r="C540" s="789"/>
      <c r="D540" s="789"/>
      <c r="E540" s="789"/>
      <c r="F540" s="789"/>
      <c r="G540" s="789"/>
      <c r="H540" s="789"/>
      <c r="I540" s="789"/>
      <c r="J540" s="790"/>
    </row>
    <row r="541" spans="1:14" x14ac:dyDescent="0.25">
      <c r="A541" s="775"/>
      <c r="B541" s="789"/>
      <c r="C541" s="789"/>
      <c r="D541" s="789"/>
      <c r="E541" s="789"/>
      <c r="F541" s="789"/>
      <c r="G541" s="789"/>
      <c r="H541" s="789"/>
      <c r="I541" s="789"/>
      <c r="J541" s="790"/>
    </row>
    <row r="542" spans="1:14" x14ac:dyDescent="0.25">
      <c r="A542" s="775"/>
      <c r="B542" s="789"/>
      <c r="C542" s="789"/>
      <c r="D542" s="789"/>
      <c r="E542" s="789"/>
      <c r="F542" s="789"/>
      <c r="G542" s="789"/>
      <c r="H542" s="789"/>
      <c r="I542" s="789"/>
      <c r="J542" s="790"/>
    </row>
    <row r="543" spans="1:14" x14ac:dyDescent="0.25">
      <c r="A543" s="775"/>
      <c r="B543" s="789"/>
      <c r="C543" s="789"/>
      <c r="D543" s="789"/>
      <c r="E543" s="789"/>
      <c r="F543" s="789"/>
      <c r="G543" s="789"/>
      <c r="H543" s="789"/>
      <c r="I543" s="789"/>
      <c r="J543" s="790"/>
    </row>
    <row r="544" spans="1:14" x14ac:dyDescent="0.25">
      <c r="A544" s="775"/>
      <c r="B544" s="789"/>
      <c r="C544" s="789"/>
      <c r="D544" s="789"/>
      <c r="E544" s="789"/>
      <c r="F544" s="789"/>
      <c r="G544" s="789"/>
      <c r="H544" s="789"/>
      <c r="I544" s="789"/>
      <c r="J544" s="790"/>
    </row>
    <row r="545" spans="1:10" x14ac:dyDescent="0.25">
      <c r="A545" s="775"/>
      <c r="B545" s="789"/>
      <c r="C545" s="789"/>
      <c r="D545" s="789"/>
      <c r="E545" s="789"/>
      <c r="F545" s="789"/>
      <c r="G545" s="789"/>
      <c r="H545" s="789"/>
      <c r="I545" s="789"/>
      <c r="J545" s="790"/>
    </row>
    <row r="546" spans="1:10" x14ac:dyDescent="0.25">
      <c r="A546" s="775"/>
      <c r="B546" s="789"/>
      <c r="C546" s="789"/>
      <c r="D546" s="789"/>
      <c r="E546" s="789"/>
      <c r="F546" s="789"/>
      <c r="G546" s="789"/>
      <c r="H546" s="789"/>
      <c r="I546" s="789"/>
      <c r="J546" s="790"/>
    </row>
    <row r="547" spans="1:10" x14ac:dyDescent="0.25">
      <c r="A547" s="775"/>
      <c r="B547" s="789"/>
      <c r="C547" s="789"/>
      <c r="D547" s="789"/>
      <c r="E547" s="789"/>
      <c r="F547" s="789"/>
      <c r="G547" s="789"/>
      <c r="H547" s="789"/>
      <c r="I547" s="789"/>
      <c r="J547" s="790"/>
    </row>
    <row r="548" spans="1:10" x14ac:dyDescent="0.25">
      <c r="A548" s="775"/>
      <c r="B548" s="789"/>
      <c r="C548" s="789"/>
      <c r="D548" s="789"/>
      <c r="E548" s="789"/>
      <c r="F548" s="789"/>
      <c r="G548" s="789"/>
      <c r="H548" s="789"/>
      <c r="I548" s="789"/>
      <c r="J548" s="790"/>
    </row>
    <row r="549" spans="1:10" x14ac:dyDescent="0.25">
      <c r="A549" s="775"/>
      <c r="B549" s="789"/>
      <c r="C549" s="789"/>
      <c r="D549" s="789"/>
      <c r="E549" s="789"/>
      <c r="F549" s="789"/>
      <c r="G549" s="789"/>
      <c r="H549" s="789"/>
      <c r="I549" s="789"/>
      <c r="J549" s="790"/>
    </row>
    <row r="550" spans="1:10" x14ac:dyDescent="0.25">
      <c r="A550" s="775"/>
      <c r="B550" s="779"/>
      <c r="C550" s="779"/>
      <c r="D550" s="779"/>
      <c r="E550" s="779"/>
      <c r="F550" s="779"/>
      <c r="G550" s="779"/>
      <c r="H550" s="779"/>
      <c r="I550" s="780" t="s">
        <v>798</v>
      </c>
      <c r="J550" s="776"/>
    </row>
    <row r="551" spans="1:10" x14ac:dyDescent="0.25">
      <c r="A551" s="775"/>
      <c r="B551" s="779"/>
      <c r="C551" s="779"/>
      <c r="D551" s="779"/>
      <c r="E551" s="779"/>
      <c r="F551" s="779"/>
      <c r="G551" s="779"/>
      <c r="H551" s="779"/>
      <c r="I551" s="779"/>
      <c r="J551" s="776"/>
    </row>
    <row r="552" spans="1:10" x14ac:dyDescent="0.25">
      <c r="A552" s="775"/>
      <c r="B552" s="779"/>
      <c r="C552" s="779"/>
      <c r="D552" s="779"/>
      <c r="E552" s="779"/>
      <c r="F552" s="779"/>
      <c r="G552" s="779"/>
      <c r="H552" s="779"/>
      <c r="I552" s="780" t="s">
        <v>799</v>
      </c>
      <c r="J552" s="776"/>
    </row>
    <row r="553" spans="1:10" ht="15.75" thickBot="1" x14ac:dyDescent="0.3">
      <c r="A553" s="781"/>
      <c r="B553" s="782"/>
      <c r="C553" s="782"/>
      <c r="D553" s="782"/>
      <c r="E553" s="782"/>
      <c r="F553" s="782"/>
      <c r="G553" s="782"/>
      <c r="H553" s="782"/>
      <c r="I553" s="779"/>
      <c r="J553" s="783"/>
    </row>
    <row r="554" spans="1:10" x14ac:dyDescent="0.25">
      <c r="I554" s="773"/>
    </row>
    <row r="568" spans="1:10" ht="15.75" thickBot="1" x14ac:dyDescent="0.3"/>
    <row r="569" spans="1:10" ht="15.75" thickBot="1" x14ac:dyDescent="0.3">
      <c r="A569" s="772"/>
      <c r="B569" s="791"/>
      <c r="C569" s="792"/>
      <c r="D569" s="792"/>
      <c r="E569" s="792"/>
      <c r="F569" s="792"/>
      <c r="G569" s="792"/>
      <c r="H569" s="792"/>
      <c r="J569" s="793"/>
    </row>
    <row r="570" spans="1:10" x14ac:dyDescent="0.25">
      <c r="A570" s="775"/>
      <c r="B570" s="794"/>
      <c r="C570" s="794"/>
      <c r="D570" s="794"/>
      <c r="E570" s="794"/>
      <c r="F570" s="794"/>
      <c r="G570" s="794"/>
      <c r="H570" s="794"/>
      <c r="I570" s="792"/>
      <c r="J570" s="795"/>
    </row>
    <row r="571" spans="1:10" x14ac:dyDescent="0.25">
      <c r="A571" s="775"/>
      <c r="B571" s="794"/>
      <c r="C571" s="794"/>
      <c r="D571" s="794"/>
      <c r="E571" s="794"/>
      <c r="F571" s="794"/>
      <c r="G571" s="794"/>
      <c r="H571" s="794"/>
      <c r="I571" s="794"/>
      <c r="J571" s="795"/>
    </row>
    <row r="572" spans="1:10" x14ac:dyDescent="0.25">
      <c r="A572" s="775"/>
      <c r="B572" s="794"/>
      <c r="C572" s="794"/>
      <c r="D572" s="794"/>
      <c r="E572" s="794"/>
      <c r="F572" s="794"/>
      <c r="G572" s="794"/>
      <c r="H572" s="794"/>
      <c r="I572" s="794"/>
      <c r="J572" s="795"/>
    </row>
    <row r="573" spans="1:10" x14ac:dyDescent="0.25">
      <c r="A573" s="775"/>
      <c r="B573" s="794"/>
      <c r="C573" s="794"/>
      <c r="D573" s="794"/>
      <c r="E573" s="794"/>
      <c r="F573" s="794"/>
      <c r="G573" s="794"/>
      <c r="H573" s="794"/>
      <c r="I573" s="794"/>
      <c r="J573" s="795"/>
    </row>
    <row r="574" spans="1:10" x14ac:dyDescent="0.25">
      <c r="A574" s="775"/>
      <c r="B574" s="794"/>
      <c r="C574" s="794"/>
      <c r="D574" s="794"/>
      <c r="E574" s="794"/>
      <c r="F574" s="794"/>
      <c r="G574" s="794"/>
      <c r="H574" s="794"/>
      <c r="I574" s="794"/>
      <c r="J574" s="795"/>
    </row>
    <row r="575" spans="1:10" x14ac:dyDescent="0.25">
      <c r="A575" s="775"/>
      <c r="B575" s="794"/>
      <c r="C575" s="794"/>
      <c r="D575" s="794"/>
      <c r="E575" s="794"/>
      <c r="F575" s="794"/>
      <c r="G575" s="794"/>
      <c r="H575" s="794"/>
      <c r="I575" s="794"/>
      <c r="J575" s="795"/>
    </row>
    <row r="576" spans="1:10" x14ac:dyDescent="0.25">
      <c r="A576" s="775"/>
      <c r="B576" s="794"/>
      <c r="C576" s="794"/>
      <c r="D576" s="794"/>
      <c r="E576" s="794"/>
      <c r="F576" s="794"/>
      <c r="G576" s="794"/>
      <c r="H576" s="794"/>
      <c r="I576" s="794"/>
      <c r="J576" s="795"/>
    </row>
    <row r="577" spans="1:15" x14ac:dyDescent="0.25">
      <c r="A577" s="778"/>
      <c r="B577" s="794"/>
      <c r="C577" s="794"/>
      <c r="D577" s="794"/>
      <c r="E577" s="794"/>
      <c r="F577" s="794"/>
      <c r="G577" s="794"/>
      <c r="H577" s="794"/>
      <c r="I577" s="794"/>
      <c r="J577" s="795"/>
    </row>
    <row r="578" spans="1:15" x14ac:dyDescent="0.25">
      <c r="A578" s="778"/>
      <c r="B578" s="794"/>
      <c r="C578" s="794"/>
      <c r="D578" s="794"/>
      <c r="E578" s="794"/>
      <c r="F578" s="794"/>
      <c r="G578" s="794"/>
      <c r="H578" s="794"/>
      <c r="I578" s="794"/>
      <c r="J578" s="795"/>
    </row>
    <row r="579" spans="1:15" x14ac:dyDescent="0.25">
      <c r="A579" s="778"/>
      <c r="B579" s="794"/>
      <c r="C579" s="794"/>
      <c r="D579" s="794"/>
      <c r="E579" s="794"/>
      <c r="F579" s="794"/>
      <c r="G579" s="794"/>
      <c r="H579" s="794"/>
      <c r="I579" s="794"/>
      <c r="J579" s="795"/>
    </row>
    <row r="580" spans="1:15" x14ac:dyDescent="0.25">
      <c r="A580" s="778"/>
      <c r="B580" s="794"/>
      <c r="C580" s="794"/>
      <c r="D580" s="794"/>
      <c r="E580" s="794"/>
      <c r="F580" s="794"/>
      <c r="G580" s="794"/>
      <c r="H580" s="794"/>
      <c r="I580" s="794"/>
      <c r="J580" s="795"/>
    </row>
    <row r="581" spans="1:15" x14ac:dyDescent="0.25">
      <c r="A581" s="778"/>
      <c r="B581" s="794"/>
      <c r="C581" s="794"/>
      <c r="D581" s="794"/>
      <c r="E581" s="794"/>
      <c r="F581" s="794"/>
      <c r="G581" s="794"/>
      <c r="H581" s="794"/>
      <c r="I581" s="794"/>
      <c r="J581" s="795"/>
    </row>
    <row r="582" spans="1:15" x14ac:dyDescent="0.25">
      <c r="A582" s="778"/>
      <c r="B582" s="794"/>
      <c r="C582" s="794"/>
      <c r="D582" s="794"/>
      <c r="E582" s="794"/>
      <c r="F582" s="794"/>
      <c r="G582" s="794"/>
      <c r="H582" s="794"/>
      <c r="I582" s="794"/>
      <c r="J582" s="795"/>
    </row>
    <row r="583" spans="1:15" x14ac:dyDescent="0.25">
      <c r="A583" s="778"/>
      <c r="B583" s="794"/>
      <c r="C583" s="794"/>
      <c r="D583" s="794"/>
      <c r="E583" s="794"/>
      <c r="F583" s="794"/>
      <c r="G583" s="794"/>
      <c r="H583" s="794"/>
      <c r="I583" s="794"/>
      <c r="J583" s="795"/>
      <c r="N583" s="777"/>
    </row>
    <row r="584" spans="1:15" x14ac:dyDescent="0.25">
      <c r="A584" s="778"/>
      <c r="B584" s="794"/>
      <c r="C584" s="794"/>
      <c r="D584" s="794"/>
      <c r="E584" s="794"/>
      <c r="F584" s="794"/>
      <c r="G584" s="794"/>
      <c r="H584" s="794"/>
      <c r="I584" s="794"/>
      <c r="J584" s="795"/>
    </row>
    <row r="585" spans="1:15" x14ac:dyDescent="0.25">
      <c r="A585" s="778"/>
      <c r="B585" s="794"/>
      <c r="C585" s="794"/>
      <c r="D585" s="794"/>
      <c r="E585" s="794"/>
      <c r="F585" s="794"/>
      <c r="G585" s="794"/>
      <c r="H585" s="794"/>
      <c r="I585" s="794"/>
      <c r="J585" s="795"/>
    </row>
    <row r="586" spans="1:15" x14ac:dyDescent="0.25">
      <c r="A586" s="778"/>
      <c r="B586" s="794"/>
      <c r="C586" s="794"/>
      <c r="D586" s="794"/>
      <c r="E586" s="794"/>
      <c r="F586" s="794"/>
      <c r="G586" s="794"/>
      <c r="H586" s="794"/>
      <c r="I586" s="794"/>
      <c r="J586" s="795"/>
    </row>
    <row r="587" spans="1:15" x14ac:dyDescent="0.25">
      <c r="A587" s="778"/>
      <c r="B587" s="794"/>
      <c r="C587" s="794"/>
      <c r="D587" s="794"/>
      <c r="E587" s="794"/>
      <c r="F587" s="794"/>
      <c r="G587" s="794"/>
      <c r="H587" s="794"/>
      <c r="I587" s="794"/>
      <c r="J587" s="795"/>
    </row>
    <row r="588" spans="1:15" x14ac:dyDescent="0.25">
      <c r="A588" s="778"/>
      <c r="B588" s="794"/>
      <c r="C588" s="794"/>
      <c r="D588" s="794"/>
      <c r="E588" s="794"/>
      <c r="F588" s="794"/>
      <c r="G588" s="794"/>
      <c r="H588" s="794"/>
      <c r="I588" s="794"/>
      <c r="J588" s="795"/>
      <c r="M588" s="777"/>
      <c r="N588" s="777"/>
      <c r="O588" s="777"/>
    </row>
    <row r="589" spans="1:15" x14ac:dyDescent="0.25">
      <c r="A589" s="778"/>
      <c r="B589" s="794"/>
      <c r="C589" s="794"/>
      <c r="D589" s="794"/>
      <c r="E589" s="794"/>
      <c r="F589" s="794"/>
      <c r="G589" s="794"/>
      <c r="H589" s="794"/>
      <c r="I589" s="794"/>
      <c r="J589" s="795"/>
      <c r="M589" s="777"/>
      <c r="N589" s="777"/>
      <c r="O589" s="777"/>
    </row>
    <row r="590" spans="1:15" x14ac:dyDescent="0.25">
      <c r="A590" s="778"/>
      <c r="B590" s="794"/>
      <c r="C590" s="794"/>
      <c r="D590" s="794"/>
      <c r="E590" s="794"/>
      <c r="F590" s="794"/>
      <c r="G590" s="794"/>
      <c r="H590" s="794"/>
      <c r="I590" s="794"/>
      <c r="J590" s="795"/>
      <c r="M590" s="777"/>
      <c r="N590" s="777"/>
      <c r="O590" s="777"/>
    </row>
    <row r="591" spans="1:15" x14ac:dyDescent="0.25">
      <c r="A591" s="778"/>
      <c r="B591" s="794"/>
      <c r="C591" s="794"/>
      <c r="D591" s="794"/>
      <c r="E591" s="794"/>
      <c r="F591" s="794"/>
      <c r="G591" s="794"/>
      <c r="H591" s="794"/>
      <c r="I591" s="794"/>
      <c r="J591" s="795"/>
      <c r="M591" s="777"/>
      <c r="N591" s="777"/>
      <c r="O591" s="777"/>
    </row>
    <row r="592" spans="1:15" x14ac:dyDescent="0.25">
      <c r="A592" s="778"/>
      <c r="B592" s="794"/>
      <c r="C592" s="794"/>
      <c r="D592" s="794"/>
      <c r="E592" s="794"/>
      <c r="F592" s="794"/>
      <c r="G592" s="794"/>
      <c r="H592" s="794"/>
      <c r="I592" s="794"/>
      <c r="J592" s="795"/>
      <c r="M592" s="777"/>
      <c r="N592" s="777"/>
      <c r="O592" s="777"/>
    </row>
    <row r="593" spans="1:15" x14ac:dyDescent="0.25">
      <c r="A593" s="778"/>
      <c r="B593" s="794"/>
      <c r="C593" s="794"/>
      <c r="D593" s="794"/>
      <c r="E593" s="794"/>
      <c r="F593" s="794"/>
      <c r="G593" s="794"/>
      <c r="H593" s="794"/>
      <c r="I593" s="794"/>
      <c r="J593" s="795"/>
      <c r="M593" s="777"/>
      <c r="N593" s="777"/>
      <c r="O593" s="777"/>
    </row>
    <row r="594" spans="1:15" x14ac:dyDescent="0.25">
      <c r="A594" s="775"/>
      <c r="B594" s="794"/>
      <c r="C594" s="794"/>
      <c r="D594" s="794"/>
      <c r="E594" s="794"/>
      <c r="F594" s="794"/>
      <c r="G594" s="794"/>
      <c r="H594" s="794"/>
      <c r="I594" s="794"/>
      <c r="J594" s="795"/>
      <c r="N594" s="777"/>
      <c r="O594" s="777"/>
    </row>
    <row r="595" spans="1:15" x14ac:dyDescent="0.25">
      <c r="A595" s="775"/>
      <c r="B595" s="794"/>
      <c r="C595" s="794"/>
      <c r="D595" s="794"/>
      <c r="E595" s="794"/>
      <c r="F595" s="794"/>
      <c r="G595" s="794"/>
      <c r="H595" s="794"/>
      <c r="I595" s="794"/>
      <c r="J595" s="795"/>
    </row>
    <row r="596" spans="1:15" x14ac:dyDescent="0.25">
      <c r="A596" s="775"/>
      <c r="B596" s="794"/>
      <c r="C596" s="794"/>
      <c r="D596" s="794"/>
      <c r="E596" s="794"/>
      <c r="F596" s="794"/>
      <c r="G596" s="794"/>
      <c r="H596" s="794"/>
      <c r="I596" s="794"/>
      <c r="J596" s="795"/>
    </row>
    <row r="597" spans="1:15" x14ac:dyDescent="0.25">
      <c r="A597" s="775"/>
      <c r="B597" s="794"/>
      <c r="C597" s="794"/>
      <c r="D597" s="794"/>
      <c r="E597" s="794"/>
      <c r="F597" s="794"/>
      <c r="G597" s="794"/>
      <c r="H597" s="794"/>
      <c r="I597" s="794"/>
      <c r="J597" s="795"/>
    </row>
    <row r="598" spans="1:15" x14ac:dyDescent="0.25">
      <c r="A598" s="775"/>
      <c r="B598" s="794"/>
      <c r="C598" s="794"/>
      <c r="D598" s="794"/>
      <c r="E598" s="794"/>
      <c r="F598" s="794"/>
      <c r="G598" s="794"/>
      <c r="H598" s="794"/>
      <c r="I598" s="794"/>
      <c r="J598" s="795"/>
    </row>
    <row r="599" spans="1:15" x14ac:dyDescent="0.25">
      <c r="A599" s="775"/>
      <c r="B599" s="794"/>
      <c r="C599" s="794"/>
      <c r="D599" s="794"/>
      <c r="E599" s="794"/>
      <c r="F599" s="794"/>
      <c r="G599" s="794"/>
      <c r="H599" s="794"/>
      <c r="I599" s="794"/>
      <c r="J599" s="795"/>
    </row>
    <row r="600" spans="1:15" x14ac:dyDescent="0.25">
      <c r="A600" s="775"/>
      <c r="B600" s="794"/>
      <c r="C600" s="794"/>
      <c r="D600" s="794"/>
      <c r="E600" s="794"/>
      <c r="F600" s="794"/>
      <c r="G600" s="794"/>
      <c r="H600" s="794"/>
      <c r="I600" s="794"/>
      <c r="J600" s="795"/>
    </row>
    <row r="601" spans="1:15" x14ac:dyDescent="0.25">
      <c r="A601" s="775"/>
      <c r="B601" s="794"/>
      <c r="C601" s="794"/>
      <c r="D601" s="794"/>
      <c r="E601" s="794"/>
      <c r="F601" s="794"/>
      <c r="G601" s="794"/>
      <c r="H601" s="794"/>
      <c r="I601" s="794"/>
      <c r="J601" s="795"/>
    </row>
    <row r="602" spans="1:15" x14ac:dyDescent="0.25">
      <c r="A602" s="775"/>
      <c r="B602" s="794"/>
      <c r="C602" s="794"/>
      <c r="D602" s="794"/>
      <c r="E602" s="794"/>
      <c r="F602" s="794"/>
      <c r="G602" s="794"/>
      <c r="H602" s="794"/>
      <c r="I602" s="794"/>
      <c r="J602" s="795"/>
    </row>
    <row r="603" spans="1:15" x14ac:dyDescent="0.25">
      <c r="A603" s="775"/>
      <c r="B603" s="779"/>
      <c r="C603" s="779"/>
      <c r="D603" s="779"/>
      <c r="E603" s="779"/>
      <c r="F603" s="779"/>
      <c r="G603" s="779"/>
      <c r="H603" s="779"/>
      <c r="I603" s="794"/>
      <c r="J603" s="776"/>
    </row>
    <row r="604" spans="1:15" x14ac:dyDescent="0.25">
      <c r="A604" s="775"/>
      <c r="B604" s="779"/>
      <c r="C604" s="779"/>
      <c r="D604" s="779"/>
      <c r="E604" s="779"/>
      <c r="F604" s="779"/>
      <c r="G604" s="779"/>
      <c r="H604" s="779"/>
      <c r="I604" s="779"/>
      <c r="J604" s="776"/>
    </row>
    <row r="605" spans="1:15" x14ac:dyDescent="0.25">
      <c r="A605" s="775"/>
      <c r="B605" s="779"/>
      <c r="C605" s="779"/>
      <c r="D605" s="779"/>
      <c r="E605" s="779"/>
      <c r="F605" s="779"/>
      <c r="G605" s="779"/>
      <c r="H605" s="779"/>
      <c r="I605" s="779"/>
      <c r="J605" s="776"/>
    </row>
    <row r="606" spans="1:15" x14ac:dyDescent="0.25">
      <c r="A606" s="775"/>
      <c r="B606" s="779"/>
      <c r="C606" s="779"/>
      <c r="D606" s="779"/>
      <c r="E606" s="779"/>
      <c r="F606" s="779"/>
      <c r="G606" s="779"/>
      <c r="H606" s="779"/>
      <c r="I606" s="779"/>
      <c r="J606" s="776"/>
    </row>
    <row r="607" spans="1:15" x14ac:dyDescent="0.25">
      <c r="A607" s="775"/>
      <c r="B607" s="779"/>
      <c r="C607" s="779"/>
      <c r="D607" s="779"/>
      <c r="E607" s="779"/>
      <c r="F607" s="779"/>
      <c r="G607" s="779"/>
      <c r="H607" s="779"/>
      <c r="I607" s="779"/>
      <c r="J607" s="776"/>
    </row>
    <row r="608" spans="1:15" x14ac:dyDescent="0.25">
      <c r="A608" s="775"/>
      <c r="B608" s="779"/>
      <c r="C608" s="779"/>
      <c r="D608" s="779"/>
      <c r="E608" s="779"/>
      <c r="F608" s="779"/>
      <c r="G608" s="779"/>
      <c r="H608" s="779"/>
      <c r="I608" s="779"/>
      <c r="J608" s="776"/>
    </row>
    <row r="609" spans="1:10" x14ac:dyDescent="0.25">
      <c r="A609" s="775"/>
      <c r="B609" s="779"/>
      <c r="C609" s="779"/>
      <c r="D609" s="779"/>
      <c r="E609" s="779"/>
      <c r="F609" s="779"/>
      <c r="G609" s="779"/>
      <c r="H609" s="779"/>
      <c r="I609" s="779"/>
      <c r="J609" s="776"/>
    </row>
    <row r="610" spans="1:10" x14ac:dyDescent="0.25">
      <c r="A610" s="775"/>
      <c r="B610" s="779"/>
      <c r="C610" s="779"/>
      <c r="D610" s="779"/>
      <c r="E610" s="779"/>
      <c r="F610" s="779"/>
      <c r="G610" s="779"/>
      <c r="H610" s="779"/>
      <c r="I610" s="779"/>
      <c r="J610" s="776"/>
    </row>
    <row r="611" spans="1:10" x14ac:dyDescent="0.25">
      <c r="A611" s="775"/>
      <c r="B611" s="779"/>
      <c r="C611" s="779"/>
      <c r="D611" s="779"/>
      <c r="E611" s="779"/>
      <c r="F611" s="779"/>
      <c r="G611" s="779"/>
      <c r="H611" s="779"/>
      <c r="I611" s="779"/>
      <c r="J611" s="776"/>
    </row>
    <row r="612" spans="1:10" x14ac:dyDescent="0.25">
      <c r="A612" s="775"/>
      <c r="B612" s="779"/>
      <c r="C612" s="779"/>
      <c r="D612" s="779"/>
      <c r="E612" s="779"/>
      <c r="F612" s="779"/>
      <c r="G612" s="779"/>
      <c r="H612" s="779"/>
      <c r="I612" s="779"/>
      <c r="J612" s="776"/>
    </row>
    <row r="613" spans="1:10" x14ac:dyDescent="0.25">
      <c r="A613" s="775"/>
      <c r="B613" s="779"/>
      <c r="C613" s="779"/>
      <c r="D613" s="779"/>
      <c r="E613" s="779"/>
      <c r="F613" s="779"/>
      <c r="G613" s="779"/>
      <c r="H613" s="779"/>
      <c r="I613" s="780" t="s">
        <v>800</v>
      </c>
      <c r="J613" s="776"/>
    </row>
    <row r="614" spans="1:10" ht="15.75" thickBot="1" x14ac:dyDescent="0.3">
      <c r="A614" s="781"/>
      <c r="B614" s="782"/>
      <c r="C614" s="782"/>
      <c r="D614" s="782"/>
      <c r="E614" s="782"/>
      <c r="F614" s="782"/>
      <c r="G614" s="782"/>
      <c r="H614" s="782"/>
      <c r="I614" s="782"/>
      <c r="J614" s="783"/>
    </row>
  </sheetData>
  <mergeCells count="16">
    <mergeCell ref="A5:I5"/>
    <mergeCell ref="A1:I1"/>
    <mergeCell ref="A2:I2"/>
    <mergeCell ref="A3:J3"/>
    <mergeCell ref="L3:R3"/>
    <mergeCell ref="A4:I4"/>
    <mergeCell ref="B281:J326"/>
    <mergeCell ref="B337:J382"/>
    <mergeCell ref="B395:J440"/>
    <mergeCell ref="B453:J498"/>
    <mergeCell ref="B7:I49"/>
    <mergeCell ref="A54:J55"/>
    <mergeCell ref="B57:I97"/>
    <mergeCell ref="B114:I157"/>
    <mergeCell ref="B169:I212"/>
    <mergeCell ref="B226:J270"/>
  </mergeCells>
  <pageMargins left="0.43307086614173229" right="0.35433070866141736" top="0.995" bottom="0.64" header="0.31496062992125984" footer="0.31496062992125984"/>
  <pageSetup paperSize="9" scale="86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1985" r:id="rId4">
          <objectPr defaultSize="0" r:id="rId5">
            <anchor moveWithCells="1">
              <from>
                <xdr:col>0</xdr:col>
                <xdr:colOff>66675</xdr:colOff>
                <xdr:row>5</xdr:row>
                <xdr:rowOff>133350</xdr:rowOff>
              </from>
              <to>
                <xdr:col>9</xdr:col>
                <xdr:colOff>523875</xdr:colOff>
                <xdr:row>48</xdr:row>
                <xdr:rowOff>66675</xdr:rowOff>
              </to>
            </anchor>
          </objectPr>
        </oleObject>
      </mc:Choice>
      <mc:Fallback>
        <oleObject progId="Word.Document.12" shapeId="41985" r:id="rId4"/>
      </mc:Fallback>
    </mc:AlternateContent>
    <mc:AlternateContent xmlns:mc="http://schemas.openxmlformats.org/markup-compatibility/2006">
      <mc:Choice Requires="x14">
        <oleObject progId="Word.Document.12" shapeId="41986" r:id="rId6">
          <objectPr defaultSize="0" r:id="rId7">
            <anchor moveWithCells="1">
              <from>
                <xdr:col>0</xdr:col>
                <xdr:colOff>38100</xdr:colOff>
                <xdr:row>56</xdr:row>
                <xdr:rowOff>47625</xdr:rowOff>
              </from>
              <to>
                <xdr:col>9</xdr:col>
                <xdr:colOff>371475</xdr:colOff>
                <xdr:row>99</xdr:row>
                <xdr:rowOff>142875</xdr:rowOff>
              </to>
            </anchor>
          </objectPr>
        </oleObject>
      </mc:Choice>
      <mc:Fallback>
        <oleObject progId="Word.Document.12" shapeId="41986" r:id="rId6"/>
      </mc:Fallback>
    </mc:AlternateContent>
    <mc:AlternateContent xmlns:mc="http://schemas.openxmlformats.org/markup-compatibility/2006">
      <mc:Choice Requires="x14">
        <oleObject progId="Word.Document.12" shapeId="41987" r:id="rId8">
          <objectPr defaultSize="0" r:id="rId9">
            <anchor moveWithCells="1">
              <from>
                <xdr:col>1</xdr:col>
                <xdr:colOff>28575</xdr:colOff>
                <xdr:row>112</xdr:row>
                <xdr:rowOff>171450</xdr:rowOff>
              </from>
              <to>
                <xdr:col>9</xdr:col>
                <xdr:colOff>723900</xdr:colOff>
                <xdr:row>155</xdr:row>
                <xdr:rowOff>38100</xdr:rowOff>
              </to>
            </anchor>
          </objectPr>
        </oleObject>
      </mc:Choice>
      <mc:Fallback>
        <oleObject progId="Word.Document.12" shapeId="41987" r:id="rId8"/>
      </mc:Fallback>
    </mc:AlternateContent>
    <mc:AlternateContent xmlns:mc="http://schemas.openxmlformats.org/markup-compatibility/2006">
      <mc:Choice Requires="x14">
        <oleObject progId="Word.Document.12" shapeId="41988" r:id="rId10">
          <objectPr defaultSize="0" r:id="rId11">
            <anchor moveWithCells="1">
              <from>
                <xdr:col>1</xdr:col>
                <xdr:colOff>0</xdr:colOff>
                <xdr:row>169</xdr:row>
                <xdr:rowOff>161925</xdr:rowOff>
              </from>
              <to>
                <xdr:col>9</xdr:col>
                <xdr:colOff>581025</xdr:colOff>
                <xdr:row>212</xdr:row>
                <xdr:rowOff>0</xdr:rowOff>
              </to>
            </anchor>
          </objectPr>
        </oleObject>
      </mc:Choice>
      <mc:Fallback>
        <oleObject progId="Word.Document.12" shapeId="41988" r:id="rId10"/>
      </mc:Fallback>
    </mc:AlternateContent>
    <mc:AlternateContent xmlns:mc="http://schemas.openxmlformats.org/markup-compatibility/2006">
      <mc:Choice Requires="x14">
        <oleObject progId="Word.Document.12" shapeId="41989" r:id="rId12">
          <objectPr defaultSize="0" r:id="rId13">
            <anchor moveWithCells="1">
              <from>
                <xdr:col>1</xdr:col>
                <xdr:colOff>0</xdr:colOff>
                <xdr:row>225</xdr:row>
                <xdr:rowOff>0</xdr:rowOff>
              </from>
              <to>
                <xdr:col>9</xdr:col>
                <xdr:colOff>647700</xdr:colOff>
                <xdr:row>267</xdr:row>
                <xdr:rowOff>66675</xdr:rowOff>
              </to>
            </anchor>
          </objectPr>
        </oleObject>
      </mc:Choice>
      <mc:Fallback>
        <oleObject progId="Word.Document.12" shapeId="41989" r:id="rId12"/>
      </mc:Fallback>
    </mc:AlternateContent>
    <mc:AlternateContent xmlns:mc="http://schemas.openxmlformats.org/markup-compatibility/2006">
      <mc:Choice Requires="x14">
        <oleObject progId="Word.Document.12" shapeId="41990" r:id="rId14">
          <objectPr defaultSize="0" r:id="rId15">
            <anchor moveWithCells="1">
              <from>
                <xdr:col>1</xdr:col>
                <xdr:colOff>0</xdr:colOff>
                <xdr:row>280</xdr:row>
                <xdr:rowOff>0</xdr:rowOff>
              </from>
              <to>
                <xdr:col>9</xdr:col>
                <xdr:colOff>647700</xdr:colOff>
                <xdr:row>323</xdr:row>
                <xdr:rowOff>38100</xdr:rowOff>
              </to>
            </anchor>
          </objectPr>
        </oleObject>
      </mc:Choice>
      <mc:Fallback>
        <oleObject progId="Word.Document.12" shapeId="41990" r:id="rId14"/>
      </mc:Fallback>
    </mc:AlternateContent>
    <mc:AlternateContent xmlns:mc="http://schemas.openxmlformats.org/markup-compatibility/2006">
      <mc:Choice Requires="x14">
        <oleObject progId="Word.Document.12" shapeId="41991" r:id="rId16">
          <objectPr defaultSize="0" r:id="rId17">
            <anchor moveWithCells="1">
              <from>
                <xdr:col>1</xdr:col>
                <xdr:colOff>0</xdr:colOff>
                <xdr:row>336</xdr:row>
                <xdr:rowOff>0</xdr:rowOff>
              </from>
              <to>
                <xdr:col>9</xdr:col>
                <xdr:colOff>638175</xdr:colOff>
                <xdr:row>380</xdr:row>
                <xdr:rowOff>95250</xdr:rowOff>
              </to>
            </anchor>
          </objectPr>
        </oleObject>
      </mc:Choice>
      <mc:Fallback>
        <oleObject progId="Word.Document.12" shapeId="41991" r:id="rId16"/>
      </mc:Fallback>
    </mc:AlternateContent>
    <mc:AlternateContent xmlns:mc="http://schemas.openxmlformats.org/markup-compatibility/2006">
      <mc:Choice Requires="x14">
        <oleObject progId="Word.Document.12" shapeId="41992" r:id="rId18">
          <objectPr defaultSize="0" r:id="rId19">
            <anchor moveWithCells="1">
              <from>
                <xdr:col>1</xdr:col>
                <xdr:colOff>0</xdr:colOff>
                <xdr:row>394</xdr:row>
                <xdr:rowOff>0</xdr:rowOff>
              </from>
              <to>
                <xdr:col>9</xdr:col>
                <xdr:colOff>638175</xdr:colOff>
                <xdr:row>438</xdr:row>
                <xdr:rowOff>142875</xdr:rowOff>
              </to>
            </anchor>
          </objectPr>
        </oleObject>
      </mc:Choice>
      <mc:Fallback>
        <oleObject progId="Word.Document.12" shapeId="41992" r:id="rId18"/>
      </mc:Fallback>
    </mc:AlternateContent>
    <mc:AlternateContent xmlns:mc="http://schemas.openxmlformats.org/markup-compatibility/2006">
      <mc:Choice Requires="x14">
        <oleObject progId="Word.Document.12" shapeId="41993" r:id="rId20">
          <objectPr defaultSize="0" r:id="rId21">
            <anchor moveWithCells="1">
              <from>
                <xdr:col>1</xdr:col>
                <xdr:colOff>0</xdr:colOff>
                <xdr:row>452</xdr:row>
                <xdr:rowOff>0</xdr:rowOff>
              </from>
              <to>
                <xdr:col>9</xdr:col>
                <xdr:colOff>647700</xdr:colOff>
                <xdr:row>496</xdr:row>
                <xdr:rowOff>104775</xdr:rowOff>
              </to>
            </anchor>
          </objectPr>
        </oleObject>
      </mc:Choice>
      <mc:Fallback>
        <oleObject progId="Word.Document.12" shapeId="41993" r:id="rId20"/>
      </mc:Fallback>
    </mc:AlternateContent>
    <mc:AlternateContent xmlns:mc="http://schemas.openxmlformats.org/markup-compatibility/2006">
      <mc:Choice Requires="x14">
        <oleObject progId="Word.Document.12" shapeId="41994" r:id="rId22">
          <objectPr defaultSize="0" r:id="rId23">
            <anchor moveWithCells="1">
              <from>
                <xdr:col>0</xdr:col>
                <xdr:colOff>152400</xdr:colOff>
                <xdr:row>511</xdr:row>
                <xdr:rowOff>19050</xdr:rowOff>
              </from>
              <to>
                <xdr:col>10</xdr:col>
                <xdr:colOff>161925</xdr:colOff>
                <xdr:row>554</xdr:row>
                <xdr:rowOff>152400</xdr:rowOff>
              </to>
            </anchor>
          </objectPr>
        </oleObject>
      </mc:Choice>
      <mc:Fallback>
        <oleObject progId="Word.Document.12" shapeId="41994" r:id="rId22"/>
      </mc:Fallback>
    </mc:AlternateContent>
    <mc:AlternateContent xmlns:mc="http://schemas.openxmlformats.org/markup-compatibility/2006">
      <mc:Choice Requires="x14">
        <oleObject progId="Word.Document.12" shapeId="41995" r:id="rId24">
          <objectPr defaultSize="0" r:id="rId25">
            <anchor moveWithCells="1">
              <from>
                <xdr:col>1</xdr:col>
                <xdr:colOff>0</xdr:colOff>
                <xdr:row>568</xdr:row>
                <xdr:rowOff>161925</xdr:rowOff>
              </from>
              <to>
                <xdr:col>9</xdr:col>
                <xdr:colOff>647700</xdr:colOff>
                <xdr:row>611</xdr:row>
                <xdr:rowOff>123825</xdr:rowOff>
              </to>
            </anchor>
          </objectPr>
        </oleObject>
      </mc:Choice>
      <mc:Fallback>
        <oleObject progId="Word.Document.12" shapeId="41995" r:id="rId2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H57"/>
  <sheetViews>
    <sheetView view="pageBreakPreview" topLeftCell="A31" zoomScaleNormal="100" zoomScaleSheetLayoutView="100" workbookViewId="0">
      <selection activeCell="F24" sqref="F24"/>
    </sheetView>
  </sheetViews>
  <sheetFormatPr baseColWidth="10" defaultColWidth="11.42578125" defaultRowHeight="16.5" x14ac:dyDescent="0.25"/>
  <cols>
    <col min="1" max="1" width="1.140625" style="327" customWidth="1"/>
    <col min="2" max="2" width="31.7109375" style="327" customWidth="1"/>
    <col min="3" max="4" width="14.28515625" style="162" customWidth="1"/>
    <col min="5" max="5" width="13.140625" style="162" customWidth="1"/>
    <col min="6" max="6" width="14" style="162" customWidth="1"/>
    <col min="7" max="7" width="15" style="162" customWidth="1"/>
    <col min="8" max="8" width="14.28515625" style="162" customWidth="1"/>
    <col min="9" max="16384" width="11.42578125" style="162"/>
  </cols>
  <sheetData>
    <row r="1" spans="1:8" x14ac:dyDescent="0.25">
      <c r="A1" s="816" t="s">
        <v>76</v>
      </c>
      <c r="B1" s="816"/>
      <c r="C1" s="816"/>
      <c r="D1" s="816"/>
      <c r="E1" s="816"/>
      <c r="F1" s="816"/>
      <c r="G1" s="816"/>
      <c r="H1" s="816"/>
    </row>
    <row r="2" spans="1:8" s="226" customFormat="1" ht="15.75" x14ac:dyDescent="0.25">
      <c r="A2" s="816" t="s">
        <v>31</v>
      </c>
      <c r="B2" s="816"/>
      <c r="C2" s="816"/>
      <c r="D2" s="816"/>
      <c r="E2" s="816"/>
      <c r="F2" s="816"/>
      <c r="G2" s="816"/>
      <c r="H2" s="816"/>
    </row>
    <row r="3" spans="1:8" s="226" customFormat="1" x14ac:dyDescent="0.25">
      <c r="A3" s="817" t="s">
        <v>642</v>
      </c>
      <c r="B3" s="817"/>
      <c r="C3" s="817"/>
      <c r="D3" s="817"/>
      <c r="E3" s="817"/>
      <c r="F3" s="817"/>
      <c r="G3" s="817"/>
      <c r="H3" s="817"/>
    </row>
    <row r="4" spans="1:8" s="226" customFormat="1" x14ac:dyDescent="0.25">
      <c r="A4" s="817" t="s">
        <v>647</v>
      </c>
      <c r="B4" s="817"/>
      <c r="C4" s="817"/>
      <c r="D4" s="817"/>
      <c r="E4" s="817"/>
      <c r="F4" s="817"/>
      <c r="G4" s="817"/>
      <c r="H4" s="817"/>
    </row>
    <row r="5" spans="1:8" s="228" customFormat="1" ht="17.25" thickBot="1" x14ac:dyDescent="0.3">
      <c r="A5" s="227"/>
      <c r="B5" s="227"/>
      <c r="C5" s="818" t="s">
        <v>78</v>
      </c>
      <c r="D5" s="818"/>
      <c r="E5" s="818"/>
      <c r="F5" s="818"/>
      <c r="G5" s="818"/>
      <c r="H5" s="74"/>
    </row>
    <row r="6" spans="1:8" s="284" customFormat="1" ht="38.25" x14ac:dyDescent="0.25">
      <c r="A6" s="858" t="s">
        <v>273</v>
      </c>
      <c r="B6" s="859"/>
      <c r="C6" s="281" t="s">
        <v>274</v>
      </c>
      <c r="D6" s="281" t="s">
        <v>275</v>
      </c>
      <c r="E6" s="281" t="s">
        <v>276</v>
      </c>
      <c r="F6" s="282" t="s">
        <v>277</v>
      </c>
      <c r="G6" s="282" t="s">
        <v>278</v>
      </c>
      <c r="H6" s="283" t="s">
        <v>279</v>
      </c>
    </row>
    <row r="7" spans="1:8" s="284" customFormat="1" ht="17.25" thickBot="1" x14ac:dyDescent="0.3">
      <c r="A7" s="860"/>
      <c r="B7" s="861"/>
      <c r="C7" s="285" t="s">
        <v>280</v>
      </c>
      <c r="D7" s="285" t="s">
        <v>281</v>
      </c>
      <c r="E7" s="285" t="s">
        <v>282</v>
      </c>
      <c r="F7" s="286" t="s">
        <v>283</v>
      </c>
      <c r="G7" s="286" t="s">
        <v>284</v>
      </c>
      <c r="H7" s="287" t="s">
        <v>285</v>
      </c>
    </row>
    <row r="8" spans="1:8" s="284" customFormat="1" ht="8.25" customHeight="1" x14ac:dyDescent="0.25">
      <c r="A8" s="288"/>
      <c r="B8" s="289"/>
      <c r="C8" s="290"/>
      <c r="D8" s="290"/>
      <c r="E8" s="328"/>
      <c r="F8" s="290"/>
      <c r="G8" s="290"/>
      <c r="H8" s="329"/>
    </row>
    <row r="9" spans="1:8" ht="17.100000000000001" customHeight="1" x14ac:dyDescent="0.25">
      <c r="A9" s="291"/>
      <c r="B9" s="292" t="s">
        <v>143</v>
      </c>
      <c r="C9" s="624"/>
      <c r="D9" s="624"/>
      <c r="E9" s="622">
        <f>C9+D9</f>
        <v>0</v>
      </c>
      <c r="F9" s="624"/>
      <c r="G9" s="624"/>
      <c r="H9" s="623">
        <f>G9-C9</f>
        <v>0</v>
      </c>
    </row>
    <row r="10" spans="1:8" ht="17.100000000000001" customHeight="1" x14ac:dyDescent="0.25">
      <c r="A10" s="291"/>
      <c r="B10" s="292" t="s">
        <v>145</v>
      </c>
      <c r="C10" s="624"/>
      <c r="D10" s="624"/>
      <c r="E10" s="622">
        <f t="shared" ref="E10:E24" si="0">C10+D10</f>
        <v>0</v>
      </c>
      <c r="F10" s="624"/>
      <c r="G10" s="624"/>
      <c r="H10" s="623">
        <f t="shared" ref="H10:H24" si="1">G10-C10</f>
        <v>0</v>
      </c>
    </row>
    <row r="11" spans="1:8" ht="17.100000000000001" customHeight="1" x14ac:dyDescent="0.25">
      <c r="A11" s="291"/>
      <c r="B11" s="292" t="s">
        <v>286</v>
      </c>
      <c r="C11" s="624"/>
      <c r="D11" s="624"/>
      <c r="E11" s="622">
        <f t="shared" si="0"/>
        <v>0</v>
      </c>
      <c r="F11" s="624"/>
      <c r="G11" s="624"/>
      <c r="H11" s="623">
        <f t="shared" si="1"/>
        <v>0</v>
      </c>
    </row>
    <row r="12" spans="1:8" ht="17.100000000000001" customHeight="1" x14ac:dyDescent="0.25">
      <c r="A12" s="291"/>
      <c r="B12" s="292" t="s">
        <v>147</v>
      </c>
      <c r="C12" s="624"/>
      <c r="D12" s="624"/>
      <c r="E12" s="622">
        <f t="shared" si="0"/>
        <v>0</v>
      </c>
      <c r="F12" s="624"/>
      <c r="G12" s="624"/>
      <c r="H12" s="623">
        <f t="shared" si="1"/>
        <v>0</v>
      </c>
    </row>
    <row r="13" spans="1:8" ht="17.100000000000001" customHeight="1" x14ac:dyDescent="0.25">
      <c r="A13" s="291"/>
      <c r="B13" s="292" t="s">
        <v>287</v>
      </c>
      <c r="C13" s="622">
        <f>C14+C15</f>
        <v>0</v>
      </c>
      <c r="D13" s="622">
        <f>D14+D15</f>
        <v>0</v>
      </c>
      <c r="E13" s="622">
        <f t="shared" si="0"/>
        <v>0</v>
      </c>
      <c r="F13" s="622">
        <f>F14+F15</f>
        <v>0</v>
      </c>
      <c r="G13" s="622">
        <f>G14+G15</f>
        <v>0</v>
      </c>
      <c r="H13" s="623">
        <f t="shared" si="1"/>
        <v>0</v>
      </c>
    </row>
    <row r="14" spans="1:8" ht="17.100000000000001" customHeight="1" x14ac:dyDescent="0.25">
      <c r="A14" s="291"/>
      <c r="B14" s="292" t="s">
        <v>288</v>
      </c>
      <c r="C14" s="624"/>
      <c r="D14" s="624"/>
      <c r="E14" s="622">
        <f t="shared" si="0"/>
        <v>0</v>
      </c>
      <c r="F14" s="624"/>
      <c r="G14" s="624"/>
      <c r="H14" s="623">
        <f t="shared" si="1"/>
        <v>0</v>
      </c>
    </row>
    <row r="15" spans="1:8" ht="17.100000000000001" customHeight="1" x14ac:dyDescent="0.25">
      <c r="A15" s="291"/>
      <c r="B15" s="292" t="s">
        <v>289</v>
      </c>
      <c r="C15" s="624"/>
      <c r="D15" s="624"/>
      <c r="E15" s="622">
        <f t="shared" si="0"/>
        <v>0</v>
      </c>
      <c r="F15" s="624"/>
      <c r="G15" s="629"/>
      <c r="H15" s="623">
        <f t="shared" si="1"/>
        <v>0</v>
      </c>
    </row>
    <row r="16" spans="1:8" ht="17.100000000000001" customHeight="1" x14ac:dyDescent="0.25">
      <c r="A16" s="291"/>
      <c r="B16" s="292" t="s">
        <v>290</v>
      </c>
      <c r="C16" s="622">
        <f>C17+C18</f>
        <v>0</v>
      </c>
      <c r="D16" s="622">
        <f>D17+D18</f>
        <v>0</v>
      </c>
      <c r="E16" s="622">
        <f t="shared" si="0"/>
        <v>0</v>
      </c>
      <c r="F16" s="622">
        <f>F17+F18</f>
        <v>0</v>
      </c>
      <c r="G16" s="622">
        <f>G17+G18</f>
        <v>0</v>
      </c>
      <c r="H16" s="623">
        <f t="shared" si="1"/>
        <v>0</v>
      </c>
    </row>
    <row r="17" spans="1:8" ht="17.100000000000001" customHeight="1" x14ac:dyDescent="0.25">
      <c r="A17" s="291"/>
      <c r="B17" s="292" t="s">
        <v>288</v>
      </c>
      <c r="C17" s="624"/>
      <c r="D17" s="624"/>
      <c r="E17" s="622">
        <f t="shared" si="0"/>
        <v>0</v>
      </c>
      <c r="F17" s="624"/>
      <c r="G17" s="624"/>
      <c r="H17" s="623">
        <f t="shared" si="1"/>
        <v>0</v>
      </c>
    </row>
    <row r="18" spans="1:8" ht="17.100000000000001" customHeight="1" x14ac:dyDescent="0.25">
      <c r="A18" s="291"/>
      <c r="B18" s="292" t="s">
        <v>289</v>
      </c>
      <c r="C18" s="624"/>
      <c r="D18" s="624"/>
      <c r="E18" s="622">
        <f t="shared" si="0"/>
        <v>0</v>
      </c>
      <c r="F18" s="624"/>
      <c r="G18" s="624"/>
      <c r="H18" s="623">
        <f t="shared" si="1"/>
        <v>0</v>
      </c>
    </row>
    <row r="19" spans="1:8" ht="17.100000000000001" customHeight="1" x14ac:dyDescent="0.25">
      <c r="A19" s="291"/>
      <c r="B19" s="292" t="s">
        <v>291</v>
      </c>
      <c r="C19" s="624">
        <v>1064880</v>
      </c>
      <c r="D19" s="624"/>
      <c r="E19" s="622">
        <f t="shared" si="0"/>
        <v>1064880</v>
      </c>
      <c r="F19" s="624">
        <v>428044</v>
      </c>
      <c r="G19" s="624">
        <v>428044</v>
      </c>
      <c r="H19" s="623">
        <f t="shared" si="1"/>
        <v>-636836</v>
      </c>
    </row>
    <row r="20" spans="1:8" ht="17.100000000000001" customHeight="1" x14ac:dyDescent="0.25">
      <c r="A20" s="291"/>
      <c r="B20" s="292" t="s">
        <v>153</v>
      </c>
      <c r="C20" s="624">
        <v>14259058</v>
      </c>
      <c r="D20" s="624"/>
      <c r="E20" s="622">
        <f t="shared" si="0"/>
        <v>14259058</v>
      </c>
      <c r="F20" s="624">
        <v>8044849</v>
      </c>
      <c r="G20" s="624">
        <v>8044849</v>
      </c>
      <c r="H20" s="623">
        <f t="shared" si="1"/>
        <v>-6214209</v>
      </c>
    </row>
    <row r="21" spans="1:8" ht="25.5" x14ac:dyDescent="0.25">
      <c r="A21" s="291"/>
      <c r="B21" s="292" t="s">
        <v>292</v>
      </c>
      <c r="C21" s="624"/>
      <c r="D21" s="624"/>
      <c r="E21" s="622">
        <f t="shared" si="0"/>
        <v>0</v>
      </c>
      <c r="F21" s="624"/>
      <c r="G21" s="624"/>
      <c r="H21" s="623">
        <f t="shared" si="1"/>
        <v>0</v>
      </c>
    </row>
    <row r="22" spans="1:8" ht="25.5" x14ac:dyDescent="0.25">
      <c r="A22" s="291"/>
      <c r="B22" s="292" t="s">
        <v>293</v>
      </c>
      <c r="C22" s="624"/>
      <c r="D22" s="624"/>
      <c r="E22" s="622">
        <f t="shared" si="0"/>
        <v>0</v>
      </c>
      <c r="F22" s="624"/>
      <c r="G22" s="624"/>
      <c r="H22" s="623">
        <f t="shared" si="1"/>
        <v>0</v>
      </c>
    </row>
    <row r="23" spans="1:8" ht="17.100000000000001" customHeight="1" thickBot="1" x14ac:dyDescent="0.3">
      <c r="A23" s="293"/>
      <c r="B23" s="294" t="s">
        <v>294</v>
      </c>
      <c r="C23" s="625"/>
      <c r="D23" s="625"/>
      <c r="E23" s="626">
        <f t="shared" si="0"/>
        <v>0</v>
      </c>
      <c r="F23" s="625"/>
      <c r="G23" s="625"/>
      <c r="H23" s="627">
        <f t="shared" si="1"/>
        <v>0</v>
      </c>
    </row>
    <row r="24" spans="1:8" s="330" customFormat="1" ht="28.5" customHeight="1" thickBot="1" x14ac:dyDescent="0.3">
      <c r="A24" s="862" t="s">
        <v>204</v>
      </c>
      <c r="B24" s="863"/>
      <c r="C24" s="630">
        <f>C9+C10+C11+C12+C13+C16+C19+C20+C21+C22+C23</f>
        <v>15323938</v>
      </c>
      <c r="D24" s="630">
        <f>D9+D10+D11+D12+D13+D16+D19+D20+D21+D22+D23</f>
        <v>0</v>
      </c>
      <c r="E24" s="630">
        <f t="shared" si="0"/>
        <v>15323938</v>
      </c>
      <c r="F24" s="630">
        <f>F9+F10+F11+F12+F13+F16+F19+F20+F21+F22+F23</f>
        <v>8472893</v>
      </c>
      <c r="G24" s="630">
        <f>G9+G10+G11+G12+G13+G16+G19+G20+G21+G22+G23</f>
        <v>8472893</v>
      </c>
      <c r="H24" s="631">
        <f t="shared" si="1"/>
        <v>-6851045</v>
      </c>
    </row>
    <row r="25" spans="1:8" ht="22.5" customHeight="1" thickBot="1" x14ac:dyDescent="0.3">
      <c r="A25" s="295"/>
      <c r="B25" s="295"/>
      <c r="C25" s="296"/>
      <c r="D25" s="296"/>
      <c r="E25" s="296"/>
      <c r="F25" s="297"/>
      <c r="G25" s="581" t="s">
        <v>295</v>
      </c>
      <c r="H25" s="582" t="str">
        <f>IF(($G$24-$C$24)&lt;=0,"",$G$24-$C$24)</f>
        <v/>
      </c>
    </row>
    <row r="26" spans="1:8" ht="10.5" customHeight="1" thickBot="1" x14ac:dyDescent="0.3">
      <c r="A26" s="298"/>
      <c r="B26" s="298"/>
      <c r="C26" s="299"/>
      <c r="D26" s="299"/>
      <c r="E26" s="299"/>
      <c r="F26" s="300"/>
      <c r="G26" s="301"/>
      <c r="H26" s="297"/>
    </row>
    <row r="27" spans="1:8" s="284" customFormat="1" ht="38.25" x14ac:dyDescent="0.25">
      <c r="A27" s="866" t="s">
        <v>296</v>
      </c>
      <c r="B27" s="867"/>
      <c r="C27" s="302" t="s">
        <v>274</v>
      </c>
      <c r="D27" s="302" t="s">
        <v>275</v>
      </c>
      <c r="E27" s="302" t="s">
        <v>276</v>
      </c>
      <c r="F27" s="282" t="s">
        <v>277</v>
      </c>
      <c r="G27" s="282" t="s">
        <v>278</v>
      </c>
      <c r="H27" s="283" t="s">
        <v>279</v>
      </c>
    </row>
    <row r="28" spans="1:8" s="284" customFormat="1" ht="17.25" thickBot="1" x14ac:dyDescent="0.3">
      <c r="A28" s="303"/>
      <c r="B28" s="304" t="s">
        <v>297</v>
      </c>
      <c r="C28" s="305" t="s">
        <v>280</v>
      </c>
      <c r="D28" s="305" t="s">
        <v>281</v>
      </c>
      <c r="E28" s="305" t="s">
        <v>282</v>
      </c>
      <c r="F28" s="306" t="s">
        <v>283</v>
      </c>
      <c r="G28" s="306" t="s">
        <v>284</v>
      </c>
      <c r="H28" s="307" t="s">
        <v>285</v>
      </c>
    </row>
    <row r="29" spans="1:8" s="310" customFormat="1" ht="17.100000000000001" customHeight="1" x14ac:dyDescent="0.25">
      <c r="A29" s="308" t="s">
        <v>298</v>
      </c>
      <c r="B29" s="309"/>
      <c r="C29" s="632">
        <f>SUM(C30:C33,C36,C39:C40)</f>
        <v>14259058</v>
      </c>
      <c r="D29" s="632">
        <f>SUM(D30:D33,D36,D39:D40)</f>
        <v>0</v>
      </c>
      <c r="E29" s="632">
        <f>SUM(E30:E33,E36,E39:E40)</f>
        <v>14259058</v>
      </c>
      <c r="F29" s="632">
        <f t="shared" ref="F29:H29" si="2">SUM(F30:F33,F36,F39:F40)</f>
        <v>8044849</v>
      </c>
      <c r="G29" s="632">
        <f t="shared" si="2"/>
        <v>8044849</v>
      </c>
      <c r="H29" s="632">
        <f t="shared" si="2"/>
        <v>-6214209</v>
      </c>
    </row>
    <row r="30" spans="1:8" s="310" customFormat="1" ht="17.100000000000001" customHeight="1" x14ac:dyDescent="0.25">
      <c r="A30" s="311" t="s">
        <v>299</v>
      </c>
      <c r="B30" s="312"/>
      <c r="C30" s="633"/>
      <c r="D30" s="633"/>
      <c r="E30" s="634">
        <f>C30+D30</f>
        <v>0</v>
      </c>
      <c r="F30" s="633"/>
      <c r="G30" s="633"/>
      <c r="H30" s="635">
        <f>G30-C30</f>
        <v>0</v>
      </c>
    </row>
    <row r="31" spans="1:8" s="310" customFormat="1" ht="17.100000000000001" customHeight="1" x14ac:dyDescent="0.25">
      <c r="A31" s="311" t="s">
        <v>286</v>
      </c>
      <c r="B31" s="312"/>
      <c r="C31" s="633"/>
      <c r="D31" s="633"/>
      <c r="E31" s="634">
        <f t="shared" ref="E31:E49" si="3">C31+D31</f>
        <v>0</v>
      </c>
      <c r="F31" s="633"/>
      <c r="G31" s="633"/>
      <c r="H31" s="635">
        <f t="shared" ref="H31:H49" si="4">G31-C31</f>
        <v>0</v>
      </c>
    </row>
    <row r="32" spans="1:8" s="310" customFormat="1" x14ac:dyDescent="0.25">
      <c r="A32" s="864" t="s">
        <v>147</v>
      </c>
      <c r="B32" s="865"/>
      <c r="C32" s="633"/>
      <c r="D32" s="633"/>
      <c r="E32" s="634">
        <f t="shared" si="3"/>
        <v>0</v>
      </c>
      <c r="F32" s="633"/>
      <c r="G32" s="633"/>
      <c r="H32" s="635">
        <f t="shared" si="4"/>
        <v>0</v>
      </c>
    </row>
    <row r="33" spans="1:8" s="310" customFormat="1" ht="17.100000000000001" customHeight="1" x14ac:dyDescent="0.25">
      <c r="A33" s="311" t="s">
        <v>287</v>
      </c>
      <c r="B33" s="312"/>
      <c r="C33" s="636">
        <f>C34+C35</f>
        <v>0</v>
      </c>
      <c r="D33" s="636">
        <f>D34+D35</f>
        <v>0</v>
      </c>
      <c r="E33" s="636">
        <f>SUM(E34:E35)</f>
        <v>0</v>
      </c>
      <c r="F33" s="636">
        <f>F34+F35</f>
        <v>0</v>
      </c>
      <c r="G33" s="636">
        <f>G34+G35</f>
        <v>0</v>
      </c>
      <c r="H33" s="637">
        <f>SUM(H34:H35)</f>
        <v>0</v>
      </c>
    </row>
    <row r="34" spans="1:8" s="310" customFormat="1" ht="17.100000000000001" customHeight="1" x14ac:dyDescent="0.25">
      <c r="A34" s="313" t="s">
        <v>300</v>
      </c>
      <c r="B34" s="314"/>
      <c r="C34" s="633"/>
      <c r="D34" s="633"/>
      <c r="E34" s="634">
        <f t="shared" si="3"/>
        <v>0</v>
      </c>
      <c r="F34" s="633"/>
      <c r="G34" s="633"/>
      <c r="H34" s="635">
        <f t="shared" si="4"/>
        <v>0</v>
      </c>
    </row>
    <row r="35" spans="1:8" s="310" customFormat="1" ht="17.100000000000001" customHeight="1" x14ac:dyDescent="0.25">
      <c r="A35" s="313" t="s">
        <v>301</v>
      </c>
      <c r="B35" s="314"/>
      <c r="C35" s="633"/>
      <c r="D35" s="633"/>
      <c r="E35" s="634">
        <f t="shared" si="3"/>
        <v>0</v>
      </c>
      <c r="F35" s="633"/>
      <c r="G35" s="633"/>
      <c r="H35" s="635">
        <f t="shared" si="4"/>
        <v>0</v>
      </c>
    </row>
    <row r="36" spans="1:8" ht="17.100000000000001" customHeight="1" x14ac:dyDescent="0.25">
      <c r="A36" s="864" t="s">
        <v>290</v>
      </c>
      <c r="B36" s="865"/>
      <c r="C36" s="638">
        <f>C37+C38</f>
        <v>0</v>
      </c>
      <c r="D36" s="638">
        <f>D37+D38</f>
        <v>0</v>
      </c>
      <c r="E36" s="636">
        <f>SUM(E37:E38)</f>
        <v>0</v>
      </c>
      <c r="F36" s="638">
        <f>F37+F38</f>
        <v>0</v>
      </c>
      <c r="G36" s="638">
        <f>G37+G38</f>
        <v>0</v>
      </c>
      <c r="H36" s="637">
        <f>SUM(H37:H38)</f>
        <v>0</v>
      </c>
    </row>
    <row r="37" spans="1:8" ht="17.100000000000001" customHeight="1" x14ac:dyDescent="0.25">
      <c r="A37" s="721"/>
      <c r="B37" s="315" t="s">
        <v>300</v>
      </c>
      <c r="C37" s="639"/>
      <c r="D37" s="639"/>
      <c r="E37" s="634">
        <f t="shared" si="3"/>
        <v>0</v>
      </c>
      <c r="F37" s="639"/>
      <c r="G37" s="639"/>
      <c r="H37" s="635">
        <f t="shared" si="4"/>
        <v>0</v>
      </c>
    </row>
    <row r="38" spans="1:8" ht="17.100000000000001" customHeight="1" x14ac:dyDescent="0.25">
      <c r="A38" s="721"/>
      <c r="B38" s="315" t="s">
        <v>301</v>
      </c>
      <c r="C38" s="639"/>
      <c r="D38" s="639"/>
      <c r="E38" s="634">
        <f t="shared" si="3"/>
        <v>0</v>
      </c>
      <c r="F38" s="639"/>
      <c r="G38" s="639"/>
      <c r="H38" s="635">
        <f t="shared" si="4"/>
        <v>0</v>
      </c>
    </row>
    <row r="39" spans="1:8" s="310" customFormat="1" x14ac:dyDescent="0.25">
      <c r="A39" s="311" t="s">
        <v>153</v>
      </c>
      <c r="B39" s="312"/>
      <c r="C39" s="633">
        <v>14259058</v>
      </c>
      <c r="D39" s="633"/>
      <c r="E39" s="634">
        <f t="shared" si="3"/>
        <v>14259058</v>
      </c>
      <c r="F39" s="633">
        <v>8044849</v>
      </c>
      <c r="G39" s="633">
        <v>8044849</v>
      </c>
      <c r="H39" s="635">
        <f t="shared" si="4"/>
        <v>-6214209</v>
      </c>
    </row>
    <row r="40" spans="1:8" s="310" customFormat="1" ht="27.75" customHeight="1" x14ac:dyDescent="0.25">
      <c r="A40" s="864" t="s">
        <v>302</v>
      </c>
      <c r="B40" s="865"/>
      <c r="C40" s="633"/>
      <c r="D40" s="633"/>
      <c r="E40" s="634">
        <f t="shared" si="3"/>
        <v>0</v>
      </c>
      <c r="F40" s="633"/>
      <c r="G40" s="633"/>
      <c r="H40" s="635">
        <f t="shared" si="4"/>
        <v>0</v>
      </c>
    </row>
    <row r="41" spans="1:8" s="310" customFormat="1" ht="8.25" customHeight="1" x14ac:dyDescent="0.25">
      <c r="A41" s="316"/>
      <c r="B41" s="317"/>
      <c r="C41" s="633"/>
      <c r="D41" s="633"/>
      <c r="E41" s="634"/>
      <c r="F41" s="633"/>
      <c r="G41" s="633"/>
      <c r="H41" s="635"/>
    </row>
    <row r="42" spans="1:8" s="310" customFormat="1" ht="17.100000000000001" customHeight="1" x14ac:dyDescent="0.25">
      <c r="A42" s="316" t="s">
        <v>303</v>
      </c>
      <c r="B42" s="317"/>
      <c r="C42" s="632">
        <f t="shared" ref="C42:D42" si="5">SUM(C43:C46)</f>
        <v>1064880</v>
      </c>
      <c r="D42" s="632">
        <f t="shared" si="5"/>
        <v>0</v>
      </c>
      <c r="E42" s="632">
        <f>SUM(E43:E46)</f>
        <v>1064880</v>
      </c>
      <c r="F42" s="632">
        <f>SUM(F43:F46)</f>
        <v>428044</v>
      </c>
      <c r="G42" s="632">
        <f>SUM(G43:G46)</f>
        <v>428044</v>
      </c>
      <c r="H42" s="632">
        <f>SUM(H43:H46)</f>
        <v>-636836</v>
      </c>
    </row>
    <row r="43" spans="1:8" s="310" customFormat="1" ht="17.100000000000001" customHeight="1" x14ac:dyDescent="0.25">
      <c r="A43" s="318"/>
      <c r="B43" s="319" t="s">
        <v>304</v>
      </c>
      <c r="C43" s="633"/>
      <c r="D43" s="633"/>
      <c r="E43" s="634">
        <f t="shared" si="3"/>
        <v>0</v>
      </c>
      <c r="F43" s="633"/>
      <c r="G43" s="633"/>
      <c r="H43" s="635">
        <f t="shared" si="4"/>
        <v>0</v>
      </c>
    </row>
    <row r="44" spans="1:8" s="310" customFormat="1" ht="17.100000000000001" customHeight="1" x14ac:dyDescent="0.25">
      <c r="A44" s="318"/>
      <c r="B44" s="319" t="s">
        <v>305</v>
      </c>
      <c r="C44" s="633">
        <v>1064880</v>
      </c>
      <c r="D44" s="633"/>
      <c r="E44" s="634">
        <f t="shared" si="3"/>
        <v>1064880</v>
      </c>
      <c r="F44" s="633">
        <v>428044</v>
      </c>
      <c r="G44" s="633">
        <v>428044</v>
      </c>
      <c r="H44" s="635">
        <f t="shared" si="4"/>
        <v>-636836</v>
      </c>
    </row>
    <row r="45" spans="1:8" s="310" customFormat="1" ht="29.25" customHeight="1" x14ac:dyDescent="0.25">
      <c r="A45" s="318"/>
      <c r="B45" s="320" t="s">
        <v>306</v>
      </c>
      <c r="C45" s="633"/>
      <c r="D45" s="633"/>
      <c r="E45" s="634">
        <f t="shared" si="3"/>
        <v>0</v>
      </c>
      <c r="F45" s="633"/>
      <c r="G45" s="633"/>
      <c r="H45" s="635">
        <f t="shared" si="4"/>
        <v>0</v>
      </c>
    </row>
    <row r="46" spans="1:8" s="310" customFormat="1" ht="29.25" customHeight="1" x14ac:dyDescent="0.25">
      <c r="A46" s="318"/>
      <c r="B46" s="320" t="s">
        <v>307</v>
      </c>
      <c r="C46" s="633"/>
      <c r="D46" s="633"/>
      <c r="E46" s="634">
        <f t="shared" si="3"/>
        <v>0</v>
      </c>
      <c r="F46" s="633"/>
      <c r="G46" s="633"/>
      <c r="H46" s="635">
        <f t="shared" si="4"/>
        <v>0</v>
      </c>
    </row>
    <row r="47" spans="1:8" s="310" customFormat="1" ht="6" customHeight="1" x14ac:dyDescent="0.25">
      <c r="A47" s="318"/>
      <c r="B47" s="319"/>
      <c r="C47" s="633"/>
      <c r="D47" s="633"/>
      <c r="E47" s="634"/>
      <c r="F47" s="633"/>
      <c r="G47" s="633"/>
      <c r="H47" s="635"/>
    </row>
    <row r="48" spans="1:8" s="310" customFormat="1" ht="17.100000000000001" customHeight="1" x14ac:dyDescent="0.25">
      <c r="A48" s="316" t="s">
        <v>308</v>
      </c>
      <c r="B48" s="317"/>
      <c r="C48" s="632">
        <f>C49</f>
        <v>0</v>
      </c>
      <c r="D48" s="632">
        <f t="shared" ref="D48:H48" si="6">D49</f>
        <v>0</v>
      </c>
      <c r="E48" s="632">
        <f t="shared" si="6"/>
        <v>0</v>
      </c>
      <c r="F48" s="632">
        <f t="shared" si="6"/>
        <v>0</v>
      </c>
      <c r="G48" s="632">
        <f t="shared" si="6"/>
        <v>0</v>
      </c>
      <c r="H48" s="632">
        <f t="shared" si="6"/>
        <v>0</v>
      </c>
    </row>
    <row r="49" spans="1:8" s="310" customFormat="1" ht="17.100000000000001" customHeight="1" x14ac:dyDescent="0.25">
      <c r="A49" s="316"/>
      <c r="B49" s="321" t="s">
        <v>294</v>
      </c>
      <c r="C49" s="633"/>
      <c r="D49" s="633"/>
      <c r="E49" s="634">
        <f t="shared" si="3"/>
        <v>0</v>
      </c>
      <c r="F49" s="633"/>
      <c r="G49" s="633"/>
      <c r="H49" s="635">
        <f t="shared" si="4"/>
        <v>0</v>
      </c>
    </row>
    <row r="50" spans="1:8" s="310" customFormat="1" ht="12.75" customHeight="1" thickBot="1" x14ac:dyDescent="0.3">
      <c r="A50" s="322"/>
      <c r="B50" s="323"/>
      <c r="C50" s="640"/>
      <c r="D50" s="640"/>
      <c r="E50" s="641"/>
      <c r="F50" s="640"/>
      <c r="G50" s="640"/>
      <c r="H50" s="642"/>
    </row>
    <row r="51" spans="1:8" ht="21.75" customHeight="1" thickBot="1" x14ac:dyDescent="0.3">
      <c r="A51" s="856" t="s">
        <v>204</v>
      </c>
      <c r="B51" s="857"/>
      <c r="C51" s="643">
        <f>C29+C42+C48</f>
        <v>15323938</v>
      </c>
      <c r="D51" s="643">
        <f t="shared" ref="D51:H51" si="7">D29+D42+D48</f>
        <v>0</v>
      </c>
      <c r="E51" s="643">
        <f t="shared" si="7"/>
        <v>15323938</v>
      </c>
      <c r="F51" s="643">
        <f t="shared" si="7"/>
        <v>8472893</v>
      </c>
      <c r="G51" s="643">
        <f t="shared" si="7"/>
        <v>8472893</v>
      </c>
      <c r="H51" s="643">
        <f t="shared" si="7"/>
        <v>-6851045</v>
      </c>
    </row>
    <row r="52" spans="1:8" ht="22.5" customHeight="1" thickBot="1" x14ac:dyDescent="0.3">
      <c r="A52" s="295"/>
      <c r="B52" s="295"/>
      <c r="C52" s="324"/>
      <c r="D52" s="324"/>
      <c r="E52" s="324"/>
      <c r="F52" s="325"/>
      <c r="G52" s="583" t="s">
        <v>295</v>
      </c>
      <c r="H52" s="584" t="str">
        <f>IF(($G$51-$C$51)&lt;=0,"",$G$51-$C$51)</f>
        <v/>
      </c>
    </row>
    <row r="53" spans="1:8" ht="8.25" customHeight="1" x14ac:dyDescent="0.25">
      <c r="A53" s="326"/>
      <c r="B53" s="162"/>
    </row>
    <row r="54" spans="1:8" x14ac:dyDescent="0.25">
      <c r="A54" s="331"/>
      <c r="B54" s="162"/>
      <c r="H54" s="580"/>
    </row>
    <row r="55" spans="1:8" x14ac:dyDescent="0.25">
      <c r="A55" s="332"/>
      <c r="B55" s="333" t="s">
        <v>309</v>
      </c>
      <c r="C55" s="334"/>
      <c r="D55" s="334"/>
      <c r="E55" s="334"/>
      <c r="F55" s="334"/>
      <c r="G55" s="334"/>
      <c r="H55" s="334"/>
    </row>
    <row r="56" spans="1:8" x14ac:dyDescent="0.25">
      <c r="A56" s="332"/>
      <c r="B56" s="333" t="s">
        <v>310</v>
      </c>
      <c r="C56" s="334"/>
      <c r="D56" s="334"/>
      <c r="E56" s="334"/>
      <c r="F56" s="334"/>
      <c r="G56" s="334"/>
      <c r="H56" s="334"/>
    </row>
    <row r="57" spans="1:8" x14ac:dyDescent="0.25">
      <c r="A57" s="332"/>
      <c r="B57" s="333"/>
      <c r="C57" s="334"/>
      <c r="D57" s="334"/>
      <c r="E57" s="334"/>
      <c r="F57" s="334"/>
      <c r="G57" s="334"/>
      <c r="H57" s="334"/>
    </row>
  </sheetData>
  <sheetProtection algorithmName="SHA-512" hashValue="WVgJUpAFay7VjPeF41i3mJOzEUJ/kAVcccF+OcRnLq4jHPWF35+ZJNJ4euurx4CtgCoirzj+/wO3bH6B1K6NKw==" saltValue="S28FFR/bpuzXCup06UjPCA==" spinCount="100000" sheet="1" objects="1" scenarios="1" insertHyperlinks="0"/>
  <mergeCells count="12">
    <mergeCell ref="A51:B51"/>
    <mergeCell ref="A1:H1"/>
    <mergeCell ref="A2:H2"/>
    <mergeCell ref="A3:H3"/>
    <mergeCell ref="A4:H4"/>
    <mergeCell ref="A6:B7"/>
    <mergeCell ref="A24:B24"/>
    <mergeCell ref="A32:B32"/>
    <mergeCell ref="A36:B36"/>
    <mergeCell ref="A40:B40"/>
    <mergeCell ref="A27:B27"/>
    <mergeCell ref="C5:G5"/>
  </mergeCells>
  <printOptions horizontalCentered="1"/>
  <pageMargins left="0.39370078740157483" right="0.39370078740157483" top="0.39370078740157483" bottom="0.51181102362204722" header="0.31496062992125984" footer="0.31496062992125984"/>
  <pageSetup scale="98" fitToHeight="2" orientation="landscape" r:id="rId1"/>
  <headerFooter>
    <oddFooter>&amp;RHoja &amp;P de &amp;N</oddFooter>
  </headerFooter>
  <rowBreaks count="1" manualBreakCount="1">
    <brk id="26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theme="7" tint="-0.249977111117893"/>
    <pageSetUpPr fitToPage="1"/>
  </sheetPr>
  <dimension ref="A1:E23"/>
  <sheetViews>
    <sheetView view="pageBreakPreview" topLeftCell="A13" zoomScaleNormal="100" zoomScaleSheetLayoutView="100" workbookViewId="0">
      <selection activeCell="D6" sqref="D6"/>
    </sheetView>
  </sheetViews>
  <sheetFormatPr baseColWidth="10" defaultColWidth="11.42578125" defaultRowHeight="16.5" x14ac:dyDescent="0.25"/>
  <cols>
    <col min="1" max="1" width="1.42578125" style="162" customWidth="1"/>
    <col min="2" max="2" width="43.85546875" style="162" customWidth="1"/>
    <col min="3" max="4" width="25.7109375" style="162" customWidth="1"/>
    <col min="5" max="5" width="62" style="330" customWidth="1"/>
    <col min="6" max="16384" width="11.42578125" style="162"/>
  </cols>
  <sheetData>
    <row r="1" spans="1:5" x14ac:dyDescent="0.25">
      <c r="A1" s="816" t="s">
        <v>76</v>
      </c>
      <c r="B1" s="816"/>
      <c r="C1" s="816"/>
      <c r="D1" s="816"/>
    </row>
    <row r="2" spans="1:5" s="226" customFormat="1" ht="15.75" x14ac:dyDescent="0.25">
      <c r="A2" s="816" t="s">
        <v>33</v>
      </c>
      <c r="B2" s="816"/>
      <c r="C2" s="816"/>
      <c r="D2" s="816"/>
      <c r="E2" s="556"/>
    </row>
    <row r="3" spans="1:5" s="226" customFormat="1" x14ac:dyDescent="0.25">
      <c r="A3" s="817" t="s">
        <v>642</v>
      </c>
      <c r="B3" s="817"/>
      <c r="C3" s="817"/>
      <c r="D3" s="817"/>
      <c r="E3" s="555"/>
    </row>
    <row r="4" spans="1:5" s="226" customFormat="1" x14ac:dyDescent="0.25">
      <c r="A4" s="817" t="s">
        <v>643</v>
      </c>
      <c r="B4" s="817"/>
      <c r="C4" s="817"/>
      <c r="D4" s="817"/>
      <c r="E4" s="555"/>
    </row>
    <row r="5" spans="1:5" s="228" customFormat="1" ht="17.25" thickBot="1" x14ac:dyDescent="0.3">
      <c r="A5" s="227"/>
      <c r="B5" s="818" t="s">
        <v>311</v>
      </c>
      <c r="C5" s="818"/>
      <c r="D5" s="335" t="s">
        <v>653</v>
      </c>
      <c r="E5" s="557"/>
    </row>
    <row r="6" spans="1:5" s="229" customFormat="1" ht="27" customHeight="1" thickBot="1" x14ac:dyDescent="0.3">
      <c r="A6" s="868" t="s">
        <v>312</v>
      </c>
      <c r="B6" s="869"/>
      <c r="C6" s="344"/>
      <c r="D6" s="345">
        <f>'ETCA-II-10 '!F24</f>
        <v>8472893</v>
      </c>
      <c r="E6" s="558" t="str">
        <f>IF(D6&lt;&gt;'ETCA-II-10 '!F51,"ERROR!!!!! EL MONTO NO COINCIDE CON LO REPORTADO EN EL FORMATO ETCA-II-10 EN EL TOTAL DEVENGADO DEL ANALÍTICO DE INGRESOS","")</f>
        <v/>
      </c>
    </row>
    <row r="7" spans="1:5" s="338" customFormat="1" ht="9.75" customHeight="1" x14ac:dyDescent="0.25">
      <c r="A7" s="357"/>
      <c r="B7" s="336"/>
      <c r="C7" s="337"/>
      <c r="D7" s="359"/>
      <c r="E7" s="559"/>
    </row>
    <row r="8" spans="1:5" s="338" customFormat="1" ht="17.25" customHeight="1" thickBot="1" x14ac:dyDescent="0.3">
      <c r="A8" s="358" t="s">
        <v>313</v>
      </c>
      <c r="B8" s="339"/>
      <c r="C8" s="340"/>
      <c r="D8" s="360"/>
      <c r="E8" s="558"/>
    </row>
    <row r="9" spans="1:5" ht="20.100000000000001" customHeight="1" thickBot="1" x14ac:dyDescent="0.3">
      <c r="A9" s="346" t="s">
        <v>314</v>
      </c>
      <c r="B9" s="347"/>
      <c r="C9" s="348"/>
      <c r="D9" s="349">
        <f>SUM(C10:C14)</f>
        <v>85492</v>
      </c>
      <c r="E9" s="558"/>
    </row>
    <row r="10" spans="1:5" ht="20.100000000000001" customHeight="1" x14ac:dyDescent="0.2">
      <c r="A10" s="232"/>
      <c r="B10" s="366" t="s">
        <v>315</v>
      </c>
      <c r="C10" s="350"/>
      <c r="D10" s="560"/>
      <c r="E10" s="585" t="str">
        <f>IF(C10&lt;&gt;'ETCA-I-02'!C22,"ERROR!!!, NO COINCIDEN LOS MONTOS CON LO REPORTADO EN EL FORMATO ETCA-I-02 EN EL EJERCICIO 2016","")</f>
        <v/>
      </c>
    </row>
    <row r="11" spans="1:5" ht="33" customHeight="1" x14ac:dyDescent="0.2">
      <c r="A11" s="232"/>
      <c r="B11" s="367" t="s">
        <v>316</v>
      </c>
      <c r="C11" s="350"/>
      <c r="D11" s="560"/>
      <c r="E11" s="585" t="str">
        <f>IF(C11&lt;&gt;'ETCA-I-02'!C23,"ERROR!!!, NO COINCIDEN LOS MONTOS CON LO REPORTADO EN EL FORMATO ETCA-I-02 EN EL EJERCICIO 2016","")</f>
        <v/>
      </c>
    </row>
    <row r="12" spans="1:5" ht="20.100000000000001" customHeight="1" x14ac:dyDescent="0.2">
      <c r="A12" s="233"/>
      <c r="B12" s="367" t="s">
        <v>317</v>
      </c>
      <c r="C12" s="350"/>
      <c r="D12" s="560"/>
      <c r="E12" s="585" t="str">
        <f>IF(C12&lt;&gt;'ETCA-I-02'!C24,"ERROR!!!, NO COINCIDEN LOS MONTOS CON LO REPORTADO EN EL FORMATO ETCA-I-02 EN EL EJERCICIO 2016","")</f>
        <v/>
      </c>
    </row>
    <row r="13" spans="1:5" ht="20.100000000000001" customHeight="1" x14ac:dyDescent="0.2">
      <c r="A13" s="233"/>
      <c r="B13" s="367" t="s">
        <v>318</v>
      </c>
      <c r="C13" s="350"/>
      <c r="D13" s="560"/>
      <c r="E13" s="585" t="str">
        <f>IF(C13&lt;&gt;'ETCA-I-02'!C25,"ERROR!!!, NO COINCIDEN LOS MONTOS CON LO REPORTADO EN EL FORMATO ETCA-I-02 EN EL EJERCICIO 2016","")</f>
        <v/>
      </c>
    </row>
    <row r="14" spans="1:5" ht="24.75" customHeight="1" thickBot="1" x14ac:dyDescent="0.3">
      <c r="A14" s="341" t="s">
        <v>319</v>
      </c>
      <c r="B14" s="370"/>
      <c r="C14" s="351">
        <v>85492</v>
      </c>
      <c r="D14" s="561"/>
      <c r="E14" s="558"/>
    </row>
    <row r="15" spans="1:5" ht="7.5" customHeight="1" x14ac:dyDescent="0.25">
      <c r="A15" s="371"/>
      <c r="B15" s="361"/>
      <c r="C15" s="362"/>
      <c r="D15" s="363"/>
      <c r="E15" s="558"/>
    </row>
    <row r="16" spans="1:5" ht="20.100000000000001" customHeight="1" thickBot="1" x14ac:dyDescent="0.3">
      <c r="A16" s="372" t="s">
        <v>320</v>
      </c>
      <c r="B16" s="364"/>
      <c r="C16" s="365"/>
      <c r="D16" s="342"/>
      <c r="E16" s="558"/>
    </row>
    <row r="17" spans="1:5" ht="20.100000000000001" customHeight="1" thickBot="1" x14ac:dyDescent="0.3">
      <c r="A17" s="346" t="s">
        <v>321</v>
      </c>
      <c r="B17" s="347"/>
      <c r="C17" s="348"/>
      <c r="D17" s="349">
        <f>SUM(C18:C22)</f>
        <v>0</v>
      </c>
      <c r="E17" s="558"/>
    </row>
    <row r="18" spans="1:5" ht="20.100000000000001" customHeight="1" x14ac:dyDescent="0.25">
      <c r="A18" s="233"/>
      <c r="B18" s="366" t="s">
        <v>322</v>
      </c>
      <c r="C18" s="352"/>
      <c r="D18" s="560"/>
      <c r="E18" s="558"/>
    </row>
    <row r="19" spans="1:5" ht="20.100000000000001" customHeight="1" x14ac:dyDescent="0.25">
      <c r="A19" s="233"/>
      <c r="B19" s="367" t="s">
        <v>323</v>
      </c>
      <c r="C19" s="352"/>
      <c r="D19" s="560"/>
      <c r="E19" s="558"/>
    </row>
    <row r="20" spans="1:5" ht="20.100000000000001" customHeight="1" x14ac:dyDescent="0.25">
      <c r="A20" s="233"/>
      <c r="B20" s="367" t="s">
        <v>324</v>
      </c>
      <c r="C20" s="352"/>
      <c r="D20" s="560"/>
      <c r="E20" s="558"/>
    </row>
    <row r="21" spans="1:5" ht="20.100000000000001" customHeight="1" x14ac:dyDescent="0.25">
      <c r="A21" s="343" t="s">
        <v>325</v>
      </c>
      <c r="B21" s="368"/>
      <c r="C21" s="352"/>
      <c r="D21" s="560"/>
      <c r="E21" s="558"/>
    </row>
    <row r="22" spans="1:5" ht="20.100000000000001" customHeight="1" thickBot="1" x14ac:dyDescent="0.3">
      <c r="A22" s="233"/>
      <c r="B22" s="369"/>
      <c r="C22" s="353"/>
      <c r="D22" s="560"/>
      <c r="E22" s="558"/>
    </row>
    <row r="23" spans="1:5" ht="26.25" customHeight="1" thickBot="1" x14ac:dyDescent="0.3">
      <c r="A23" s="354" t="s">
        <v>326</v>
      </c>
      <c r="B23" s="355"/>
      <c r="C23" s="356"/>
      <c r="D23" s="345">
        <f>D6+D9-D17</f>
        <v>8558385</v>
      </c>
      <c r="E23" s="558" t="str">
        <f>IF(D23&lt;&gt;'ETCA-I-02'!C27,"ERROR!!!!! EL MONTO NO COINCIDE CON LO REPORTADO EN EL FORMATO ETCA-I-02 EN EL TOTAL DE INGRESOS Y OTROS BENEFICIOS","")</f>
        <v/>
      </c>
    </row>
  </sheetData>
  <sheetProtection algorithmName="SHA-512" hashValue="7nUlAJPfY/X1fOgXmD6YF74xf1/wGAHk+FdZZdsCMX6OJcnk4nxpYX45y9K0nj9N0HXLOk+optfvuDKEkNee5g==" saltValue="m/qu9XTcr4C87GOBLdfszg==" spinCount="100000" sheet="1" objects="1" scenarios="1"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J82"/>
  <sheetViews>
    <sheetView view="pageBreakPreview" zoomScaleNormal="100" zoomScaleSheetLayoutView="100" workbookViewId="0">
      <selection activeCell="E81" sqref="E81"/>
    </sheetView>
  </sheetViews>
  <sheetFormatPr baseColWidth="10" defaultColWidth="11.42578125" defaultRowHeight="16.5" x14ac:dyDescent="0.25"/>
  <cols>
    <col min="1" max="1" width="52.28515625" style="162" bestFit="1" customWidth="1"/>
    <col min="2" max="7" width="13.7109375" style="162" customWidth="1"/>
    <col min="8" max="16384" width="11.42578125" style="162"/>
  </cols>
  <sheetData>
    <row r="1" spans="1:10" x14ac:dyDescent="0.25">
      <c r="A1" s="816" t="s">
        <v>76</v>
      </c>
      <c r="B1" s="816"/>
      <c r="C1" s="816"/>
      <c r="D1" s="816"/>
      <c r="E1" s="816"/>
      <c r="F1" s="816"/>
      <c r="G1" s="816"/>
    </row>
    <row r="2" spans="1:10" s="226" customFormat="1" ht="15.75" x14ac:dyDescent="0.25">
      <c r="A2" s="816" t="s">
        <v>327</v>
      </c>
      <c r="B2" s="816"/>
      <c r="C2" s="816"/>
      <c r="D2" s="816"/>
      <c r="E2" s="816"/>
      <c r="F2" s="816"/>
      <c r="G2" s="816"/>
    </row>
    <row r="3" spans="1:10" s="226" customFormat="1" ht="15.75" x14ac:dyDescent="0.25">
      <c r="A3" s="816" t="s">
        <v>328</v>
      </c>
      <c r="B3" s="816"/>
      <c r="C3" s="816"/>
      <c r="D3" s="816"/>
      <c r="E3" s="816"/>
      <c r="F3" s="816"/>
      <c r="G3" s="816"/>
    </row>
    <row r="4" spans="1:10" s="226" customFormat="1" x14ac:dyDescent="0.25">
      <c r="A4" s="817" t="s">
        <v>642</v>
      </c>
      <c r="B4" s="817"/>
      <c r="C4" s="817"/>
      <c r="D4" s="817"/>
      <c r="E4" s="817"/>
      <c r="F4" s="817"/>
      <c r="G4" s="817"/>
    </row>
    <row r="5" spans="1:10" s="226" customFormat="1" x14ac:dyDescent="0.25">
      <c r="A5" s="817" t="s">
        <v>646</v>
      </c>
      <c r="B5" s="817"/>
      <c r="C5" s="817"/>
      <c r="D5" s="817"/>
      <c r="E5" s="817"/>
      <c r="F5" s="817"/>
      <c r="G5" s="817"/>
    </row>
    <row r="6" spans="1:10" s="228" customFormat="1" ht="17.25" thickBot="1" x14ac:dyDescent="0.3">
      <c r="A6" s="227"/>
      <c r="C6" s="717" t="s">
        <v>78</v>
      </c>
      <c r="D6" s="717"/>
      <c r="E6" s="717"/>
      <c r="F6" s="335" t="s">
        <v>655</v>
      </c>
    </row>
    <row r="7" spans="1:10" s="373" customFormat="1" ht="38.25" x14ac:dyDescent="0.25">
      <c r="A7" s="870" t="s">
        <v>329</v>
      </c>
      <c r="B7" s="281" t="s">
        <v>330</v>
      </c>
      <c r="C7" s="281" t="s">
        <v>331</v>
      </c>
      <c r="D7" s="613" t="s">
        <v>332</v>
      </c>
      <c r="E7" s="282" t="s">
        <v>333</v>
      </c>
      <c r="F7" s="282" t="s">
        <v>334</v>
      </c>
      <c r="G7" s="614" t="s">
        <v>335</v>
      </c>
    </row>
    <row r="8" spans="1:10" s="374" customFormat="1" ht="13.5" thickBot="1" x14ac:dyDescent="0.3">
      <c r="A8" s="871"/>
      <c r="B8" s="285" t="s">
        <v>654</v>
      </c>
      <c r="C8" s="285" t="s">
        <v>281</v>
      </c>
      <c r="D8" s="615" t="s">
        <v>336</v>
      </c>
      <c r="E8" s="286" t="s">
        <v>283</v>
      </c>
      <c r="F8" s="286" t="s">
        <v>284</v>
      </c>
      <c r="G8" s="616" t="s">
        <v>337</v>
      </c>
    </row>
    <row r="9" spans="1:10" s="375" customFormat="1" ht="16.5" customHeight="1" x14ac:dyDescent="0.25">
      <c r="A9" s="617" t="s">
        <v>164</v>
      </c>
      <c r="B9" s="622">
        <f>SUM(B10:B16)</f>
        <v>13167910</v>
      </c>
      <c r="C9" s="622">
        <f>SUM(C10:C16)</f>
        <v>1100872</v>
      </c>
      <c r="D9" s="622">
        <f>B9+C9</f>
        <v>14268782</v>
      </c>
      <c r="E9" s="622">
        <f>SUM(E10:E16)</f>
        <v>6467383</v>
      </c>
      <c r="F9" s="622">
        <f>SUM(F10:F16)</f>
        <v>6467383</v>
      </c>
      <c r="G9" s="623">
        <f>D9-E9</f>
        <v>7801399</v>
      </c>
    </row>
    <row r="10" spans="1:10" s="375" customFormat="1" ht="14.25" x14ac:dyDescent="0.25">
      <c r="A10" s="618" t="s">
        <v>338</v>
      </c>
      <c r="B10" s="624">
        <v>10980264</v>
      </c>
      <c r="C10" s="624">
        <v>580860</v>
      </c>
      <c r="D10" s="622">
        <f t="shared" ref="D10:D72" si="0">B10+C10</f>
        <v>11561124</v>
      </c>
      <c r="E10" s="624">
        <v>5565951</v>
      </c>
      <c r="F10" s="624">
        <v>5565951</v>
      </c>
      <c r="G10" s="623">
        <f t="shared" ref="G10:G73" si="1">D10-E10</f>
        <v>5995173</v>
      </c>
      <c r="J10" s="771"/>
    </row>
    <row r="11" spans="1:10" s="375" customFormat="1" ht="14.25" x14ac:dyDescent="0.25">
      <c r="A11" s="618" t="s">
        <v>339</v>
      </c>
      <c r="B11" s="624"/>
      <c r="C11" s="624"/>
      <c r="D11" s="622">
        <f t="shared" si="0"/>
        <v>0</v>
      </c>
      <c r="E11" s="624"/>
      <c r="F11" s="624"/>
      <c r="G11" s="623">
        <f t="shared" si="1"/>
        <v>0</v>
      </c>
    </row>
    <row r="12" spans="1:10" s="375" customFormat="1" ht="14.25" x14ac:dyDescent="0.25">
      <c r="A12" s="618" t="s">
        <v>340</v>
      </c>
      <c r="B12" s="624">
        <v>1691305</v>
      </c>
      <c r="C12" s="624">
        <v>429909</v>
      </c>
      <c r="D12" s="622">
        <f t="shared" si="0"/>
        <v>2121214</v>
      </c>
      <c r="E12" s="624">
        <v>686417</v>
      </c>
      <c r="F12" s="624">
        <v>686417</v>
      </c>
      <c r="G12" s="623">
        <f t="shared" si="1"/>
        <v>1434797</v>
      </c>
    </row>
    <row r="13" spans="1:10" s="375" customFormat="1" ht="14.25" x14ac:dyDescent="0.25">
      <c r="A13" s="618" t="s">
        <v>341</v>
      </c>
      <c r="B13" s="624">
        <v>378078</v>
      </c>
      <c r="C13" s="624">
        <v>78583</v>
      </c>
      <c r="D13" s="622">
        <f t="shared" si="0"/>
        <v>456661</v>
      </c>
      <c r="E13" s="624">
        <v>164234</v>
      </c>
      <c r="F13" s="624">
        <v>164234</v>
      </c>
      <c r="G13" s="623">
        <f t="shared" si="1"/>
        <v>292427</v>
      </c>
    </row>
    <row r="14" spans="1:10" s="375" customFormat="1" ht="14.25" x14ac:dyDescent="0.25">
      <c r="A14" s="618" t="s">
        <v>342</v>
      </c>
      <c r="B14" s="624">
        <v>118263</v>
      </c>
      <c r="C14" s="624">
        <v>11520</v>
      </c>
      <c r="D14" s="622">
        <f t="shared" si="0"/>
        <v>129783</v>
      </c>
      <c r="E14" s="624">
        <v>50781</v>
      </c>
      <c r="F14" s="624">
        <v>50781</v>
      </c>
      <c r="G14" s="623">
        <f t="shared" si="1"/>
        <v>79002</v>
      </c>
    </row>
    <row r="15" spans="1:10" s="375" customFormat="1" ht="14.25" x14ac:dyDescent="0.25">
      <c r="A15" s="618" t="s">
        <v>343</v>
      </c>
      <c r="B15" s="624"/>
      <c r="C15" s="624"/>
      <c r="D15" s="622">
        <f t="shared" si="0"/>
        <v>0</v>
      </c>
      <c r="E15" s="624"/>
      <c r="F15" s="624">
        <f t="shared" ref="F15" si="2">+E15</f>
        <v>0</v>
      </c>
      <c r="G15" s="623">
        <f t="shared" si="1"/>
        <v>0</v>
      </c>
    </row>
    <row r="16" spans="1:10" s="375" customFormat="1" ht="14.25" x14ac:dyDescent="0.25">
      <c r="A16" s="618" t="s">
        <v>344</v>
      </c>
      <c r="B16" s="624"/>
      <c r="C16" s="624"/>
      <c r="D16" s="622">
        <f t="shared" si="0"/>
        <v>0</v>
      </c>
      <c r="E16" s="624"/>
      <c r="F16" s="624"/>
      <c r="G16" s="623">
        <f t="shared" si="1"/>
        <v>0</v>
      </c>
    </row>
    <row r="17" spans="1:7" s="375" customFormat="1" ht="16.5" customHeight="1" x14ac:dyDescent="0.25">
      <c r="A17" s="619" t="s">
        <v>165</v>
      </c>
      <c r="B17" s="622">
        <f>SUM(B18:B26)</f>
        <v>469634</v>
      </c>
      <c r="C17" s="622">
        <f>SUM(C18:C26)</f>
        <v>670476</v>
      </c>
      <c r="D17" s="622">
        <f>B17+C17</f>
        <v>1140110</v>
      </c>
      <c r="E17" s="622">
        <f>SUM(E18:E26)</f>
        <v>1009260</v>
      </c>
      <c r="F17" s="622">
        <f>SUM(F18:F26)</f>
        <v>1009260</v>
      </c>
      <c r="G17" s="623">
        <f t="shared" si="1"/>
        <v>130850</v>
      </c>
    </row>
    <row r="18" spans="1:7" s="375" customFormat="1" ht="30" customHeight="1" x14ac:dyDescent="0.25">
      <c r="A18" s="618" t="s">
        <v>345</v>
      </c>
      <c r="B18" s="624">
        <v>65000</v>
      </c>
      <c r="C18" s="624">
        <v>601176</v>
      </c>
      <c r="D18" s="622">
        <f t="shared" si="0"/>
        <v>666176</v>
      </c>
      <c r="E18" s="624">
        <v>593656</v>
      </c>
      <c r="F18" s="624">
        <v>593656</v>
      </c>
      <c r="G18" s="623">
        <f t="shared" si="1"/>
        <v>72520</v>
      </c>
    </row>
    <row r="19" spans="1:7" s="375" customFormat="1" ht="14.25" x14ac:dyDescent="0.25">
      <c r="A19" s="618" t="s">
        <v>346</v>
      </c>
      <c r="B19" s="624">
        <v>130000</v>
      </c>
      <c r="C19" s="624">
        <v>-102516</v>
      </c>
      <c r="D19" s="622">
        <f t="shared" si="0"/>
        <v>27484</v>
      </c>
      <c r="E19" s="624">
        <v>13720</v>
      </c>
      <c r="F19" s="624">
        <v>13720</v>
      </c>
      <c r="G19" s="623">
        <f t="shared" si="1"/>
        <v>13764</v>
      </c>
    </row>
    <row r="20" spans="1:7" s="375" customFormat="1" ht="14.25" x14ac:dyDescent="0.25">
      <c r="A20" s="618" t="s">
        <v>347</v>
      </c>
      <c r="B20" s="624"/>
      <c r="C20" s="624">
        <v>566</v>
      </c>
      <c r="D20" s="622">
        <f t="shared" si="0"/>
        <v>566</v>
      </c>
      <c r="E20" s="624">
        <v>565</v>
      </c>
      <c r="F20" s="624">
        <v>565</v>
      </c>
      <c r="G20" s="623">
        <f t="shared" si="1"/>
        <v>1</v>
      </c>
    </row>
    <row r="21" spans="1:7" s="375" customFormat="1" ht="14.25" x14ac:dyDescent="0.25">
      <c r="A21" s="618" t="s">
        <v>348</v>
      </c>
      <c r="B21" s="624">
        <v>10000</v>
      </c>
      <c r="C21" s="624">
        <v>5690</v>
      </c>
      <c r="D21" s="622">
        <f t="shared" si="0"/>
        <v>15690</v>
      </c>
      <c r="E21" s="624">
        <v>13492</v>
      </c>
      <c r="F21" s="624">
        <v>13492</v>
      </c>
      <c r="G21" s="623">
        <f t="shared" si="1"/>
        <v>2198</v>
      </c>
    </row>
    <row r="22" spans="1:7" s="375" customFormat="1" ht="14.25" x14ac:dyDescent="0.25">
      <c r="A22" s="618" t="s">
        <v>349</v>
      </c>
      <c r="B22" s="624">
        <v>12000</v>
      </c>
      <c r="C22" s="624">
        <v>-6656</v>
      </c>
      <c r="D22" s="622">
        <f t="shared" si="0"/>
        <v>5344</v>
      </c>
      <c r="E22" s="624">
        <v>546</v>
      </c>
      <c r="F22" s="624">
        <v>546</v>
      </c>
      <c r="G22" s="623">
        <f t="shared" si="1"/>
        <v>4798</v>
      </c>
    </row>
    <row r="23" spans="1:7" s="375" customFormat="1" ht="14.25" x14ac:dyDescent="0.25">
      <c r="A23" s="618" t="s">
        <v>350</v>
      </c>
      <c r="B23" s="624">
        <v>140000</v>
      </c>
      <c r="C23" s="624">
        <v>-60544</v>
      </c>
      <c r="D23" s="622">
        <f t="shared" si="0"/>
        <v>79456</v>
      </c>
      <c r="E23" s="624">
        <v>73381</v>
      </c>
      <c r="F23" s="624">
        <v>73381</v>
      </c>
      <c r="G23" s="623">
        <f t="shared" si="1"/>
        <v>6075</v>
      </c>
    </row>
    <row r="24" spans="1:7" s="375" customFormat="1" ht="14.25" x14ac:dyDescent="0.25">
      <c r="A24" s="618" t="s">
        <v>351</v>
      </c>
      <c r="B24" s="624">
        <v>27902</v>
      </c>
      <c r="C24" s="624">
        <v>6387</v>
      </c>
      <c r="D24" s="622">
        <f t="shared" si="0"/>
        <v>34289</v>
      </c>
      <c r="E24" s="624">
        <v>26902</v>
      </c>
      <c r="F24" s="624">
        <v>26902</v>
      </c>
      <c r="G24" s="623">
        <f t="shared" si="1"/>
        <v>7387</v>
      </c>
    </row>
    <row r="25" spans="1:7" s="375" customFormat="1" ht="14.25" x14ac:dyDescent="0.25">
      <c r="A25" s="618" t="s">
        <v>352</v>
      </c>
      <c r="B25" s="624"/>
      <c r="C25" s="624">
        <v>268862</v>
      </c>
      <c r="D25" s="622">
        <f t="shared" si="0"/>
        <v>268862</v>
      </c>
      <c r="E25" s="624">
        <v>268862</v>
      </c>
      <c r="F25" s="624">
        <v>268862</v>
      </c>
      <c r="G25" s="623">
        <f t="shared" si="1"/>
        <v>0</v>
      </c>
    </row>
    <row r="26" spans="1:7" s="375" customFormat="1" ht="14.25" x14ac:dyDescent="0.25">
      <c r="A26" s="618" t="s">
        <v>353</v>
      </c>
      <c r="B26" s="624">
        <v>84732</v>
      </c>
      <c r="C26" s="624">
        <v>-42489</v>
      </c>
      <c r="D26" s="622">
        <f t="shared" si="0"/>
        <v>42243</v>
      </c>
      <c r="E26" s="624">
        <v>18136</v>
      </c>
      <c r="F26" s="624">
        <v>18136</v>
      </c>
      <c r="G26" s="623">
        <f t="shared" si="1"/>
        <v>24107</v>
      </c>
    </row>
    <row r="27" spans="1:7" s="375" customFormat="1" ht="16.5" customHeight="1" x14ac:dyDescent="0.25">
      <c r="A27" s="619" t="s">
        <v>166</v>
      </c>
      <c r="B27" s="622">
        <f>SUM(B28:B36)</f>
        <v>1686394</v>
      </c>
      <c r="C27" s="622">
        <f>SUM(C28:C36)</f>
        <v>1354848</v>
      </c>
      <c r="D27" s="622">
        <f>B27+C27</f>
        <v>3041242</v>
      </c>
      <c r="E27" s="622">
        <f>SUM(E28:E36)</f>
        <v>2122157</v>
      </c>
      <c r="F27" s="622">
        <f>SUM(F28:F36)</f>
        <v>2122157</v>
      </c>
      <c r="G27" s="623">
        <f t="shared" si="1"/>
        <v>919085</v>
      </c>
    </row>
    <row r="28" spans="1:7" s="375" customFormat="1" ht="14.25" x14ac:dyDescent="0.25">
      <c r="A28" s="618" t="s">
        <v>354</v>
      </c>
      <c r="B28" s="624">
        <v>455532</v>
      </c>
      <c r="C28" s="624">
        <v>487067</v>
      </c>
      <c r="D28" s="622">
        <f t="shared" si="0"/>
        <v>942599</v>
      </c>
      <c r="E28" s="624">
        <v>657954</v>
      </c>
      <c r="F28" s="624">
        <v>657954</v>
      </c>
      <c r="G28" s="623">
        <f t="shared" si="1"/>
        <v>284645</v>
      </c>
    </row>
    <row r="29" spans="1:7" s="375" customFormat="1" ht="14.25" x14ac:dyDescent="0.25">
      <c r="A29" s="618" t="s">
        <v>355</v>
      </c>
      <c r="B29" s="624">
        <v>290000</v>
      </c>
      <c r="C29" s="624">
        <v>19431</v>
      </c>
      <c r="D29" s="622">
        <f t="shared" si="0"/>
        <v>309431</v>
      </c>
      <c r="E29" s="624">
        <v>166823</v>
      </c>
      <c r="F29" s="624">
        <v>166823</v>
      </c>
      <c r="G29" s="623">
        <f t="shared" si="1"/>
        <v>142608</v>
      </c>
    </row>
    <row r="30" spans="1:7" s="375" customFormat="1" ht="14.25" x14ac:dyDescent="0.25">
      <c r="A30" s="618" t="s">
        <v>356</v>
      </c>
      <c r="B30" s="624">
        <v>338644</v>
      </c>
      <c r="C30" s="624">
        <v>461072</v>
      </c>
      <c r="D30" s="622">
        <f t="shared" si="0"/>
        <v>799716</v>
      </c>
      <c r="E30" s="624">
        <v>624039</v>
      </c>
      <c r="F30" s="624">
        <v>624039</v>
      </c>
      <c r="G30" s="623">
        <f t="shared" si="1"/>
        <v>175677</v>
      </c>
    </row>
    <row r="31" spans="1:7" s="375" customFormat="1" ht="14.25" x14ac:dyDescent="0.25">
      <c r="A31" s="618" t="s">
        <v>357</v>
      </c>
      <c r="B31" s="624">
        <v>63000</v>
      </c>
      <c r="C31" s="624">
        <v>30160</v>
      </c>
      <c r="D31" s="622">
        <f t="shared" si="0"/>
        <v>93160</v>
      </c>
      <c r="E31" s="624">
        <v>55296</v>
      </c>
      <c r="F31" s="624">
        <v>55296</v>
      </c>
      <c r="G31" s="623">
        <f t="shared" si="1"/>
        <v>37864</v>
      </c>
    </row>
    <row r="32" spans="1:7" s="375" customFormat="1" ht="14.25" x14ac:dyDescent="0.25">
      <c r="A32" s="618" t="s">
        <v>358</v>
      </c>
      <c r="B32" s="624">
        <v>182656</v>
      </c>
      <c r="C32" s="624">
        <v>12980</v>
      </c>
      <c r="D32" s="622">
        <f t="shared" si="0"/>
        <v>195636</v>
      </c>
      <c r="E32" s="624">
        <v>90004</v>
      </c>
      <c r="F32" s="624">
        <v>90004</v>
      </c>
      <c r="G32" s="623">
        <f t="shared" si="1"/>
        <v>105632</v>
      </c>
    </row>
    <row r="33" spans="1:10" s="375" customFormat="1" ht="14.25" x14ac:dyDescent="0.25">
      <c r="A33" s="618" t="s">
        <v>359</v>
      </c>
      <c r="B33" s="624">
        <v>10000</v>
      </c>
      <c r="C33" s="624">
        <v>6287</v>
      </c>
      <c r="D33" s="622">
        <f t="shared" si="0"/>
        <v>16287</v>
      </c>
      <c r="E33" s="624">
        <v>11600</v>
      </c>
      <c r="F33" s="624">
        <v>11600</v>
      </c>
      <c r="G33" s="623">
        <f t="shared" si="1"/>
        <v>4687</v>
      </c>
    </row>
    <row r="34" spans="1:10" s="375" customFormat="1" ht="14.25" x14ac:dyDescent="0.25">
      <c r="A34" s="618" t="s">
        <v>360</v>
      </c>
      <c r="B34" s="624">
        <v>88062</v>
      </c>
      <c r="C34" s="624">
        <v>205324</v>
      </c>
      <c r="D34" s="622">
        <f t="shared" si="0"/>
        <v>293386</v>
      </c>
      <c r="E34" s="624">
        <v>245916</v>
      </c>
      <c r="F34" s="624">
        <v>245916</v>
      </c>
      <c r="G34" s="623">
        <f t="shared" si="1"/>
        <v>47470</v>
      </c>
    </row>
    <row r="35" spans="1:10" s="375" customFormat="1" ht="15" thickBot="1" x14ac:dyDescent="0.3">
      <c r="A35" s="620" t="s">
        <v>361</v>
      </c>
      <c r="B35" s="625">
        <v>57500</v>
      </c>
      <c r="C35" s="625">
        <v>204380</v>
      </c>
      <c r="D35" s="626">
        <f t="shared" si="0"/>
        <v>261880</v>
      </c>
      <c r="E35" s="625">
        <v>233769</v>
      </c>
      <c r="F35" s="625">
        <v>233769</v>
      </c>
      <c r="G35" s="627">
        <f t="shared" si="1"/>
        <v>28111</v>
      </c>
    </row>
    <row r="36" spans="1:10" s="375" customFormat="1" ht="14.25" x14ac:dyDescent="0.25">
      <c r="A36" s="618" t="s">
        <v>362</v>
      </c>
      <c r="B36" s="624">
        <v>201000</v>
      </c>
      <c r="C36" s="624">
        <v>-71853</v>
      </c>
      <c r="D36" s="622">
        <f t="shared" si="0"/>
        <v>129147</v>
      </c>
      <c r="E36" s="624">
        <v>36756</v>
      </c>
      <c r="F36" s="624">
        <v>36756</v>
      </c>
      <c r="G36" s="623">
        <f t="shared" si="1"/>
        <v>92391</v>
      </c>
    </row>
    <row r="37" spans="1:10" s="375" customFormat="1" ht="21" customHeight="1" x14ac:dyDescent="0.25">
      <c r="A37" s="619" t="s">
        <v>302</v>
      </c>
      <c r="B37" s="622">
        <f>SUM(B38:B46)</f>
        <v>0</v>
      </c>
      <c r="C37" s="622">
        <f>SUM(C38:C46)</f>
        <v>0</v>
      </c>
      <c r="D37" s="622">
        <f>B37+C37</f>
        <v>0</v>
      </c>
      <c r="E37" s="622">
        <f>SUM(E38:E46)</f>
        <v>0</v>
      </c>
      <c r="F37" s="622">
        <f>SUM(F38:F46)</f>
        <v>0</v>
      </c>
      <c r="G37" s="623">
        <f t="shared" si="1"/>
        <v>0</v>
      </c>
    </row>
    <row r="38" spans="1:10" s="375" customFormat="1" ht="14.25" x14ac:dyDescent="0.25">
      <c r="A38" s="618" t="s">
        <v>167</v>
      </c>
      <c r="B38" s="624"/>
      <c r="C38" s="624"/>
      <c r="D38" s="622">
        <f t="shared" si="0"/>
        <v>0</v>
      </c>
      <c r="E38" s="624"/>
      <c r="F38" s="624"/>
      <c r="G38" s="623">
        <f t="shared" si="1"/>
        <v>0</v>
      </c>
    </row>
    <row r="39" spans="1:10" s="375" customFormat="1" ht="14.25" x14ac:dyDescent="0.25">
      <c r="A39" s="618" t="s">
        <v>168</v>
      </c>
      <c r="B39" s="624"/>
      <c r="C39" s="624"/>
      <c r="D39" s="622">
        <f t="shared" si="0"/>
        <v>0</v>
      </c>
      <c r="E39" s="624"/>
      <c r="F39" s="624"/>
      <c r="G39" s="623">
        <f t="shared" si="1"/>
        <v>0</v>
      </c>
    </row>
    <row r="40" spans="1:10" s="375" customFormat="1" ht="14.25" x14ac:dyDescent="0.25">
      <c r="A40" s="618" t="s">
        <v>169</v>
      </c>
      <c r="B40" s="624"/>
      <c r="C40" s="624"/>
      <c r="D40" s="622">
        <f t="shared" si="0"/>
        <v>0</v>
      </c>
      <c r="E40" s="624"/>
      <c r="F40" s="624"/>
      <c r="G40" s="623">
        <f t="shared" si="1"/>
        <v>0</v>
      </c>
    </row>
    <row r="41" spans="1:10" s="375" customFormat="1" ht="14.25" x14ac:dyDescent="0.25">
      <c r="A41" s="618" t="s">
        <v>170</v>
      </c>
      <c r="B41" s="624"/>
      <c r="C41" s="624"/>
      <c r="D41" s="622">
        <f t="shared" si="0"/>
        <v>0</v>
      </c>
      <c r="E41" s="624"/>
      <c r="F41" s="624"/>
      <c r="G41" s="623">
        <f t="shared" si="1"/>
        <v>0</v>
      </c>
    </row>
    <row r="42" spans="1:10" s="375" customFormat="1" ht="14.25" x14ac:dyDescent="0.25">
      <c r="A42" s="618" t="s">
        <v>171</v>
      </c>
      <c r="B42" s="624"/>
      <c r="C42" s="624"/>
      <c r="D42" s="622">
        <f t="shared" si="0"/>
        <v>0</v>
      </c>
      <c r="E42" s="624"/>
      <c r="F42" s="624"/>
      <c r="G42" s="623">
        <f t="shared" si="1"/>
        <v>0</v>
      </c>
      <c r="J42" s="771"/>
    </row>
    <row r="43" spans="1:10" s="375" customFormat="1" ht="14.25" x14ac:dyDescent="0.25">
      <c r="A43" s="618" t="s">
        <v>363</v>
      </c>
      <c r="B43" s="624"/>
      <c r="C43" s="624"/>
      <c r="D43" s="622">
        <f t="shared" si="0"/>
        <v>0</v>
      </c>
      <c r="E43" s="624"/>
      <c r="F43" s="624"/>
      <c r="G43" s="623">
        <f t="shared" si="1"/>
        <v>0</v>
      </c>
    </row>
    <row r="44" spans="1:10" s="375" customFormat="1" ht="14.25" x14ac:dyDescent="0.25">
      <c r="A44" s="618" t="s">
        <v>173</v>
      </c>
      <c r="B44" s="624"/>
      <c r="C44" s="624"/>
      <c r="D44" s="622">
        <f t="shared" si="0"/>
        <v>0</v>
      </c>
      <c r="E44" s="624"/>
      <c r="F44" s="624"/>
      <c r="G44" s="623">
        <f t="shared" si="1"/>
        <v>0</v>
      </c>
    </row>
    <row r="45" spans="1:10" s="375" customFormat="1" ht="14.25" x14ac:dyDescent="0.25">
      <c r="A45" s="618" t="s">
        <v>174</v>
      </c>
      <c r="B45" s="624"/>
      <c r="C45" s="624"/>
      <c r="D45" s="622">
        <f t="shared" si="0"/>
        <v>0</v>
      </c>
      <c r="E45" s="624"/>
      <c r="F45" s="624"/>
      <c r="G45" s="623">
        <f t="shared" si="1"/>
        <v>0</v>
      </c>
    </row>
    <row r="46" spans="1:10" s="375" customFormat="1" ht="14.25" x14ac:dyDescent="0.25">
      <c r="A46" s="618" t="s">
        <v>175</v>
      </c>
      <c r="B46" s="624"/>
      <c r="C46" s="624"/>
      <c r="D46" s="622">
        <f t="shared" si="0"/>
        <v>0</v>
      </c>
      <c r="E46" s="624"/>
      <c r="F46" s="624"/>
      <c r="G46" s="623">
        <f t="shared" si="1"/>
        <v>0</v>
      </c>
    </row>
    <row r="47" spans="1:10" s="375" customFormat="1" ht="16.5" customHeight="1" x14ac:dyDescent="0.25">
      <c r="A47" s="619" t="s">
        <v>364</v>
      </c>
      <c r="B47" s="622">
        <f>SUM(B48:B56)</f>
        <v>0</v>
      </c>
      <c r="C47" s="622">
        <f>SUM(C48:C56)</f>
        <v>0</v>
      </c>
      <c r="D47" s="622">
        <f>B47+C47</f>
        <v>0</v>
      </c>
      <c r="E47" s="622">
        <f>SUM(E48:E56)</f>
        <v>0</v>
      </c>
      <c r="F47" s="622">
        <f>SUM(F48:F56)</f>
        <v>0</v>
      </c>
      <c r="G47" s="623">
        <f t="shared" si="1"/>
        <v>0</v>
      </c>
    </row>
    <row r="48" spans="1:10" s="375" customFormat="1" ht="14.25" x14ac:dyDescent="0.25">
      <c r="A48" s="618" t="s">
        <v>365</v>
      </c>
      <c r="B48" s="624"/>
      <c r="C48" s="624"/>
      <c r="D48" s="622">
        <f t="shared" si="0"/>
        <v>0</v>
      </c>
      <c r="E48" s="624"/>
      <c r="F48" s="624"/>
      <c r="G48" s="623">
        <f>D48-E48</f>
        <v>0</v>
      </c>
    </row>
    <row r="49" spans="1:7" s="375" customFormat="1" ht="14.25" x14ac:dyDescent="0.25">
      <c r="A49" s="618" t="s">
        <v>366</v>
      </c>
      <c r="B49" s="624"/>
      <c r="C49" s="624"/>
      <c r="D49" s="622">
        <f t="shared" si="0"/>
        <v>0</v>
      </c>
      <c r="E49" s="624"/>
      <c r="F49" s="624"/>
      <c r="G49" s="623">
        <f t="shared" si="1"/>
        <v>0</v>
      </c>
    </row>
    <row r="50" spans="1:7" s="375" customFormat="1" ht="14.25" x14ac:dyDescent="0.25">
      <c r="A50" s="618" t="s">
        <v>367</v>
      </c>
      <c r="B50" s="624"/>
      <c r="C50" s="624"/>
      <c r="D50" s="622">
        <f t="shared" si="0"/>
        <v>0</v>
      </c>
      <c r="E50" s="624"/>
      <c r="F50" s="624"/>
      <c r="G50" s="623">
        <f t="shared" si="1"/>
        <v>0</v>
      </c>
    </row>
    <row r="51" spans="1:7" s="375" customFormat="1" ht="14.25" x14ac:dyDescent="0.25">
      <c r="A51" s="618" t="s">
        <v>368</v>
      </c>
      <c r="B51" s="624"/>
      <c r="C51" s="624"/>
      <c r="D51" s="622">
        <f t="shared" si="0"/>
        <v>0</v>
      </c>
      <c r="E51" s="624"/>
      <c r="F51" s="624"/>
      <c r="G51" s="623">
        <f t="shared" si="1"/>
        <v>0</v>
      </c>
    </row>
    <row r="52" spans="1:7" s="375" customFormat="1" ht="14.25" x14ac:dyDescent="0.25">
      <c r="A52" s="618" t="s">
        <v>369</v>
      </c>
      <c r="B52" s="624"/>
      <c r="C52" s="624"/>
      <c r="D52" s="622">
        <f t="shared" si="0"/>
        <v>0</v>
      </c>
      <c r="E52" s="624"/>
      <c r="F52" s="624"/>
      <c r="G52" s="623">
        <f t="shared" si="1"/>
        <v>0</v>
      </c>
    </row>
    <row r="53" spans="1:7" s="375" customFormat="1" ht="14.25" x14ac:dyDescent="0.25">
      <c r="A53" s="618" t="s">
        <v>370</v>
      </c>
      <c r="B53" s="624"/>
      <c r="C53" s="624"/>
      <c r="D53" s="622">
        <f t="shared" si="0"/>
        <v>0</v>
      </c>
      <c r="E53" s="624"/>
      <c r="F53" s="624"/>
      <c r="G53" s="623">
        <f t="shared" si="1"/>
        <v>0</v>
      </c>
    </row>
    <row r="54" spans="1:7" s="375" customFormat="1" ht="14.25" x14ac:dyDescent="0.25">
      <c r="A54" s="618" t="s">
        <v>371</v>
      </c>
      <c r="B54" s="624"/>
      <c r="C54" s="624"/>
      <c r="D54" s="622">
        <f t="shared" si="0"/>
        <v>0</v>
      </c>
      <c r="E54" s="624"/>
      <c r="F54" s="624"/>
      <c r="G54" s="623">
        <f t="shared" si="1"/>
        <v>0</v>
      </c>
    </row>
    <row r="55" spans="1:7" s="375" customFormat="1" ht="14.25" x14ac:dyDescent="0.25">
      <c r="A55" s="618" t="s">
        <v>372</v>
      </c>
      <c r="B55" s="624"/>
      <c r="C55" s="624"/>
      <c r="D55" s="622">
        <f t="shared" si="0"/>
        <v>0</v>
      </c>
      <c r="E55" s="624"/>
      <c r="F55" s="624"/>
      <c r="G55" s="623">
        <f t="shared" si="1"/>
        <v>0</v>
      </c>
    </row>
    <row r="56" spans="1:7" s="375" customFormat="1" ht="14.25" x14ac:dyDescent="0.25">
      <c r="A56" s="618" t="s">
        <v>111</v>
      </c>
      <c r="B56" s="624"/>
      <c r="C56" s="624"/>
      <c r="D56" s="622">
        <f t="shared" si="0"/>
        <v>0</v>
      </c>
      <c r="E56" s="624"/>
      <c r="F56" s="624"/>
      <c r="G56" s="623">
        <f t="shared" si="1"/>
        <v>0</v>
      </c>
    </row>
    <row r="57" spans="1:7" s="375" customFormat="1" ht="16.5" customHeight="1" x14ac:dyDescent="0.25">
      <c r="A57" s="619" t="s">
        <v>192</v>
      </c>
      <c r="B57" s="622">
        <f>SUM(B58:B60)</f>
        <v>0</v>
      </c>
      <c r="C57" s="622">
        <f>SUM(C58:C60)</f>
        <v>0</v>
      </c>
      <c r="D57" s="622">
        <f>B57+C57</f>
        <v>0</v>
      </c>
      <c r="E57" s="622">
        <f>SUM(E58:E60)</f>
        <v>0</v>
      </c>
      <c r="F57" s="622">
        <f>SUM(F58:F60)</f>
        <v>0</v>
      </c>
      <c r="G57" s="623">
        <f t="shared" si="1"/>
        <v>0</v>
      </c>
    </row>
    <row r="58" spans="1:7" s="375" customFormat="1" ht="14.25" x14ac:dyDescent="0.25">
      <c r="A58" s="618" t="s">
        <v>373</v>
      </c>
      <c r="B58" s="624"/>
      <c r="C58" s="624"/>
      <c r="D58" s="622">
        <f t="shared" si="0"/>
        <v>0</v>
      </c>
      <c r="E58" s="624"/>
      <c r="F58" s="624"/>
      <c r="G58" s="623">
        <f t="shared" si="1"/>
        <v>0</v>
      </c>
    </row>
    <row r="59" spans="1:7" s="375" customFormat="1" ht="14.25" x14ac:dyDescent="0.25">
      <c r="A59" s="618" t="s">
        <v>374</v>
      </c>
      <c r="B59" s="624"/>
      <c r="C59" s="624"/>
      <c r="D59" s="622">
        <f t="shared" si="0"/>
        <v>0</v>
      </c>
      <c r="E59" s="624"/>
      <c r="F59" s="624"/>
      <c r="G59" s="623">
        <f t="shared" si="1"/>
        <v>0</v>
      </c>
    </row>
    <row r="60" spans="1:7" s="375" customFormat="1" ht="14.25" x14ac:dyDescent="0.25">
      <c r="A60" s="618" t="s">
        <v>375</v>
      </c>
      <c r="B60" s="624"/>
      <c r="C60" s="624"/>
      <c r="D60" s="622">
        <f t="shared" si="0"/>
        <v>0</v>
      </c>
      <c r="E60" s="624"/>
      <c r="F60" s="624"/>
      <c r="G60" s="623">
        <f t="shared" si="1"/>
        <v>0</v>
      </c>
    </row>
    <row r="61" spans="1:7" s="375" customFormat="1" ht="16.5" customHeight="1" x14ac:dyDescent="0.25">
      <c r="A61" s="619" t="s">
        <v>376</v>
      </c>
      <c r="B61" s="622">
        <f>SUM(B62:B68)</f>
        <v>0</v>
      </c>
      <c r="C61" s="622">
        <f>SUM(C62:C68)</f>
        <v>0</v>
      </c>
      <c r="D61" s="622">
        <f>B61+C61</f>
        <v>0</v>
      </c>
      <c r="E61" s="622">
        <f>SUM(E62:E68)</f>
        <v>0</v>
      </c>
      <c r="F61" s="622">
        <f>SUM(F62:F68)</f>
        <v>0</v>
      </c>
      <c r="G61" s="623">
        <f t="shared" si="1"/>
        <v>0</v>
      </c>
    </row>
    <row r="62" spans="1:7" s="375" customFormat="1" ht="14.25" x14ac:dyDescent="0.25">
      <c r="A62" s="618" t="s">
        <v>377</v>
      </c>
      <c r="B62" s="624"/>
      <c r="C62" s="624"/>
      <c r="D62" s="622">
        <f t="shared" si="0"/>
        <v>0</v>
      </c>
      <c r="E62" s="624"/>
      <c r="F62" s="624"/>
      <c r="G62" s="623">
        <f t="shared" si="1"/>
        <v>0</v>
      </c>
    </row>
    <row r="63" spans="1:7" s="375" customFormat="1" ht="15" thickBot="1" x14ac:dyDescent="0.3">
      <c r="A63" s="620" t="s">
        <v>378</v>
      </c>
      <c r="B63" s="625"/>
      <c r="C63" s="625"/>
      <c r="D63" s="626">
        <f t="shared" si="0"/>
        <v>0</v>
      </c>
      <c r="E63" s="625"/>
      <c r="F63" s="625"/>
      <c r="G63" s="627">
        <f t="shared" si="1"/>
        <v>0</v>
      </c>
    </row>
    <row r="64" spans="1:7" s="375" customFormat="1" ht="14.25" x14ac:dyDescent="0.25">
      <c r="A64" s="618" t="s">
        <v>379</v>
      </c>
      <c r="B64" s="624"/>
      <c r="C64" s="624"/>
      <c r="D64" s="622">
        <f t="shared" si="0"/>
        <v>0</v>
      </c>
      <c r="E64" s="624"/>
      <c r="F64" s="624"/>
      <c r="G64" s="623">
        <f t="shared" si="1"/>
        <v>0</v>
      </c>
    </row>
    <row r="65" spans="1:7" s="375" customFormat="1" ht="14.25" x14ac:dyDescent="0.25">
      <c r="A65" s="618" t="s">
        <v>380</v>
      </c>
      <c r="B65" s="624"/>
      <c r="C65" s="624"/>
      <c r="D65" s="622">
        <f t="shared" si="0"/>
        <v>0</v>
      </c>
      <c r="E65" s="624"/>
      <c r="F65" s="624"/>
      <c r="G65" s="623">
        <f t="shared" si="1"/>
        <v>0</v>
      </c>
    </row>
    <row r="66" spans="1:7" s="375" customFormat="1" ht="14.25" x14ac:dyDescent="0.25">
      <c r="A66" s="618" t="s">
        <v>381</v>
      </c>
      <c r="B66" s="624"/>
      <c r="C66" s="624"/>
      <c r="D66" s="622">
        <f t="shared" si="0"/>
        <v>0</v>
      </c>
      <c r="E66" s="624"/>
      <c r="F66" s="624"/>
      <c r="G66" s="623">
        <f t="shared" si="1"/>
        <v>0</v>
      </c>
    </row>
    <row r="67" spans="1:7" s="375" customFormat="1" ht="14.25" x14ac:dyDescent="0.25">
      <c r="A67" s="618" t="s">
        <v>382</v>
      </c>
      <c r="B67" s="624"/>
      <c r="C67" s="624"/>
      <c r="D67" s="622">
        <f t="shared" si="0"/>
        <v>0</v>
      </c>
      <c r="E67" s="624"/>
      <c r="F67" s="624"/>
      <c r="G67" s="623">
        <f t="shared" si="1"/>
        <v>0</v>
      </c>
    </row>
    <row r="68" spans="1:7" s="375" customFormat="1" ht="14.25" x14ac:dyDescent="0.25">
      <c r="A68" s="618" t="s">
        <v>383</v>
      </c>
      <c r="B68" s="624"/>
      <c r="C68" s="624"/>
      <c r="D68" s="622">
        <f t="shared" si="0"/>
        <v>0</v>
      </c>
      <c r="E68" s="624"/>
      <c r="F68" s="624"/>
      <c r="G68" s="623">
        <f t="shared" si="1"/>
        <v>0</v>
      </c>
    </row>
    <row r="69" spans="1:7" s="375" customFormat="1" ht="16.5" customHeight="1" x14ac:dyDescent="0.25">
      <c r="A69" s="619" t="s">
        <v>153</v>
      </c>
      <c r="B69" s="622">
        <f>SUM(B70:B72)</f>
        <v>0</v>
      </c>
      <c r="C69" s="622">
        <f>SUM(C70:C72)</f>
        <v>0</v>
      </c>
      <c r="D69" s="622">
        <f>B69+C69</f>
        <v>0</v>
      </c>
      <c r="E69" s="622">
        <f>SUM(E70:E72)</f>
        <v>0</v>
      </c>
      <c r="F69" s="622">
        <f>SUM(F70:F72)</f>
        <v>0</v>
      </c>
      <c r="G69" s="623">
        <f t="shared" si="1"/>
        <v>0</v>
      </c>
    </row>
    <row r="70" spans="1:7" s="375" customFormat="1" ht="14.25" x14ac:dyDescent="0.25">
      <c r="A70" s="618" t="s">
        <v>177</v>
      </c>
      <c r="B70" s="624"/>
      <c r="C70" s="624"/>
      <c r="D70" s="622">
        <f t="shared" si="0"/>
        <v>0</v>
      </c>
      <c r="E70" s="624"/>
      <c r="F70" s="624"/>
      <c r="G70" s="623">
        <f t="shared" si="1"/>
        <v>0</v>
      </c>
    </row>
    <row r="71" spans="1:7" s="375" customFormat="1" ht="14.25" x14ac:dyDescent="0.25">
      <c r="A71" s="618" t="s">
        <v>124</v>
      </c>
      <c r="B71" s="624"/>
      <c r="C71" s="624"/>
      <c r="D71" s="622">
        <f t="shared" si="0"/>
        <v>0</v>
      </c>
      <c r="E71" s="624"/>
      <c r="F71" s="624"/>
      <c r="G71" s="623">
        <f t="shared" si="1"/>
        <v>0</v>
      </c>
    </row>
    <row r="72" spans="1:7" s="375" customFormat="1" ht="14.25" x14ac:dyDescent="0.25">
      <c r="A72" s="618" t="s">
        <v>178</v>
      </c>
      <c r="B72" s="624"/>
      <c r="C72" s="624"/>
      <c r="D72" s="622">
        <f t="shared" si="0"/>
        <v>0</v>
      </c>
      <c r="E72" s="624"/>
      <c r="F72" s="624"/>
      <c r="G72" s="623">
        <f t="shared" si="1"/>
        <v>0</v>
      </c>
    </row>
    <row r="73" spans="1:7" s="375" customFormat="1" ht="16.5" customHeight="1" x14ac:dyDescent="0.25">
      <c r="A73" s="619" t="s">
        <v>384</v>
      </c>
      <c r="B73" s="622">
        <f>SUM(B74:B80)</f>
        <v>0</v>
      </c>
      <c r="C73" s="622">
        <f>SUM(C74:C80)</f>
        <v>0</v>
      </c>
      <c r="D73" s="622">
        <f>B73+C73</f>
        <v>0</v>
      </c>
      <c r="E73" s="622">
        <f>SUM(E74:E80)</f>
        <v>0</v>
      </c>
      <c r="F73" s="622">
        <f>SUM(F74:F80)</f>
        <v>0</v>
      </c>
      <c r="G73" s="623">
        <f t="shared" si="1"/>
        <v>0</v>
      </c>
    </row>
    <row r="74" spans="1:7" s="375" customFormat="1" ht="14.25" x14ac:dyDescent="0.25">
      <c r="A74" s="618" t="s">
        <v>385</v>
      </c>
      <c r="B74" s="624"/>
      <c r="C74" s="624"/>
      <c r="D74" s="622">
        <f t="shared" ref="D74:D80" si="3">B74+C74</f>
        <v>0</v>
      </c>
      <c r="E74" s="624"/>
      <c r="F74" s="624"/>
      <c r="G74" s="623">
        <f t="shared" ref="G74:G80" si="4">D74-E74</f>
        <v>0</v>
      </c>
    </row>
    <row r="75" spans="1:7" s="375" customFormat="1" ht="14.25" x14ac:dyDescent="0.25">
      <c r="A75" s="618" t="s">
        <v>180</v>
      </c>
      <c r="B75" s="624"/>
      <c r="C75" s="624"/>
      <c r="D75" s="622">
        <f t="shared" si="3"/>
        <v>0</v>
      </c>
      <c r="E75" s="624"/>
      <c r="F75" s="624"/>
      <c r="G75" s="623">
        <f t="shared" si="4"/>
        <v>0</v>
      </c>
    </row>
    <row r="76" spans="1:7" s="375" customFormat="1" ht="14.25" x14ac:dyDescent="0.25">
      <c r="A76" s="618" t="s">
        <v>181</v>
      </c>
      <c r="B76" s="624"/>
      <c r="C76" s="624"/>
      <c r="D76" s="622">
        <f t="shared" si="3"/>
        <v>0</v>
      </c>
      <c r="E76" s="624"/>
      <c r="F76" s="624"/>
      <c r="G76" s="623">
        <f t="shared" si="4"/>
        <v>0</v>
      </c>
    </row>
    <row r="77" spans="1:7" s="375" customFormat="1" ht="14.25" x14ac:dyDescent="0.25">
      <c r="A77" s="618" t="s">
        <v>182</v>
      </c>
      <c r="B77" s="624"/>
      <c r="C77" s="624"/>
      <c r="D77" s="622">
        <f t="shared" si="3"/>
        <v>0</v>
      </c>
      <c r="E77" s="624"/>
      <c r="F77" s="624"/>
      <c r="G77" s="623">
        <f t="shared" si="4"/>
        <v>0</v>
      </c>
    </row>
    <row r="78" spans="1:7" s="375" customFormat="1" ht="14.25" x14ac:dyDescent="0.25">
      <c r="A78" s="618" t="s">
        <v>183</v>
      </c>
      <c r="B78" s="624"/>
      <c r="C78" s="624"/>
      <c r="D78" s="622">
        <f t="shared" si="3"/>
        <v>0</v>
      </c>
      <c r="E78" s="624"/>
      <c r="F78" s="624"/>
      <c r="G78" s="623">
        <f t="shared" si="4"/>
        <v>0</v>
      </c>
    </row>
    <row r="79" spans="1:7" s="375" customFormat="1" ht="14.25" x14ac:dyDescent="0.25">
      <c r="A79" s="618" t="s">
        <v>184</v>
      </c>
      <c r="B79" s="624"/>
      <c r="C79" s="624"/>
      <c r="D79" s="622">
        <f t="shared" si="3"/>
        <v>0</v>
      </c>
      <c r="E79" s="624"/>
      <c r="F79" s="624"/>
      <c r="G79" s="623">
        <f t="shared" si="4"/>
        <v>0</v>
      </c>
    </row>
    <row r="80" spans="1:7" s="375" customFormat="1" ht="15" thickBot="1" x14ac:dyDescent="0.3">
      <c r="A80" s="620" t="s">
        <v>386</v>
      </c>
      <c r="B80" s="625"/>
      <c r="C80" s="625"/>
      <c r="D80" s="626">
        <f t="shared" si="3"/>
        <v>0</v>
      </c>
      <c r="E80" s="625"/>
      <c r="F80" s="625"/>
      <c r="G80" s="627">
        <f t="shared" si="4"/>
        <v>0</v>
      </c>
    </row>
    <row r="81" spans="1:7" s="375" customFormat="1" ht="15" thickBot="1" x14ac:dyDescent="0.3">
      <c r="A81" s="621" t="s">
        <v>387</v>
      </c>
      <c r="B81" s="594">
        <f>B73+B69+B61+B57+B47+B37+B27+B17+B9</f>
        <v>15323938</v>
      </c>
      <c r="C81" s="594">
        <f>C73+C69+C61+C57+C47+C37+C27+C17+C9</f>
        <v>3126196</v>
      </c>
      <c r="D81" s="594">
        <f>B81+C81</f>
        <v>18450134</v>
      </c>
      <c r="E81" s="594">
        <f>E73+E69+E61+E57+E47+E37+E27+E17+E9</f>
        <v>9598800</v>
      </c>
      <c r="F81" s="594">
        <f>F73+F69+F61+F57+F47+F37+F27+F17+F9</f>
        <v>9598800</v>
      </c>
      <c r="G81" s="628">
        <f>D81-E81</f>
        <v>8851334</v>
      </c>
    </row>
    <row r="82" spans="1:7" x14ac:dyDescent="0.25">
      <c r="E82" s="955"/>
    </row>
  </sheetData>
  <sheetProtection algorithmName="SHA-512" hashValue="tPopG2yOE0q7qVbRHXNZVOIliKnP3QdY4CeTFBIS+L4gAcLU2fIfnobpE0AwJGszYLgKQJsndAz2TtyBbU9c3A==" saltValue="99JLwIbd03XdfBgGYtqEPw==" spinCount="100000" sheet="1" objects="1" scenarios="1" insertHyperlinks="0"/>
  <mergeCells count="6"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88" fitToHeight="3" orientation="landscape" r:id="rId1"/>
  <headerFooter>
    <oddFooter>&amp;RHoja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30"/>
  <sheetViews>
    <sheetView view="pageBreakPreview" topLeftCell="B1" zoomScaleNormal="100" zoomScaleSheetLayoutView="100" workbookViewId="0">
      <selection activeCell="E9" sqref="E9"/>
    </sheetView>
  </sheetViews>
  <sheetFormatPr baseColWidth="10" defaultColWidth="11.42578125" defaultRowHeight="16.5" x14ac:dyDescent="0.25"/>
  <cols>
    <col min="1" max="1" width="36.5703125" style="376" customWidth="1"/>
    <col min="2" max="2" width="13.7109375" style="376" customWidth="1"/>
    <col min="3" max="3" width="12" style="376" customWidth="1"/>
    <col min="4" max="4" width="13" style="376" customWidth="1"/>
    <col min="5" max="5" width="13.7109375" style="376" customWidth="1"/>
    <col min="6" max="6" width="15.7109375" style="376" customWidth="1"/>
    <col min="7" max="7" width="12.140625" style="376" customWidth="1"/>
    <col min="8" max="16384" width="11.42578125" style="376"/>
  </cols>
  <sheetData>
    <row r="1" spans="1:8" x14ac:dyDescent="0.25">
      <c r="A1" s="816" t="s">
        <v>76</v>
      </c>
      <c r="B1" s="816"/>
      <c r="C1" s="816"/>
      <c r="D1" s="816"/>
      <c r="E1" s="816"/>
      <c r="F1" s="816"/>
      <c r="G1" s="816"/>
    </row>
    <row r="2" spans="1:8" s="377" customFormat="1" ht="15.75" x14ac:dyDescent="0.25">
      <c r="A2" s="816" t="s">
        <v>327</v>
      </c>
      <c r="B2" s="816"/>
      <c r="C2" s="816"/>
      <c r="D2" s="816"/>
      <c r="E2" s="816"/>
      <c r="F2" s="816"/>
      <c r="G2" s="816"/>
    </row>
    <row r="3" spans="1:8" s="377" customFormat="1" ht="15.75" x14ac:dyDescent="0.25">
      <c r="A3" s="816" t="s">
        <v>388</v>
      </c>
      <c r="B3" s="816"/>
      <c r="C3" s="816"/>
      <c r="D3" s="816"/>
      <c r="E3" s="816"/>
      <c r="F3" s="816"/>
      <c r="G3" s="816"/>
    </row>
    <row r="4" spans="1:8" s="377" customFormat="1" x14ac:dyDescent="0.25">
      <c r="A4" s="817" t="s">
        <v>642</v>
      </c>
      <c r="B4" s="817"/>
      <c r="C4" s="817"/>
      <c r="D4" s="817"/>
      <c r="E4" s="817"/>
      <c r="F4" s="817"/>
      <c r="G4" s="817"/>
    </row>
    <row r="5" spans="1:8" s="377" customFormat="1" x14ac:dyDescent="0.25">
      <c r="A5" s="817" t="s">
        <v>647</v>
      </c>
      <c r="B5" s="817"/>
      <c r="C5" s="817"/>
      <c r="D5" s="817"/>
      <c r="E5" s="817"/>
      <c r="F5" s="817"/>
      <c r="G5" s="817"/>
    </row>
    <row r="6" spans="1:8" s="378" customFormat="1" ht="17.25" thickBot="1" x14ac:dyDescent="0.3">
      <c r="A6" s="227"/>
      <c r="B6" s="818" t="s">
        <v>78</v>
      </c>
      <c r="C6" s="818"/>
      <c r="D6" s="818"/>
      <c r="E6" s="818"/>
      <c r="F6" s="227" t="s">
        <v>653</v>
      </c>
      <c r="G6" s="713"/>
    </row>
    <row r="7" spans="1:8" s="379" customFormat="1" ht="38.25" x14ac:dyDescent="0.25">
      <c r="A7" s="858" t="s">
        <v>199</v>
      </c>
      <c r="B7" s="281" t="s">
        <v>330</v>
      </c>
      <c r="C7" s="281" t="s">
        <v>331</v>
      </c>
      <c r="D7" s="281" t="s">
        <v>332</v>
      </c>
      <c r="E7" s="282" t="s">
        <v>333</v>
      </c>
      <c r="F7" s="282" t="s">
        <v>334</v>
      </c>
      <c r="G7" s="283" t="s">
        <v>335</v>
      </c>
    </row>
    <row r="8" spans="1:8" s="380" customFormat="1" ht="15.75" customHeight="1" thickBot="1" x14ac:dyDescent="0.3">
      <c r="A8" s="860"/>
      <c r="B8" s="285" t="s">
        <v>280</v>
      </c>
      <c r="C8" s="285" t="s">
        <v>281</v>
      </c>
      <c r="D8" s="285" t="s">
        <v>336</v>
      </c>
      <c r="E8" s="285" t="s">
        <v>283</v>
      </c>
      <c r="F8" s="285" t="s">
        <v>284</v>
      </c>
      <c r="G8" s="287" t="s">
        <v>337</v>
      </c>
    </row>
    <row r="9" spans="1:8" ht="21.75" customHeight="1" x14ac:dyDescent="0.25">
      <c r="A9" s="385" t="s">
        <v>389</v>
      </c>
      <c r="B9" s="610">
        <v>15323938</v>
      </c>
      <c r="C9" s="610">
        <v>3126196</v>
      </c>
      <c r="D9" s="611">
        <f>C9+B9</f>
        <v>18450134</v>
      </c>
      <c r="E9" s="610">
        <f>+'ETCA-II-11 '!E81</f>
        <v>9598800</v>
      </c>
      <c r="F9" s="610">
        <f>+'ETCA-II-11 '!F81</f>
        <v>9598800</v>
      </c>
      <c r="G9" s="612">
        <f>D9-E9</f>
        <v>8851334</v>
      </c>
    </row>
    <row r="10" spans="1:8" ht="22.5" customHeight="1" x14ac:dyDescent="0.25">
      <c r="A10" s="385" t="s">
        <v>390</v>
      </c>
      <c r="B10" s="610"/>
      <c r="C10" s="610"/>
      <c r="D10" s="611">
        <f t="shared" ref="D10:D13" si="0">C10+B10</f>
        <v>0</v>
      </c>
      <c r="E10" s="610"/>
      <c r="F10" s="610"/>
      <c r="G10" s="612">
        <f t="shared" ref="G10:G13" si="1">D10-E10</f>
        <v>0</v>
      </c>
    </row>
    <row r="11" spans="1:8" ht="22.5" customHeight="1" x14ac:dyDescent="0.25">
      <c r="A11" s="385" t="s">
        <v>391</v>
      </c>
      <c r="B11" s="610"/>
      <c r="C11" s="610"/>
      <c r="D11" s="611">
        <f t="shared" si="0"/>
        <v>0</v>
      </c>
      <c r="E11" s="610"/>
      <c r="F11" s="610"/>
      <c r="G11" s="612">
        <f t="shared" si="1"/>
        <v>0</v>
      </c>
    </row>
    <row r="12" spans="1:8" ht="23.25" customHeight="1" x14ac:dyDescent="0.25">
      <c r="A12" s="385" t="s">
        <v>171</v>
      </c>
      <c r="B12" s="610"/>
      <c r="C12" s="610"/>
      <c r="D12" s="611">
        <f t="shared" si="0"/>
        <v>0</v>
      </c>
      <c r="E12" s="610"/>
      <c r="F12" s="610"/>
      <c r="G12" s="612">
        <f t="shared" si="1"/>
        <v>0</v>
      </c>
    </row>
    <row r="13" spans="1:8" ht="22.5" customHeight="1" x14ac:dyDescent="0.25">
      <c r="A13" s="385" t="s">
        <v>177</v>
      </c>
      <c r="B13" s="610"/>
      <c r="C13" s="610"/>
      <c r="D13" s="611">
        <f t="shared" si="0"/>
        <v>0</v>
      </c>
      <c r="E13" s="610"/>
      <c r="F13" s="610"/>
      <c r="G13" s="612">
        <f t="shared" si="1"/>
        <v>0</v>
      </c>
    </row>
    <row r="14" spans="1:8" ht="10.5" customHeight="1" thickBot="1" x14ac:dyDescent="0.3">
      <c r="A14" s="386"/>
      <c r="B14" s="707"/>
      <c r="C14" s="707"/>
      <c r="D14" s="708"/>
      <c r="E14" s="707"/>
      <c r="F14" s="707"/>
      <c r="G14" s="709"/>
    </row>
    <row r="15" spans="1:8" ht="16.5" customHeight="1" thickBot="1" x14ac:dyDescent="0.3">
      <c r="A15" s="722" t="s">
        <v>387</v>
      </c>
      <c r="B15" s="710">
        <f>SUM(B9:B14)</f>
        <v>15323938</v>
      </c>
      <c r="C15" s="710">
        <f>SUM(C9:C14)</f>
        <v>3126196</v>
      </c>
      <c r="D15" s="711">
        <f>C15+B15</f>
        <v>18450134</v>
      </c>
      <c r="E15" s="710">
        <f>SUM(E9:E14)</f>
        <v>9598800</v>
      </c>
      <c r="F15" s="710">
        <f>SUM(F9:F14)</f>
        <v>9598800</v>
      </c>
      <c r="G15" s="733">
        <f>D15-E15</f>
        <v>8851334</v>
      </c>
      <c r="H15" s="671" t="str">
        <f>IF(B15&lt;&gt;'ETCA-II-11 '!B81,"ERROR!!!!! EL MONTO NO COINCIDE CON LO REPORTADO EN EL FORMATO ETCA-II-11 EN EL TOTAL APROBADO ANUAL DEL ANALÍTICO DE EGRESOS","")</f>
        <v/>
      </c>
    </row>
    <row r="16" spans="1:8" ht="12" customHeight="1" x14ac:dyDescent="0.25">
      <c r="H16" s="671" t="str">
        <f>IF(C15&lt;&gt;'ETCA-II-11 '!C81,"ERROR!!!!! EL MONTO NO COINCIDE CON LO REPORTADO EN EL FORMATO ETCA-II-11 EN EL TOTAL DE AMPLIACIONES/REDUCCIONES DEL ANALÍTICO DE EGRESOS","")</f>
        <v/>
      </c>
    </row>
    <row r="17" spans="1:8" s="382" customFormat="1" ht="15.75" x14ac:dyDescent="0.25">
      <c r="A17" s="873" t="s">
        <v>392</v>
      </c>
      <c r="B17" s="873"/>
      <c r="C17" s="873"/>
      <c r="D17" s="873"/>
      <c r="E17" s="873"/>
      <c r="F17" s="873"/>
      <c r="G17" s="381"/>
      <c r="H17" s="671" t="str">
        <f>IF(D15&lt;&gt;'ETCA-II-11 '!D81,"ERROR!!!!! EL MONTO NO COINCIDE CON LO REPORTADO EN EL FORMATO ETCA-II-11 EN EL TOTAL MODIFICADO ANUAL DEL ANALÍTICO DE EGRESOS","")</f>
        <v/>
      </c>
    </row>
    <row r="18" spans="1:8" s="382" customFormat="1" ht="13.5" x14ac:dyDescent="0.25">
      <c r="A18" s="383" t="s">
        <v>393</v>
      </c>
      <c r="B18" s="381"/>
      <c r="C18" s="381"/>
      <c r="D18" s="381"/>
      <c r="E18" s="381"/>
      <c r="F18" s="381"/>
      <c r="G18" s="381"/>
      <c r="H18" s="671" t="str">
        <f>IF(E15&lt;&gt;'ETCA-II-11 '!E81,"ERROR!!!!! EL MONTO NO COINCIDE CON LO REPORTADO EN EL FORMATO ETCA-II-11 EN EL TOTAL DEVENGADO ANUAL DEL ANALÍTICO DE EGRESOS","")</f>
        <v/>
      </c>
    </row>
    <row r="19" spans="1:8" s="382" customFormat="1" ht="28.5" customHeight="1" x14ac:dyDescent="0.25">
      <c r="A19" s="872" t="s">
        <v>394</v>
      </c>
      <c r="B19" s="872"/>
      <c r="C19" s="872"/>
      <c r="D19" s="872"/>
      <c r="E19" s="872"/>
      <c r="F19" s="872"/>
      <c r="G19" s="872"/>
      <c r="H19" s="671" t="str">
        <f>IF(F15&lt;&gt;'ETCA-II-11 '!F81,"ERROR!!!!! EL MONTO NO COINCIDE CON LO REPORTADO EN EL FORMATO ETCA-II-11 EN EL TOTAL PAGADO ANUAL DEL ANALÍTICO DE EGRESOS","")</f>
        <v/>
      </c>
    </row>
    <row r="20" spans="1:8" s="382" customFormat="1" ht="13.5" x14ac:dyDescent="0.25">
      <c r="A20" s="383" t="s">
        <v>395</v>
      </c>
      <c r="B20" s="381"/>
      <c r="C20" s="381"/>
      <c r="D20" s="381"/>
      <c r="E20" s="381"/>
      <c r="F20" s="381"/>
      <c r="G20" s="381"/>
      <c r="H20" s="671" t="str">
        <f>IF(G15&lt;&gt;'ETCA-II-11 '!G81,"ERROR!!!!! EL MONTO NO COINCIDE CON LO REPORTADO EN EL FORMATO ETCA-II-11 EN EL TOTAL DEL SUBEJERCICIO DEL ANALÍTICO DE EGRESOS","")</f>
        <v/>
      </c>
    </row>
    <row r="21" spans="1:8" s="382" customFormat="1" ht="25.5" customHeight="1" x14ac:dyDescent="0.25">
      <c r="A21" s="872" t="s">
        <v>396</v>
      </c>
      <c r="B21" s="872"/>
      <c r="C21" s="872"/>
      <c r="D21" s="872"/>
      <c r="E21" s="872"/>
      <c r="F21" s="872"/>
      <c r="G21" s="872"/>
    </row>
    <row r="22" spans="1:8" s="382" customFormat="1" ht="13.5" x14ac:dyDescent="0.25">
      <c r="A22" s="874" t="s">
        <v>397</v>
      </c>
      <c r="B22" s="874"/>
      <c r="C22" s="874"/>
      <c r="D22" s="874"/>
      <c r="E22" s="381"/>
      <c r="F22" s="381"/>
      <c r="G22" s="381"/>
    </row>
    <row r="23" spans="1:8" s="382" customFormat="1" ht="13.5" customHeight="1" x14ac:dyDescent="0.25">
      <c r="A23" s="872" t="s">
        <v>398</v>
      </c>
      <c r="B23" s="872"/>
      <c r="C23" s="872"/>
      <c r="D23" s="872"/>
      <c r="E23" s="872"/>
      <c r="F23" s="872"/>
      <c r="G23" s="872"/>
    </row>
    <row r="24" spans="1:8" s="382" customFormat="1" ht="13.5" x14ac:dyDescent="0.25">
      <c r="A24" s="383" t="s">
        <v>399</v>
      </c>
      <c r="B24" s="381"/>
      <c r="C24" s="381"/>
      <c r="D24" s="381"/>
      <c r="E24" s="381"/>
      <c r="F24" s="381"/>
      <c r="G24" s="381"/>
    </row>
    <row r="25" spans="1:8" s="382" customFormat="1" ht="13.5" customHeight="1" x14ac:dyDescent="0.25">
      <c r="A25" s="872" t="s">
        <v>400</v>
      </c>
      <c r="B25" s="872"/>
      <c r="C25" s="872"/>
      <c r="D25" s="872"/>
      <c r="E25" s="872"/>
      <c r="F25" s="872"/>
      <c r="G25" s="872"/>
    </row>
    <row r="26" spans="1:8" s="382" customFormat="1" ht="13.5" x14ac:dyDescent="0.25">
      <c r="A26" s="384" t="s">
        <v>401</v>
      </c>
      <c r="B26" s="381"/>
      <c r="C26" s="381"/>
      <c r="D26" s="381"/>
      <c r="E26" s="381"/>
      <c r="F26" s="381"/>
      <c r="G26" s="381"/>
    </row>
    <row r="27" spans="1:8" s="382" customFormat="1" ht="13.5" x14ac:dyDescent="0.25">
      <c r="A27" s="383" t="s">
        <v>402</v>
      </c>
      <c r="B27" s="381"/>
      <c r="C27" s="381"/>
      <c r="D27" s="381"/>
      <c r="E27" s="381"/>
      <c r="F27" s="381"/>
      <c r="G27" s="381"/>
    </row>
    <row r="28" spans="1:8" s="382" customFormat="1" ht="13.5" customHeight="1" x14ac:dyDescent="0.25">
      <c r="A28" s="872" t="s">
        <v>403</v>
      </c>
      <c r="B28" s="872"/>
      <c r="C28" s="872"/>
      <c r="D28" s="872"/>
      <c r="E28" s="872"/>
      <c r="F28" s="872"/>
      <c r="G28" s="872"/>
    </row>
    <row r="29" spans="1:8" s="382" customFormat="1" ht="13.5" x14ac:dyDescent="0.25">
      <c r="A29" s="384" t="s">
        <v>401</v>
      </c>
      <c r="B29" s="381"/>
      <c r="C29" s="381"/>
      <c r="D29" s="381"/>
      <c r="E29" s="381"/>
      <c r="F29" s="381"/>
      <c r="G29" s="381"/>
    </row>
    <row r="30" spans="1:8" ht="8.25" customHeight="1" x14ac:dyDescent="0.25"/>
  </sheetData>
  <sheetProtection algorithmName="SHA-512" hashValue="QQpil5L0bpOiLOrLyOZPGNLzqTnNM7YaI+H8uuGTTdGifHmvthQFUex3010nGuPBbm154VJTHZo/A0lwWoOQFQ==" saltValue="DsyM6LHU6mZMAlsdPUsdXg==" spinCount="100000" sheet="1" objects="1" scenarios="1" insertHyperlinks="0"/>
  <mergeCells count="14">
    <mergeCell ref="A25:G25"/>
    <mergeCell ref="A28:G28"/>
    <mergeCell ref="A17:F17"/>
    <mergeCell ref="A19:G19"/>
    <mergeCell ref="A21:G21"/>
    <mergeCell ref="A22:D22"/>
    <mergeCell ref="A23:G23"/>
    <mergeCell ref="B6:E6"/>
    <mergeCell ref="A7:A8"/>
    <mergeCell ref="A1:G1"/>
    <mergeCell ref="A2:G2"/>
    <mergeCell ref="A3:G3"/>
    <mergeCell ref="A4:G4"/>
    <mergeCell ref="A5:G5"/>
  </mergeCells>
  <pageMargins left="0.39370078740157483" right="0.39370078740157483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H37"/>
  <sheetViews>
    <sheetView view="pageBreakPreview" topLeftCell="A25" zoomScale="115" zoomScaleSheetLayoutView="115" workbookViewId="0">
      <selection activeCell="F10" sqref="F10"/>
    </sheetView>
  </sheetViews>
  <sheetFormatPr baseColWidth="10" defaultColWidth="11.42578125" defaultRowHeight="16.5" x14ac:dyDescent="0.25"/>
  <cols>
    <col min="1" max="1" width="39.85546875" style="376" customWidth="1"/>
    <col min="2" max="7" width="13.7109375" style="376" customWidth="1"/>
    <col min="8" max="16384" width="11.42578125" style="376"/>
  </cols>
  <sheetData>
    <row r="1" spans="1:7" x14ac:dyDescent="0.25">
      <c r="A1" s="816" t="s">
        <v>76</v>
      </c>
      <c r="B1" s="816"/>
      <c r="C1" s="816"/>
      <c r="D1" s="816"/>
      <c r="E1" s="816"/>
      <c r="F1" s="816"/>
      <c r="G1" s="816"/>
    </row>
    <row r="2" spans="1:7" s="378" customFormat="1" x14ac:dyDescent="0.25">
      <c r="A2" s="816" t="s">
        <v>327</v>
      </c>
      <c r="B2" s="816"/>
      <c r="C2" s="816"/>
      <c r="D2" s="816"/>
      <c r="E2" s="816"/>
      <c r="F2" s="816"/>
      <c r="G2" s="816"/>
    </row>
    <row r="3" spans="1:7" s="378" customFormat="1" x14ac:dyDescent="0.25">
      <c r="A3" s="816" t="s">
        <v>404</v>
      </c>
      <c r="B3" s="816"/>
      <c r="C3" s="816"/>
      <c r="D3" s="816"/>
      <c r="E3" s="816"/>
      <c r="F3" s="816"/>
      <c r="G3" s="816"/>
    </row>
    <row r="4" spans="1:7" s="378" customFormat="1" x14ac:dyDescent="0.25">
      <c r="A4" s="817" t="s">
        <v>642</v>
      </c>
      <c r="B4" s="817"/>
      <c r="C4" s="817"/>
      <c r="D4" s="817"/>
      <c r="E4" s="817"/>
      <c r="F4" s="817"/>
      <c r="G4" s="817"/>
    </row>
    <row r="5" spans="1:7" s="378" customFormat="1" x14ac:dyDescent="0.25">
      <c r="A5" s="817" t="s">
        <v>646</v>
      </c>
      <c r="B5" s="817"/>
      <c r="C5" s="817"/>
      <c r="D5" s="817"/>
      <c r="E5" s="817"/>
      <c r="F5" s="817"/>
      <c r="G5" s="817"/>
    </row>
    <row r="6" spans="1:7" s="378" customFormat="1" ht="17.25" thickBot="1" x14ac:dyDescent="0.3">
      <c r="A6" s="227"/>
      <c r="B6" s="818" t="s">
        <v>78</v>
      </c>
      <c r="C6" s="818"/>
      <c r="D6" s="818"/>
      <c r="E6" s="818"/>
      <c r="F6" s="227" t="s">
        <v>653</v>
      </c>
      <c r="G6" s="713"/>
    </row>
    <row r="7" spans="1:7" s="389" customFormat="1" ht="38.25" x14ac:dyDescent="0.25">
      <c r="A7" s="875" t="s">
        <v>404</v>
      </c>
      <c r="B7" s="281" t="s">
        <v>330</v>
      </c>
      <c r="C7" s="281" t="s">
        <v>331</v>
      </c>
      <c r="D7" s="281" t="s">
        <v>332</v>
      </c>
      <c r="E7" s="282" t="s">
        <v>333</v>
      </c>
      <c r="F7" s="282" t="s">
        <v>334</v>
      </c>
      <c r="G7" s="283" t="s">
        <v>335</v>
      </c>
    </row>
    <row r="8" spans="1:7" s="392" customFormat="1" ht="17.25" thickBot="1" x14ac:dyDescent="0.3">
      <c r="A8" s="876"/>
      <c r="B8" s="390" t="s">
        <v>280</v>
      </c>
      <c r="C8" s="390" t="s">
        <v>281</v>
      </c>
      <c r="D8" s="390" t="s">
        <v>336</v>
      </c>
      <c r="E8" s="390" t="s">
        <v>283</v>
      </c>
      <c r="F8" s="390" t="s">
        <v>284</v>
      </c>
      <c r="G8" s="391" t="s">
        <v>337</v>
      </c>
    </row>
    <row r="9" spans="1:7" ht="21" customHeight="1" x14ac:dyDescent="0.25">
      <c r="A9" s="393" t="s">
        <v>405</v>
      </c>
      <c r="B9" s="610">
        <v>15323938</v>
      </c>
      <c r="C9" s="610">
        <v>3126196</v>
      </c>
      <c r="D9" s="610">
        <f>IF($A9="","",B9+C9)</f>
        <v>18450134</v>
      </c>
      <c r="E9" s="610">
        <f>+'ETCA-II-11 '!E81</f>
        <v>9598800</v>
      </c>
      <c r="F9" s="610">
        <f>+'ETCA-II-11 '!F81</f>
        <v>9598800</v>
      </c>
      <c r="G9" s="674">
        <f>IF($A9="","",D9-E9)</f>
        <v>8851334</v>
      </c>
    </row>
    <row r="10" spans="1:7" ht="21" customHeight="1" x14ac:dyDescent="0.25">
      <c r="A10" s="393" t="s">
        <v>406</v>
      </c>
      <c r="B10" s="610"/>
      <c r="C10" s="610"/>
      <c r="D10" s="610">
        <f t="shared" ref="D10:D30" si="0">IF($A10="","",B10+C10)</f>
        <v>0</v>
      </c>
      <c r="E10" s="610"/>
      <c r="F10" s="610"/>
      <c r="G10" s="674">
        <f t="shared" ref="G10:G32" si="1">IF($A10="","",D10-E10)</f>
        <v>0</v>
      </c>
    </row>
    <row r="11" spans="1:7" ht="21" customHeight="1" x14ac:dyDescent="0.25">
      <c r="A11" s="393" t="s">
        <v>407</v>
      </c>
      <c r="B11" s="610"/>
      <c r="C11" s="610"/>
      <c r="D11" s="610">
        <f t="shared" si="0"/>
        <v>0</v>
      </c>
      <c r="E11" s="610"/>
      <c r="F11" s="610"/>
      <c r="G11" s="674">
        <f t="shared" si="1"/>
        <v>0</v>
      </c>
    </row>
    <row r="12" spans="1:7" ht="21" customHeight="1" x14ac:dyDescent="0.25">
      <c r="A12" s="393" t="s">
        <v>408</v>
      </c>
      <c r="B12" s="610"/>
      <c r="C12" s="610"/>
      <c r="D12" s="610">
        <f t="shared" si="0"/>
        <v>0</v>
      </c>
      <c r="E12" s="610"/>
      <c r="F12" s="610"/>
      <c r="G12" s="674">
        <f t="shared" si="1"/>
        <v>0</v>
      </c>
    </row>
    <row r="13" spans="1:7" ht="21" customHeight="1" x14ac:dyDescent="0.25">
      <c r="A13" s="393" t="s">
        <v>409</v>
      </c>
      <c r="B13" s="610"/>
      <c r="C13" s="610"/>
      <c r="D13" s="610">
        <f t="shared" si="0"/>
        <v>0</v>
      </c>
      <c r="E13" s="610"/>
      <c r="F13" s="610"/>
      <c r="G13" s="674">
        <f t="shared" si="1"/>
        <v>0</v>
      </c>
    </row>
    <row r="14" spans="1:7" ht="21" customHeight="1" x14ac:dyDescent="0.25">
      <c r="A14" s="393" t="s">
        <v>410</v>
      </c>
      <c r="B14" s="610"/>
      <c r="C14" s="610"/>
      <c r="D14" s="610">
        <f t="shared" si="0"/>
        <v>0</v>
      </c>
      <c r="E14" s="610"/>
      <c r="F14" s="610"/>
      <c r="G14" s="674">
        <f t="shared" si="1"/>
        <v>0</v>
      </c>
    </row>
    <row r="15" spans="1:7" ht="21" customHeight="1" x14ac:dyDescent="0.25">
      <c r="A15" s="393" t="s">
        <v>411</v>
      </c>
      <c r="B15" s="610"/>
      <c r="C15" s="610"/>
      <c r="D15" s="610">
        <f t="shared" si="0"/>
        <v>0</v>
      </c>
      <c r="E15" s="610"/>
      <c r="F15" s="610"/>
      <c r="G15" s="674">
        <f t="shared" si="1"/>
        <v>0</v>
      </c>
    </row>
    <row r="16" spans="1:7" ht="21" customHeight="1" x14ac:dyDescent="0.25">
      <c r="A16" s="393" t="s">
        <v>412</v>
      </c>
      <c r="B16" s="610"/>
      <c r="C16" s="610"/>
      <c r="D16" s="610">
        <f t="shared" si="0"/>
        <v>0</v>
      </c>
      <c r="E16" s="610"/>
      <c r="F16" s="610"/>
      <c r="G16" s="674">
        <f t="shared" si="1"/>
        <v>0</v>
      </c>
    </row>
    <row r="17" spans="1:8" ht="21" customHeight="1" x14ac:dyDescent="0.25">
      <c r="A17" s="393" t="s">
        <v>413</v>
      </c>
      <c r="B17" s="610"/>
      <c r="C17" s="610"/>
      <c r="D17" s="611"/>
      <c r="E17" s="610"/>
      <c r="F17" s="610"/>
      <c r="G17" s="612"/>
    </row>
    <row r="18" spans="1:8" ht="21" customHeight="1" x14ac:dyDescent="0.25">
      <c r="A18" s="393" t="s">
        <v>413</v>
      </c>
      <c r="B18" s="610"/>
      <c r="C18" s="610"/>
      <c r="D18" s="611"/>
      <c r="E18" s="610"/>
      <c r="F18" s="610"/>
      <c r="G18" s="612"/>
    </row>
    <row r="19" spans="1:8" ht="21" customHeight="1" x14ac:dyDescent="0.25">
      <c r="A19" s="393" t="s">
        <v>413</v>
      </c>
      <c r="B19" s="610"/>
      <c r="C19" s="610"/>
      <c r="D19" s="611"/>
      <c r="E19" s="610"/>
      <c r="F19" s="610"/>
      <c r="G19" s="612"/>
    </row>
    <row r="20" spans="1:8" ht="21" customHeight="1" x14ac:dyDescent="0.25">
      <c r="A20" s="393" t="s">
        <v>413</v>
      </c>
      <c r="B20" s="610"/>
      <c r="C20" s="610"/>
      <c r="D20" s="611"/>
      <c r="E20" s="610"/>
      <c r="F20" s="610"/>
      <c r="G20" s="612"/>
    </row>
    <row r="21" spans="1:8" ht="21" customHeight="1" x14ac:dyDescent="0.25">
      <c r="A21" s="393"/>
      <c r="B21" s="610"/>
      <c r="C21" s="610"/>
      <c r="D21" s="611" t="str">
        <f t="shared" si="0"/>
        <v/>
      </c>
      <c r="E21" s="610"/>
      <c r="F21" s="610"/>
      <c r="G21" s="612" t="str">
        <f t="shared" si="1"/>
        <v/>
      </c>
    </row>
    <row r="22" spans="1:8" ht="21" customHeight="1" x14ac:dyDescent="0.25">
      <c r="A22" s="393"/>
      <c r="B22" s="610"/>
      <c r="C22" s="610"/>
      <c r="D22" s="611" t="str">
        <f t="shared" si="0"/>
        <v/>
      </c>
      <c r="E22" s="610"/>
      <c r="F22" s="610"/>
      <c r="G22" s="612" t="str">
        <f t="shared" si="1"/>
        <v/>
      </c>
    </row>
    <row r="23" spans="1:8" ht="21" customHeight="1" x14ac:dyDescent="0.25">
      <c r="A23" s="393"/>
      <c r="B23" s="610"/>
      <c r="C23" s="610"/>
      <c r="D23" s="611" t="str">
        <f t="shared" si="0"/>
        <v/>
      </c>
      <c r="E23" s="610"/>
      <c r="F23" s="610"/>
      <c r="G23" s="612" t="str">
        <f t="shared" si="1"/>
        <v/>
      </c>
    </row>
    <row r="24" spans="1:8" ht="21" customHeight="1" x14ac:dyDescent="0.25">
      <c r="A24" s="393"/>
      <c r="B24" s="610"/>
      <c r="C24" s="610"/>
      <c r="D24" s="611" t="str">
        <f t="shared" si="0"/>
        <v/>
      </c>
      <c r="E24" s="610"/>
      <c r="F24" s="610"/>
      <c r="G24" s="612" t="str">
        <f t="shared" si="1"/>
        <v/>
      </c>
    </row>
    <row r="25" spans="1:8" ht="21" customHeight="1" x14ac:dyDescent="0.25">
      <c r="A25" s="393"/>
      <c r="B25" s="610"/>
      <c r="C25" s="610"/>
      <c r="D25" s="611" t="str">
        <f t="shared" si="0"/>
        <v/>
      </c>
      <c r="E25" s="610"/>
      <c r="F25" s="610"/>
      <c r="G25" s="612" t="str">
        <f t="shared" si="1"/>
        <v/>
      </c>
    </row>
    <row r="26" spans="1:8" ht="21" customHeight="1" x14ac:dyDescent="0.25">
      <c r="A26" s="393"/>
      <c r="B26" s="610"/>
      <c r="C26" s="610"/>
      <c r="D26" s="611" t="str">
        <f t="shared" si="0"/>
        <v/>
      </c>
      <c r="E26" s="610"/>
      <c r="F26" s="610"/>
      <c r="G26" s="612" t="str">
        <f t="shared" si="1"/>
        <v/>
      </c>
    </row>
    <row r="27" spans="1:8" ht="21" customHeight="1" x14ac:dyDescent="0.25">
      <c r="A27" s="393"/>
      <c r="B27" s="610"/>
      <c r="C27" s="610"/>
      <c r="D27" s="611" t="str">
        <f t="shared" si="0"/>
        <v/>
      </c>
      <c r="E27" s="610"/>
      <c r="F27" s="610"/>
      <c r="G27" s="612" t="str">
        <f t="shared" si="1"/>
        <v/>
      </c>
    </row>
    <row r="28" spans="1:8" ht="21" customHeight="1" x14ac:dyDescent="0.25">
      <c r="A28" s="393"/>
      <c r="B28" s="610"/>
      <c r="C28" s="610"/>
      <c r="D28" s="611" t="str">
        <f t="shared" si="0"/>
        <v/>
      </c>
      <c r="E28" s="610"/>
      <c r="F28" s="610"/>
      <c r="G28" s="612" t="str">
        <f t="shared" si="1"/>
        <v/>
      </c>
    </row>
    <row r="29" spans="1:8" ht="21" customHeight="1" x14ac:dyDescent="0.25">
      <c r="A29" s="393"/>
      <c r="B29" s="610"/>
      <c r="C29" s="610"/>
      <c r="D29" s="611" t="str">
        <f t="shared" si="0"/>
        <v/>
      </c>
      <c r="E29" s="610"/>
      <c r="F29" s="610"/>
      <c r="G29" s="612" t="str">
        <f t="shared" si="1"/>
        <v/>
      </c>
    </row>
    <row r="30" spans="1:8" ht="21" customHeight="1" x14ac:dyDescent="0.25">
      <c r="A30" s="393"/>
      <c r="B30" s="610"/>
      <c r="C30" s="610"/>
      <c r="D30" s="611" t="str">
        <f t="shared" si="0"/>
        <v/>
      </c>
      <c r="E30" s="610"/>
      <c r="F30" s="610"/>
      <c r="G30" s="612" t="str">
        <f t="shared" si="1"/>
        <v/>
      </c>
    </row>
    <row r="31" spans="1:8" ht="21" customHeight="1" thickBot="1" x14ac:dyDescent="0.3">
      <c r="A31" s="393"/>
      <c r="B31" s="610"/>
      <c r="C31" s="610"/>
      <c r="D31" s="611" t="str">
        <f>IF($A31="","",B31+C31)</f>
        <v/>
      </c>
      <c r="E31" s="610"/>
      <c r="F31" s="610"/>
      <c r="G31" s="612" t="str">
        <f t="shared" si="1"/>
        <v/>
      </c>
    </row>
    <row r="32" spans="1:8" ht="21" customHeight="1" thickBot="1" x14ac:dyDescent="0.3">
      <c r="A32" s="394" t="s">
        <v>387</v>
      </c>
      <c r="B32" s="604">
        <f>SUM(B9:B31)</f>
        <v>15323938</v>
      </c>
      <c r="C32" s="604">
        <f t="shared" ref="C32:F32" si="2">SUM(C9:C31)</f>
        <v>3126196</v>
      </c>
      <c r="D32" s="604">
        <f>IF($A32="","",B32+C32)</f>
        <v>18450134</v>
      </c>
      <c r="E32" s="604">
        <f t="shared" si="2"/>
        <v>9598800</v>
      </c>
      <c r="F32" s="604">
        <f t="shared" si="2"/>
        <v>9598800</v>
      </c>
      <c r="G32" s="605">
        <f t="shared" si="1"/>
        <v>8851334</v>
      </c>
      <c r="H32" s="379" t="str">
        <f>IF($B$32&lt;&gt;'ETCA-II-11 '!$B$81,"ERROR!!!!! EL MONTO NO COINCIDE CON LO REPORTADO EN EL FORMATO ETCA-II-11 EN EL TOTAL APROBADO ANUAL DEL ANALÍTICO DE EGRESOS","")</f>
        <v/>
      </c>
    </row>
    <row r="33" spans="8:8" x14ac:dyDescent="0.25">
      <c r="H33" s="379" t="str">
        <f>IF($C$32&lt;&gt;'ETCA-II-11 '!$C$81,"ERROR!!!!! EL MONTO NO COINCIDE CON LO REPORTADO EN EL FORMATO ETCA-II-11 EN EL TOTAL APROBADO ANUAL DEL ANALÍTICO DE EGRESOS","")</f>
        <v/>
      </c>
    </row>
    <row r="34" spans="8:8" x14ac:dyDescent="0.25">
      <c r="H34" s="379" t="str">
        <f>IF($D$32&lt;&gt;'ETCA-II-11 '!$D$81,"ERROR!!!!! EL MONTO NO COINCIDE CON LO REPORTADO EN EL FORMATO ETCA-II-11 EN EL TOTAL APROBADO ANUAL DEL ANALÍTICO DE EGRESOS","")</f>
        <v/>
      </c>
    </row>
    <row r="35" spans="8:8" x14ac:dyDescent="0.25">
      <c r="H35" s="379" t="str">
        <f>IF($E$32&lt;&gt;'ETCA-II-11 '!$E$81,"ERROR!!!!! EL MONTO NO COINCIDE CON LO REPORTADO EN EL FORMATO ETCA-II-11 EN EL TOTAL APROBADO ANUAL DEL ANALÍTICO DE EGRESOS","")</f>
        <v/>
      </c>
    </row>
    <row r="36" spans="8:8" x14ac:dyDescent="0.25">
      <c r="H36" s="379" t="str">
        <f>IF($F$32&lt;&gt;'ETCA-II-11 '!$F$81,"ERROR!!!!! EL MONTO NO COINCIDE CON LO REPORTADO EN EL FORMATO ETCA-II-11 EN EL TOTAL APROBADO ANUAL DEL ANALÍTICO DE EGRESOS","")</f>
        <v/>
      </c>
    </row>
    <row r="37" spans="8:8" x14ac:dyDescent="0.25">
      <c r="H37" s="379" t="str">
        <f>IF($G$32&lt;&gt;'ETCA-II-11 '!$G$81,"ERROR!!!!! EL MONTO NO COINCIDE CON LO REPORTADO EN EL FORMATO ETCA-II-11 EN EL TOTAL APROBADO ANUAL DEL ANALÍTICO DE EGRESOS","")</f>
        <v/>
      </c>
    </row>
  </sheetData>
  <sheetProtection algorithmName="SHA-512" hashValue="xjmJjwF/OlcINn18nMAsz5Yop10YHQvSa5spbkhcIUqSJ2HcEYHTQPhwXyNIPNv8PLqpg0kz5JSCMgJLvPmr4w==" saltValue="IQfII0lYBmasdKKV+mNtuA==" spinCount="100000" sheet="1" objects="1" scenarios="1" insertRows="0" deleteRow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51181102362204722" right="0.15748031496062992" top="0.74803149606299213" bottom="0.74803149606299213" header="0.31496062992125984" footer="0.31496062992125984"/>
  <pageSetup scale="78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H20"/>
  <sheetViews>
    <sheetView view="pageBreakPreview" topLeftCell="A10" zoomScaleNormal="100" zoomScaleSheetLayoutView="100" workbookViewId="0">
      <selection activeCell="G6" sqref="G6"/>
    </sheetView>
  </sheetViews>
  <sheetFormatPr baseColWidth="10" defaultColWidth="11.42578125" defaultRowHeight="16.5" x14ac:dyDescent="0.25"/>
  <cols>
    <col min="1" max="1" width="39.85546875" style="376" customWidth="1"/>
    <col min="2" max="7" width="13.7109375" style="376" customWidth="1"/>
    <col min="8" max="16384" width="11.42578125" style="376"/>
  </cols>
  <sheetData>
    <row r="1" spans="1:8" x14ac:dyDescent="0.25">
      <c r="A1" s="816" t="s">
        <v>76</v>
      </c>
      <c r="B1" s="816"/>
      <c r="C1" s="816"/>
      <c r="D1" s="816"/>
      <c r="E1" s="816"/>
      <c r="F1" s="816"/>
      <c r="G1" s="816"/>
    </row>
    <row r="2" spans="1:8" s="378" customFormat="1" x14ac:dyDescent="0.25">
      <c r="A2" s="816" t="s">
        <v>327</v>
      </c>
      <c r="B2" s="816"/>
      <c r="C2" s="816"/>
      <c r="D2" s="816"/>
      <c r="E2" s="816"/>
      <c r="F2" s="816"/>
      <c r="G2" s="816"/>
    </row>
    <row r="3" spans="1:8" s="378" customFormat="1" x14ac:dyDescent="0.25">
      <c r="A3" s="817" t="s">
        <v>414</v>
      </c>
      <c r="B3" s="817"/>
      <c r="C3" s="817"/>
      <c r="D3" s="817"/>
      <c r="E3" s="817"/>
      <c r="F3" s="817"/>
      <c r="G3" s="817"/>
    </row>
    <row r="4" spans="1:8" s="378" customFormat="1" x14ac:dyDescent="0.25">
      <c r="A4" s="817" t="s">
        <v>642</v>
      </c>
      <c r="B4" s="817"/>
      <c r="C4" s="817"/>
      <c r="D4" s="817"/>
      <c r="E4" s="817"/>
      <c r="F4" s="817"/>
      <c r="G4" s="817"/>
    </row>
    <row r="5" spans="1:8" s="378" customFormat="1" x14ac:dyDescent="0.25">
      <c r="A5" s="817" t="s">
        <v>646</v>
      </c>
      <c r="B5" s="817"/>
      <c r="C5" s="817"/>
      <c r="D5" s="817"/>
      <c r="E5" s="817"/>
      <c r="F5" s="817"/>
      <c r="G5" s="817"/>
    </row>
    <row r="6" spans="1:8" s="378" customFormat="1" ht="17.25" thickBot="1" x14ac:dyDescent="0.3">
      <c r="A6" s="227"/>
      <c r="B6" s="818" t="s">
        <v>78</v>
      </c>
      <c r="C6" s="818"/>
      <c r="D6" s="818"/>
      <c r="E6" s="818"/>
      <c r="F6" s="74" t="s">
        <v>656</v>
      </c>
      <c r="G6" s="568" t="s">
        <v>644</v>
      </c>
    </row>
    <row r="7" spans="1:8" s="389" customFormat="1" ht="53.25" customHeight="1" x14ac:dyDescent="0.25">
      <c r="A7" s="877" t="s">
        <v>414</v>
      </c>
      <c r="B7" s="396" t="s">
        <v>330</v>
      </c>
      <c r="C7" s="396" t="s">
        <v>331</v>
      </c>
      <c r="D7" s="396" t="s">
        <v>332</v>
      </c>
      <c r="E7" s="396" t="s">
        <v>333</v>
      </c>
      <c r="F7" s="396" t="s">
        <v>334</v>
      </c>
      <c r="G7" s="397" t="s">
        <v>335</v>
      </c>
    </row>
    <row r="8" spans="1:8" s="395" customFormat="1" ht="15.75" customHeight="1" thickBot="1" x14ac:dyDescent="0.3">
      <c r="A8" s="878"/>
      <c r="B8" s="390" t="s">
        <v>280</v>
      </c>
      <c r="C8" s="390" t="s">
        <v>281</v>
      </c>
      <c r="D8" s="390" t="s">
        <v>336</v>
      </c>
      <c r="E8" s="390" t="s">
        <v>283</v>
      </c>
      <c r="F8" s="390" t="s">
        <v>284</v>
      </c>
      <c r="G8" s="391" t="s">
        <v>337</v>
      </c>
    </row>
    <row r="9" spans="1:8" ht="30" customHeight="1" x14ac:dyDescent="0.25">
      <c r="A9" s="676"/>
      <c r="B9" s="399"/>
      <c r="C9" s="399"/>
      <c r="D9" s="399"/>
      <c r="E9" s="399"/>
      <c r="F9" s="399"/>
      <c r="G9" s="400"/>
    </row>
    <row r="10" spans="1:8" ht="30" customHeight="1" x14ac:dyDescent="0.25">
      <c r="A10" s="385" t="s">
        <v>415</v>
      </c>
      <c r="B10" s="598"/>
      <c r="C10" s="598"/>
      <c r="D10" s="599">
        <f>B10+C10</f>
        <v>0</v>
      </c>
      <c r="E10" s="598"/>
      <c r="F10" s="598"/>
      <c r="G10" s="600">
        <f>D10-E10</f>
        <v>0</v>
      </c>
    </row>
    <row r="11" spans="1:8" ht="30" customHeight="1" x14ac:dyDescent="0.25">
      <c r="A11" s="385" t="s">
        <v>416</v>
      </c>
      <c r="B11" s="598"/>
      <c r="C11" s="598"/>
      <c r="D11" s="599">
        <f t="shared" ref="D11:D13" si="0">B11+C11</f>
        <v>0</v>
      </c>
      <c r="E11" s="598"/>
      <c r="F11" s="598"/>
      <c r="G11" s="600">
        <f t="shared" ref="G11:G13" si="1">D11-E11</f>
        <v>0</v>
      </c>
    </row>
    <row r="12" spans="1:8" ht="30" customHeight="1" x14ac:dyDescent="0.25">
      <c r="A12" s="385" t="s">
        <v>417</v>
      </c>
      <c r="B12" s="598"/>
      <c r="C12" s="598"/>
      <c r="D12" s="599">
        <f t="shared" si="0"/>
        <v>0</v>
      </c>
      <c r="E12" s="598"/>
      <c r="F12" s="598"/>
      <c r="G12" s="600">
        <f t="shared" si="1"/>
        <v>0</v>
      </c>
    </row>
    <row r="13" spans="1:8" ht="30" customHeight="1" x14ac:dyDescent="0.25">
      <c r="A13" s="385" t="s">
        <v>418</v>
      </c>
      <c r="B13" s="598">
        <v>15323938</v>
      </c>
      <c r="C13" s="598">
        <v>3126196</v>
      </c>
      <c r="D13" s="599">
        <f t="shared" si="0"/>
        <v>18450134</v>
      </c>
      <c r="E13" s="598">
        <f>+'ETCA-II-11 '!E81</f>
        <v>9598800</v>
      </c>
      <c r="F13" s="598">
        <f>+'ETCA-II-11 '!F81</f>
        <v>9598800</v>
      </c>
      <c r="G13" s="600">
        <f t="shared" si="1"/>
        <v>8851334</v>
      </c>
    </row>
    <row r="14" spans="1:8" ht="30" customHeight="1" thickBot="1" x14ac:dyDescent="0.3">
      <c r="A14" s="675"/>
      <c r="B14" s="606"/>
      <c r="C14" s="606"/>
      <c r="D14" s="606"/>
      <c r="E14" s="606"/>
      <c r="F14" s="606"/>
      <c r="G14" s="607"/>
    </row>
    <row r="15" spans="1:8" s="389" customFormat="1" ht="30" customHeight="1" thickBot="1" x14ac:dyDescent="0.3">
      <c r="A15" s="722" t="s">
        <v>387</v>
      </c>
      <c r="B15" s="608">
        <f>SUM(B10:B13)</f>
        <v>15323938</v>
      </c>
      <c r="C15" s="608">
        <f>SUM(C10:C13)</f>
        <v>3126196</v>
      </c>
      <c r="D15" s="608">
        <f>B15+C15</f>
        <v>18450134</v>
      </c>
      <c r="E15" s="608">
        <f>SUM(E10:E13)</f>
        <v>9598800</v>
      </c>
      <c r="F15" s="608">
        <f>SUM(F10:F13)</f>
        <v>9598800</v>
      </c>
      <c r="G15" s="609">
        <f>D15-E15</f>
        <v>8851334</v>
      </c>
      <c r="H15" s="671" t="str">
        <f>IF(B15&lt;&gt;'ETCA-II-11 '!B81,"ERROR!!!!! EL MONTO NO COINCIDE CON LO REPORTADO EN EL FORMATO ETCA-II-11 EN EL TOTAL APROBADO ANUAL DEL ANALÍTICO DE EGRESOS","")</f>
        <v/>
      </c>
    </row>
    <row r="16" spans="1:8" s="389" customFormat="1" ht="18" customHeight="1" x14ac:dyDescent="0.25">
      <c r="A16" s="651"/>
      <c r="B16" s="652"/>
      <c r="C16" s="652"/>
      <c r="D16" s="652"/>
      <c r="E16" s="652"/>
      <c r="F16" s="652"/>
      <c r="G16" s="652"/>
      <c r="H16" s="671" t="str">
        <f>IF(C15&lt;&gt;'ETCA-II-11 '!C81,"ERROR!!!!! EL MONTO NO COINCIDE CON LO REPORTADO EN EL FORMATO ETCA-II-11 EN EL TOTAL DE AMPLIACIONES/REDUCCIONES PRESENTADO EN EL ANALÍTICO DE EGRESOS","")</f>
        <v/>
      </c>
    </row>
    <row r="17" spans="1:8" s="389" customFormat="1" ht="18" customHeight="1" x14ac:dyDescent="0.25">
      <c r="A17" s="651"/>
      <c r="B17" s="652"/>
      <c r="C17" s="652"/>
      <c r="D17" s="652"/>
      <c r="E17" s="652"/>
      <c r="F17" s="652"/>
      <c r="G17" s="652"/>
      <c r="H17" s="671" t="str">
        <f>IF(D15&lt;&gt;'ETCA-II-11 '!D81,"ERROR!!!!! EL MONTO NO COINCIDE CON LO REPORTADO EN EL FORMATO ETCA-II-11 EN EL TOTAL MODIFICADO ANUAL PRESENTADO EN EL ANALÍTICO DE EGRESOS","")</f>
        <v/>
      </c>
    </row>
    <row r="18" spans="1:8" x14ac:dyDescent="0.25">
      <c r="H18" s="671" t="str">
        <f>IF(E15&lt;&gt;'ETCA-II-11 '!E81,"ERROR!!!!! EL MONTO NO COINCIDE CON LO REPORTADO EN EL FORMATO ETCA-II-11 EN EL TOTAL DEVENGADO ANUAL PRESENTADO EN EL ANALÍTICO DE EGRESOS","")</f>
        <v/>
      </c>
    </row>
    <row r="19" spans="1:8" x14ac:dyDescent="0.25">
      <c r="H19" s="671" t="str">
        <f>IF(F15&lt;&gt;'ETCA-II-11 '!F81,"ERROR!!!!! EL MONTO NO COINCIDE CON LO REPORTADO EN EL FORMATO ETCA-II-11 EN EL TOTAL PAGADO ANUAL PRESENTADO EN EL ANALÍTICO DE EGRESOS","")</f>
        <v/>
      </c>
    </row>
    <row r="20" spans="1:8" x14ac:dyDescent="0.25">
      <c r="H20" s="671" t="str">
        <f>IF(G15&lt;&gt;'ETCA-II-11 '!G81,"ERROR!!!!! EL MONTO NO COINCIDE CON LO REPORTADO EN EL FORMATO ETCA-II-11 EN EL TOTAL SUBEJERCICIO PRESENTADO EN EL ANALÍTICO DE EGRESOS","")</f>
        <v/>
      </c>
    </row>
  </sheetData>
  <sheetProtection algorithmName="SHA-512" hashValue="c0ubfPCL1warmFiagwKjZhR0/MGrMBwHysV+hKAGRacTeyWHQ+ml+mSUeB/0ObEBCkQBu8tzoqi+49zurXu9Dw==" saltValue="JiiHpVGJvFpgOmJ69MLEwQ==" spinCount="100000" sheet="1" objects="1" scenarios="1"/>
  <mergeCells count="7">
    <mergeCell ref="A7:A8"/>
    <mergeCell ref="A5:G5"/>
    <mergeCell ref="A1:G1"/>
    <mergeCell ref="A2:G2"/>
    <mergeCell ref="A3:G3"/>
    <mergeCell ref="A4:G4"/>
    <mergeCell ref="B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H31"/>
  <sheetViews>
    <sheetView view="pageBreakPreview" topLeftCell="A10" zoomScaleNormal="100" zoomScaleSheetLayoutView="100" workbookViewId="0">
      <selection activeCell="G10" sqref="G10"/>
    </sheetView>
  </sheetViews>
  <sheetFormatPr baseColWidth="10" defaultColWidth="11.42578125" defaultRowHeight="16.5" x14ac:dyDescent="0.25"/>
  <cols>
    <col min="1" max="1" width="39.85546875" style="376" customWidth="1"/>
    <col min="2" max="7" width="13.7109375" style="376" customWidth="1"/>
    <col min="8" max="16384" width="11.42578125" style="376"/>
  </cols>
  <sheetData>
    <row r="1" spans="1:7" x14ac:dyDescent="0.25">
      <c r="A1" s="817" t="s">
        <v>76</v>
      </c>
      <c r="B1" s="817"/>
      <c r="C1" s="817"/>
      <c r="D1" s="817"/>
      <c r="E1" s="817"/>
      <c r="F1" s="817"/>
      <c r="G1" s="817"/>
    </row>
    <row r="2" spans="1:7" x14ac:dyDescent="0.25">
      <c r="A2" s="817" t="s">
        <v>327</v>
      </c>
      <c r="B2" s="817"/>
      <c r="C2" s="817"/>
      <c r="D2" s="817"/>
      <c r="E2" s="817"/>
      <c r="F2" s="817"/>
      <c r="G2" s="817"/>
    </row>
    <row r="3" spans="1:7" x14ac:dyDescent="0.25">
      <c r="A3" s="817" t="s">
        <v>419</v>
      </c>
      <c r="B3" s="817"/>
      <c r="C3" s="817"/>
      <c r="D3" s="817"/>
      <c r="E3" s="817"/>
      <c r="F3" s="817"/>
      <c r="G3" s="817"/>
    </row>
    <row r="4" spans="1:7" x14ac:dyDescent="0.25">
      <c r="A4" s="817" t="s">
        <v>642</v>
      </c>
      <c r="B4" s="817"/>
      <c r="C4" s="817"/>
      <c r="D4" s="817"/>
      <c r="E4" s="817"/>
      <c r="F4" s="817"/>
      <c r="G4" s="817"/>
    </row>
    <row r="5" spans="1:7" x14ac:dyDescent="0.25">
      <c r="A5" s="817" t="s">
        <v>647</v>
      </c>
      <c r="B5" s="817"/>
      <c r="C5" s="817"/>
      <c r="D5" s="817"/>
      <c r="E5" s="817"/>
      <c r="F5" s="817"/>
      <c r="G5" s="817"/>
    </row>
    <row r="6" spans="1:7" ht="17.25" thickBot="1" x14ac:dyDescent="0.3">
      <c r="A6" s="227"/>
      <c r="B6" s="818" t="s">
        <v>78</v>
      </c>
      <c r="C6" s="818"/>
      <c r="D6" s="818"/>
      <c r="E6" s="818"/>
      <c r="F6" s="74" t="s">
        <v>79</v>
      </c>
      <c r="G6" s="568" t="s">
        <v>644</v>
      </c>
    </row>
    <row r="7" spans="1:7" s="382" customFormat="1" ht="40.5" x14ac:dyDescent="0.25">
      <c r="A7" s="879" t="s">
        <v>199</v>
      </c>
      <c r="B7" s="403" t="s">
        <v>330</v>
      </c>
      <c r="C7" s="403" t="s">
        <v>331</v>
      </c>
      <c r="D7" s="403" t="s">
        <v>332</v>
      </c>
      <c r="E7" s="403" t="s">
        <v>333</v>
      </c>
      <c r="F7" s="403" t="s">
        <v>334</v>
      </c>
      <c r="G7" s="404" t="s">
        <v>335</v>
      </c>
    </row>
    <row r="8" spans="1:7" s="382" customFormat="1" ht="15.75" customHeight="1" thickBot="1" x14ac:dyDescent="0.3">
      <c r="A8" s="880"/>
      <c r="B8" s="390" t="s">
        <v>280</v>
      </c>
      <c r="C8" s="390" t="s">
        <v>281</v>
      </c>
      <c r="D8" s="390" t="s">
        <v>336</v>
      </c>
      <c r="E8" s="390" t="s">
        <v>283</v>
      </c>
      <c r="F8" s="390" t="s">
        <v>284</v>
      </c>
      <c r="G8" s="391" t="s">
        <v>337</v>
      </c>
    </row>
    <row r="9" spans="1:7" x14ac:dyDescent="0.25">
      <c r="A9" s="398"/>
      <c r="B9" s="401"/>
      <c r="C9" s="401"/>
      <c r="D9" s="402"/>
      <c r="E9" s="401"/>
      <c r="F9" s="401"/>
      <c r="G9" s="405"/>
    </row>
    <row r="10" spans="1:7" ht="25.5" x14ac:dyDescent="0.25">
      <c r="A10" s="406" t="s">
        <v>420</v>
      </c>
      <c r="B10" s="598">
        <v>15323938</v>
      </c>
      <c r="C10" s="598">
        <v>3126196</v>
      </c>
      <c r="D10" s="599">
        <f>IF(A10="","",B10+C10)</f>
        <v>18450134</v>
      </c>
      <c r="E10" s="598">
        <f>+'ETCA-II-11 '!E81</f>
        <v>9598800</v>
      </c>
      <c r="F10" s="598">
        <f>+'ETCA-II-11 '!F81</f>
        <v>9598800</v>
      </c>
      <c r="G10" s="600">
        <f>IF(A10="","",D10-E10)</f>
        <v>8851334</v>
      </c>
    </row>
    <row r="11" spans="1:7" ht="8.25" customHeight="1" x14ac:dyDescent="0.25">
      <c r="A11" s="406"/>
      <c r="B11" s="598"/>
      <c r="C11" s="598"/>
      <c r="D11" s="599" t="str">
        <f t="shared" ref="D11:D22" si="0">IF(A11="","",B11+C11)</f>
        <v/>
      </c>
      <c r="E11" s="598"/>
      <c r="F11" s="598"/>
      <c r="G11" s="600" t="str">
        <f t="shared" ref="G11:G22" si="1">IF(A11="","",D11-E11)</f>
        <v/>
      </c>
    </row>
    <row r="12" spans="1:7" x14ac:dyDescent="0.25">
      <c r="A12" s="406" t="s">
        <v>421</v>
      </c>
      <c r="B12" s="598"/>
      <c r="C12" s="598"/>
      <c r="D12" s="599">
        <f t="shared" si="0"/>
        <v>0</v>
      </c>
      <c r="E12" s="598"/>
      <c r="F12" s="598"/>
      <c r="G12" s="600">
        <f t="shared" si="1"/>
        <v>0</v>
      </c>
    </row>
    <row r="13" spans="1:7" ht="8.25" customHeight="1" x14ac:dyDescent="0.25">
      <c r="A13" s="406"/>
      <c r="B13" s="598"/>
      <c r="C13" s="598"/>
      <c r="D13" s="599" t="str">
        <f t="shared" si="0"/>
        <v/>
      </c>
      <c r="E13" s="598"/>
      <c r="F13" s="598"/>
      <c r="G13" s="600" t="str">
        <f t="shared" si="1"/>
        <v/>
      </c>
    </row>
    <row r="14" spans="1:7" ht="25.5" x14ac:dyDescent="0.25">
      <c r="A14" s="406" t="s">
        <v>422</v>
      </c>
      <c r="B14" s="598"/>
      <c r="C14" s="598"/>
      <c r="D14" s="599">
        <f t="shared" si="0"/>
        <v>0</v>
      </c>
      <c r="E14" s="598"/>
      <c r="F14" s="598"/>
      <c r="G14" s="600">
        <f t="shared" si="1"/>
        <v>0</v>
      </c>
    </row>
    <row r="15" spans="1:7" ht="8.25" customHeight="1" x14ac:dyDescent="0.25">
      <c r="A15" s="406"/>
      <c r="B15" s="598"/>
      <c r="C15" s="598"/>
      <c r="D15" s="599" t="str">
        <f t="shared" si="0"/>
        <v/>
      </c>
      <c r="E15" s="598"/>
      <c r="F15" s="598"/>
      <c r="G15" s="600" t="str">
        <f t="shared" si="1"/>
        <v/>
      </c>
    </row>
    <row r="16" spans="1:7" ht="25.5" x14ac:dyDescent="0.25">
      <c r="A16" s="406" t="s">
        <v>423</v>
      </c>
      <c r="B16" s="598"/>
      <c r="C16" s="598"/>
      <c r="D16" s="599">
        <f t="shared" si="0"/>
        <v>0</v>
      </c>
      <c r="E16" s="598"/>
      <c r="F16" s="598"/>
      <c r="G16" s="600">
        <f t="shared" si="1"/>
        <v>0</v>
      </c>
    </row>
    <row r="17" spans="1:8" ht="8.25" customHeight="1" x14ac:dyDescent="0.25">
      <c r="A17" s="406"/>
      <c r="B17" s="598"/>
      <c r="C17" s="598"/>
      <c r="D17" s="599" t="str">
        <f t="shared" si="0"/>
        <v/>
      </c>
      <c r="E17" s="598"/>
      <c r="F17" s="598"/>
      <c r="G17" s="600" t="str">
        <f t="shared" si="1"/>
        <v/>
      </c>
    </row>
    <row r="18" spans="1:8" ht="25.5" x14ac:dyDescent="0.25">
      <c r="A18" s="406" t="s">
        <v>424</v>
      </c>
      <c r="B18" s="598"/>
      <c r="C18" s="598"/>
      <c r="D18" s="599">
        <f t="shared" si="0"/>
        <v>0</v>
      </c>
      <c r="E18" s="598"/>
      <c r="F18" s="598"/>
      <c r="G18" s="600">
        <f t="shared" si="1"/>
        <v>0</v>
      </c>
    </row>
    <row r="19" spans="1:8" ht="8.25" customHeight="1" x14ac:dyDescent="0.25">
      <c r="A19" s="406"/>
      <c r="B19" s="598"/>
      <c r="C19" s="598"/>
      <c r="D19" s="599" t="str">
        <f t="shared" si="0"/>
        <v/>
      </c>
      <c r="E19" s="598"/>
      <c r="F19" s="598"/>
      <c r="G19" s="600" t="str">
        <f t="shared" si="1"/>
        <v/>
      </c>
    </row>
    <row r="20" spans="1:8" ht="25.5" x14ac:dyDescent="0.25">
      <c r="A20" s="406" t="s">
        <v>425</v>
      </c>
      <c r="B20" s="598"/>
      <c r="C20" s="598"/>
      <c r="D20" s="599">
        <f t="shared" si="0"/>
        <v>0</v>
      </c>
      <c r="E20" s="598"/>
      <c r="F20" s="598">
        <v>0</v>
      </c>
      <c r="G20" s="600">
        <f t="shared" si="1"/>
        <v>0</v>
      </c>
    </row>
    <row r="21" spans="1:8" ht="8.25" customHeight="1" x14ac:dyDescent="0.25">
      <c r="A21" s="406"/>
      <c r="B21" s="598"/>
      <c r="C21" s="598"/>
      <c r="D21" s="599" t="str">
        <f t="shared" si="0"/>
        <v/>
      </c>
      <c r="E21" s="598"/>
      <c r="F21" s="598"/>
      <c r="G21" s="600" t="str">
        <f t="shared" si="1"/>
        <v/>
      </c>
    </row>
    <row r="22" spans="1:8" ht="26.25" thickBot="1" x14ac:dyDescent="0.3">
      <c r="A22" s="406" t="s">
        <v>426</v>
      </c>
      <c r="B22" s="598"/>
      <c r="C22" s="598"/>
      <c r="D22" s="599">
        <f t="shared" si="0"/>
        <v>0</v>
      </c>
      <c r="E22" s="598"/>
      <c r="F22" s="598"/>
      <c r="G22" s="600">
        <f t="shared" si="1"/>
        <v>0</v>
      </c>
    </row>
    <row r="23" spans="1:8" ht="24.95" customHeight="1" thickBot="1" x14ac:dyDescent="0.3">
      <c r="A23" s="394" t="s">
        <v>387</v>
      </c>
      <c r="B23" s="604">
        <f>SUM(B10:B22)</f>
        <v>15323938</v>
      </c>
      <c r="C23" s="604">
        <f>SUM(C10:C22)</f>
        <v>3126196</v>
      </c>
      <c r="D23" s="604">
        <f t="shared" ref="D23" si="2">IF(A23="","",B23+C23)</f>
        <v>18450134</v>
      </c>
      <c r="E23" s="604">
        <f>SUM(E10:E22)</f>
        <v>9598800</v>
      </c>
      <c r="F23" s="604">
        <f>SUM(F10:F22)</f>
        <v>9598800</v>
      </c>
      <c r="G23" s="605">
        <f t="shared" ref="G23" si="3">IF(A23="","",D23-E23)</f>
        <v>8851334</v>
      </c>
      <c r="H23" s="379" t="str">
        <f>IF(B23&lt;&gt;'ETCA-II-11 '!B81,"ERROR!!!!! EL MONTO NO COINCIDE CON LO REPORTADO EN EL FORMATO ETCA-II-11 EN EL TOTAL APROBADO ANUAL DEL ANALÍTICO DE EGRESOS","")</f>
        <v/>
      </c>
    </row>
    <row r="24" spans="1:8" ht="24.95" customHeight="1" x14ac:dyDescent="0.25">
      <c r="A24" s="654"/>
      <c r="B24" s="596"/>
      <c r="C24" s="596"/>
      <c r="D24" s="596"/>
      <c r="E24" s="596"/>
      <c r="F24" s="596"/>
      <c r="G24" s="597"/>
      <c r="H24" s="379" t="str">
        <f>IF(C23&lt;&gt;'ETCA-II-11 '!C81,"ERROR!!!!! EL MONTO NO COINCIDE CON LO REPORTADO EN EL FORMATO ETCA-II-11 EN EL TOTAL APROBADO ANUAL DEL ANALÍTICO DE EGRESOS","")</f>
        <v/>
      </c>
    </row>
    <row r="25" spans="1:8" ht="24.95" customHeight="1" x14ac:dyDescent="0.25">
      <c r="A25" s="654"/>
      <c r="B25" s="596"/>
      <c r="C25" s="596"/>
      <c r="D25" s="596"/>
      <c r="E25" s="596"/>
      <c r="F25" s="596"/>
      <c r="G25" s="597"/>
      <c r="H25" s="379" t="str">
        <f>IF(D23&lt;&gt;'ETCA-II-11 '!D81,"ERROR!!!!! EL MONTO NO COINCIDE CON LO REPORTADO EN EL FORMATO ETCA-II-11 EN EL TOTAL APROBADO ANUAL DEL ANALÍTICO DE EGRESOS","")</f>
        <v/>
      </c>
    </row>
    <row r="26" spans="1:8" ht="24.95" customHeight="1" x14ac:dyDescent="0.25">
      <c r="A26" s="398"/>
      <c r="B26" s="598"/>
      <c r="C26" s="598"/>
      <c r="D26" s="599"/>
      <c r="E26" s="598"/>
      <c r="F26" s="598"/>
      <c r="G26" s="600"/>
      <c r="H26" s="379" t="str">
        <f>IF(E23&lt;&gt;'ETCA-II-11 '!E81,"ERROR!!!!! EL MONTO NO COINCIDE CON LO REPORTADO EN EL FORMATO ETCA-II-11 EN EL TOTAL APROBADO ANUAL DEL ANALÍTICO DE EGRESOS","")</f>
        <v/>
      </c>
    </row>
    <row r="27" spans="1:8" ht="24.95" customHeight="1" x14ac:dyDescent="0.25">
      <c r="A27" s="398"/>
      <c r="B27" s="598"/>
      <c r="C27" s="598"/>
      <c r="D27" s="599"/>
      <c r="E27" s="598"/>
      <c r="F27" s="598"/>
      <c r="G27" s="600"/>
      <c r="H27" s="379" t="str">
        <f>IF(F23&lt;&gt;'ETCA-II-11 '!F81,"ERROR!!!!! EL MONTO NO COINCIDE CON LO REPORTADO EN EL FORMATO ETCA-II-11 EN EL TOTAL APROBADO ANUAL DEL ANALÍTICO DE EGRESOS","")</f>
        <v/>
      </c>
    </row>
    <row r="28" spans="1:8" ht="25.5" customHeight="1" x14ac:dyDescent="0.25">
      <c r="A28" s="653"/>
      <c r="B28" s="652"/>
      <c r="C28" s="652"/>
      <c r="D28" s="652"/>
      <c r="E28" s="652"/>
      <c r="F28" s="652"/>
      <c r="G28" s="652"/>
      <c r="H28" s="379" t="str">
        <f>IF(G23&lt;&gt;'ETCA-II-11 '!G81,"ERROR!!!!! EL MONTO NO COINCIDE CON LO REPORTADO EN EL FORMATO ETCA-II-11 EN EL TOTAL APROBADO ANUAL DEL ANALÍTICO DE EGRESOS","")</f>
        <v/>
      </c>
    </row>
    <row r="30" spans="1:8" x14ac:dyDescent="0.25">
      <c r="F30" s="389"/>
    </row>
    <row r="31" spans="1:8" x14ac:dyDescent="0.25">
      <c r="F31" s="389"/>
    </row>
  </sheetData>
  <sheetProtection algorithmName="SHA-512" hashValue="vUk7riBp2j0GJlUGipbOK9U/cD0wrwjymu2xFAH/qQ4mB4HU/jSypDApAW4s/faEkdoTTIQcN/rwP8p3Hor3Aw==" saltValue="GU0krQB94l8FmvgpXrdGEg==" spinCount="100000" sheet="1" objects="1" scenarios="1"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H50"/>
  <sheetViews>
    <sheetView view="pageBreakPreview" topLeftCell="A31" zoomScaleNormal="100" zoomScaleSheetLayoutView="100" workbookViewId="0">
      <selection activeCell="G6" sqref="G6"/>
    </sheetView>
  </sheetViews>
  <sheetFormatPr baseColWidth="10" defaultColWidth="11.42578125" defaultRowHeight="15" x14ac:dyDescent="0.25"/>
  <cols>
    <col min="1" max="1" width="36.7109375" style="407" customWidth="1"/>
    <col min="2" max="5" width="11.42578125" style="417"/>
    <col min="6" max="6" width="11.85546875" style="417" customWidth="1"/>
    <col min="7" max="7" width="11.42578125" style="417"/>
    <col min="8" max="16384" width="11.42578125" style="407"/>
  </cols>
  <sheetData>
    <row r="1" spans="1:7" ht="16.5" x14ac:dyDescent="0.25">
      <c r="A1" s="817" t="s">
        <v>76</v>
      </c>
      <c r="B1" s="817"/>
      <c r="C1" s="817"/>
      <c r="D1" s="817"/>
      <c r="E1" s="817"/>
      <c r="F1" s="817"/>
      <c r="G1" s="817"/>
    </row>
    <row r="2" spans="1:7" ht="16.5" x14ac:dyDescent="0.25">
      <c r="A2" s="817" t="s">
        <v>327</v>
      </c>
      <c r="B2" s="817"/>
      <c r="C2" s="817"/>
      <c r="D2" s="817"/>
      <c r="E2" s="817"/>
      <c r="F2" s="817"/>
      <c r="G2" s="817"/>
    </row>
    <row r="3" spans="1:7" ht="16.5" x14ac:dyDescent="0.25">
      <c r="A3" s="817" t="s">
        <v>427</v>
      </c>
      <c r="B3" s="817"/>
      <c r="C3" s="817"/>
      <c r="D3" s="817"/>
      <c r="E3" s="817"/>
      <c r="F3" s="817"/>
      <c r="G3" s="817"/>
    </row>
    <row r="4" spans="1:7" ht="16.5" x14ac:dyDescent="0.25">
      <c r="A4" s="817" t="s">
        <v>642</v>
      </c>
      <c r="B4" s="817"/>
      <c r="C4" s="817"/>
      <c r="D4" s="817"/>
      <c r="E4" s="817"/>
      <c r="F4" s="817"/>
      <c r="G4" s="817"/>
    </row>
    <row r="5" spans="1:7" ht="16.5" x14ac:dyDescent="0.25">
      <c r="A5" s="817" t="s">
        <v>647</v>
      </c>
      <c r="B5" s="817"/>
      <c r="C5" s="817"/>
      <c r="D5" s="817"/>
      <c r="E5" s="817"/>
      <c r="F5" s="817"/>
      <c r="G5" s="817"/>
    </row>
    <row r="6" spans="1:7" ht="17.25" thickBot="1" x14ac:dyDescent="0.3">
      <c r="A6" s="227"/>
      <c r="B6" s="881"/>
      <c r="C6" s="881"/>
      <c r="D6" s="881"/>
      <c r="E6" s="881"/>
      <c r="F6" s="408" t="s">
        <v>79</v>
      </c>
      <c r="G6" s="569" t="s">
        <v>644</v>
      </c>
    </row>
    <row r="7" spans="1:7" s="411" customFormat="1" ht="40.5" x14ac:dyDescent="0.2">
      <c r="A7" s="879" t="s">
        <v>199</v>
      </c>
      <c r="B7" s="409" t="s">
        <v>330</v>
      </c>
      <c r="C7" s="409" t="s">
        <v>331</v>
      </c>
      <c r="D7" s="409" t="s">
        <v>332</v>
      </c>
      <c r="E7" s="409" t="s">
        <v>333</v>
      </c>
      <c r="F7" s="409" t="s">
        <v>334</v>
      </c>
      <c r="G7" s="410" t="s">
        <v>335</v>
      </c>
    </row>
    <row r="8" spans="1:7" s="411" customFormat="1" ht="15.75" customHeight="1" thickBot="1" x14ac:dyDescent="0.25">
      <c r="A8" s="880"/>
      <c r="B8" s="412" t="s">
        <v>280</v>
      </c>
      <c r="C8" s="412" t="s">
        <v>281</v>
      </c>
      <c r="D8" s="412" t="s">
        <v>336</v>
      </c>
      <c r="E8" s="412" t="s">
        <v>283</v>
      </c>
      <c r="F8" s="412" t="s">
        <v>284</v>
      </c>
      <c r="G8" s="413" t="s">
        <v>337</v>
      </c>
    </row>
    <row r="9" spans="1:7" ht="16.5" x14ac:dyDescent="0.25">
      <c r="A9" s="414"/>
      <c r="B9" s="415"/>
      <c r="C9" s="415"/>
      <c r="D9" s="415"/>
      <c r="E9" s="415"/>
      <c r="F9" s="415"/>
      <c r="G9" s="416"/>
    </row>
    <row r="10" spans="1:7" x14ac:dyDescent="0.25">
      <c r="A10" s="595" t="s">
        <v>428</v>
      </c>
      <c r="B10" s="596">
        <f>SUM(B11:B18)</f>
        <v>15323938</v>
      </c>
      <c r="C10" s="596">
        <f>SUM(C11:C18)</f>
        <v>3126196</v>
      </c>
      <c r="D10" s="596">
        <f>IF(A10="","",B10+C10)</f>
        <v>18450134</v>
      </c>
      <c r="E10" s="596">
        <f>SUM(E11:E18)</f>
        <v>9598800</v>
      </c>
      <c r="F10" s="596">
        <f>SUM(F11:F18)</f>
        <v>9598800</v>
      </c>
      <c r="G10" s="597">
        <f>IF(A10="","",D10-E10)</f>
        <v>8851334</v>
      </c>
    </row>
    <row r="11" spans="1:7" x14ac:dyDescent="0.25">
      <c r="A11" s="385" t="s">
        <v>429</v>
      </c>
      <c r="B11" s="598"/>
      <c r="C11" s="598"/>
      <c r="D11" s="599">
        <f t="shared" ref="D11:D44" si="0">IF(A11="","",B11+C11)</f>
        <v>0</v>
      </c>
      <c r="E11" s="598"/>
      <c r="F11" s="598"/>
      <c r="G11" s="600">
        <f t="shared" ref="G11:G44" si="1">IF(A11="","",D11-E11)</f>
        <v>0</v>
      </c>
    </row>
    <row r="12" spans="1:7" x14ac:dyDescent="0.25">
      <c r="A12" s="385" t="s">
        <v>430</v>
      </c>
      <c r="B12" s="598"/>
      <c r="C12" s="598"/>
      <c r="D12" s="599">
        <f t="shared" si="0"/>
        <v>0</v>
      </c>
      <c r="E12" s="598"/>
      <c r="F12" s="598"/>
      <c r="G12" s="600">
        <f t="shared" si="1"/>
        <v>0</v>
      </c>
    </row>
    <row r="13" spans="1:7" x14ac:dyDescent="0.25">
      <c r="A13" s="385" t="s">
        <v>431</v>
      </c>
      <c r="B13" s="598"/>
      <c r="C13" s="598"/>
      <c r="D13" s="599">
        <f t="shared" si="0"/>
        <v>0</v>
      </c>
      <c r="E13" s="598"/>
      <c r="F13" s="598"/>
      <c r="G13" s="600">
        <f t="shared" si="1"/>
        <v>0</v>
      </c>
    </row>
    <row r="14" spans="1:7" x14ac:dyDescent="0.25">
      <c r="A14" s="385" t="s">
        <v>432</v>
      </c>
      <c r="B14" s="598"/>
      <c r="C14" s="598"/>
      <c r="D14" s="599">
        <f t="shared" si="0"/>
        <v>0</v>
      </c>
      <c r="E14" s="598"/>
      <c r="F14" s="598"/>
      <c r="G14" s="600">
        <f t="shared" si="1"/>
        <v>0</v>
      </c>
    </row>
    <row r="15" spans="1:7" x14ac:dyDescent="0.25">
      <c r="A15" s="385" t="s">
        <v>433</v>
      </c>
      <c r="B15" s="598"/>
      <c r="C15" s="598"/>
      <c r="D15" s="599">
        <f t="shared" si="0"/>
        <v>0</v>
      </c>
      <c r="E15" s="598"/>
      <c r="F15" s="598"/>
      <c r="G15" s="600">
        <f t="shared" si="1"/>
        <v>0</v>
      </c>
    </row>
    <row r="16" spans="1:7" x14ac:dyDescent="0.25">
      <c r="A16" s="385" t="s">
        <v>434</v>
      </c>
      <c r="B16" s="598"/>
      <c r="C16" s="598"/>
      <c r="D16" s="599">
        <f t="shared" si="0"/>
        <v>0</v>
      </c>
      <c r="E16" s="598"/>
      <c r="F16" s="598"/>
      <c r="G16" s="600">
        <f t="shared" si="1"/>
        <v>0</v>
      </c>
    </row>
    <row r="17" spans="1:7" x14ac:dyDescent="0.25">
      <c r="A17" s="385" t="s">
        <v>435</v>
      </c>
      <c r="B17" s="598"/>
      <c r="C17" s="598"/>
      <c r="D17" s="599">
        <f t="shared" si="0"/>
        <v>0</v>
      </c>
      <c r="E17" s="598"/>
      <c r="F17" s="598"/>
      <c r="G17" s="600">
        <f t="shared" si="1"/>
        <v>0</v>
      </c>
    </row>
    <row r="18" spans="1:7" x14ac:dyDescent="0.25">
      <c r="A18" s="385" t="s">
        <v>362</v>
      </c>
      <c r="B18" s="598">
        <v>15323938</v>
      </c>
      <c r="C18" s="598">
        <v>3126196</v>
      </c>
      <c r="D18" s="599">
        <f t="shared" si="0"/>
        <v>18450134</v>
      </c>
      <c r="E18" s="598">
        <f>+'ETCA-II-11 '!E81</f>
        <v>9598800</v>
      </c>
      <c r="F18" s="598">
        <f>+'ETCA-II-11 '!F81</f>
        <v>9598800</v>
      </c>
      <c r="G18" s="600">
        <f t="shared" si="1"/>
        <v>8851334</v>
      </c>
    </row>
    <row r="19" spans="1:7" x14ac:dyDescent="0.25">
      <c r="A19" s="398"/>
      <c r="B19" s="598"/>
      <c r="C19" s="598"/>
      <c r="D19" s="599" t="str">
        <f t="shared" si="0"/>
        <v/>
      </c>
      <c r="E19" s="598"/>
      <c r="F19" s="598"/>
      <c r="G19" s="600" t="str">
        <f t="shared" si="1"/>
        <v/>
      </c>
    </row>
    <row r="20" spans="1:7" x14ac:dyDescent="0.25">
      <c r="A20" s="595" t="s">
        <v>436</v>
      </c>
      <c r="B20" s="596">
        <f>SUM(B21:B27)</f>
        <v>0</v>
      </c>
      <c r="C20" s="596">
        <f>SUM(C21:C27)</f>
        <v>0</v>
      </c>
      <c r="D20" s="596">
        <f t="shared" si="0"/>
        <v>0</v>
      </c>
      <c r="E20" s="596">
        <f>SUM(E21:E27)</f>
        <v>0</v>
      </c>
      <c r="F20" s="596">
        <f>SUM(F21:F27)</f>
        <v>0</v>
      </c>
      <c r="G20" s="597">
        <f t="shared" si="1"/>
        <v>0</v>
      </c>
    </row>
    <row r="21" spans="1:7" x14ac:dyDescent="0.25">
      <c r="A21" s="385" t="s">
        <v>437</v>
      </c>
      <c r="B21" s="598"/>
      <c r="C21" s="598"/>
      <c r="D21" s="599">
        <f t="shared" si="0"/>
        <v>0</v>
      </c>
      <c r="E21" s="598"/>
      <c r="F21" s="598"/>
      <c r="G21" s="600">
        <f t="shared" si="1"/>
        <v>0</v>
      </c>
    </row>
    <row r="22" spans="1:7" x14ac:dyDescent="0.25">
      <c r="A22" s="385" t="s">
        <v>438</v>
      </c>
      <c r="B22" s="598"/>
      <c r="C22" s="598"/>
      <c r="D22" s="599">
        <f t="shared" si="0"/>
        <v>0</v>
      </c>
      <c r="E22" s="598"/>
      <c r="F22" s="598"/>
      <c r="G22" s="600">
        <f t="shared" si="1"/>
        <v>0</v>
      </c>
    </row>
    <row r="23" spans="1:7" x14ac:dyDescent="0.25">
      <c r="A23" s="385" t="s">
        <v>439</v>
      </c>
      <c r="B23" s="598"/>
      <c r="C23" s="598"/>
      <c r="D23" s="599">
        <f t="shared" si="0"/>
        <v>0</v>
      </c>
      <c r="E23" s="598"/>
      <c r="F23" s="598"/>
      <c r="G23" s="600">
        <f t="shared" si="1"/>
        <v>0</v>
      </c>
    </row>
    <row r="24" spans="1:7" ht="25.5" x14ac:dyDescent="0.25">
      <c r="A24" s="385" t="s">
        <v>440</v>
      </c>
      <c r="B24" s="598"/>
      <c r="C24" s="598"/>
      <c r="D24" s="599">
        <f t="shared" si="0"/>
        <v>0</v>
      </c>
      <c r="E24" s="598"/>
      <c r="F24" s="598"/>
      <c r="G24" s="600">
        <f t="shared" si="1"/>
        <v>0</v>
      </c>
    </row>
    <row r="25" spans="1:7" x14ac:dyDescent="0.25">
      <c r="A25" s="385" t="s">
        <v>441</v>
      </c>
      <c r="B25" s="598"/>
      <c r="C25" s="598"/>
      <c r="D25" s="599">
        <f t="shared" si="0"/>
        <v>0</v>
      </c>
      <c r="E25" s="598"/>
      <c r="F25" s="598"/>
      <c r="G25" s="600">
        <f t="shared" si="1"/>
        <v>0</v>
      </c>
    </row>
    <row r="26" spans="1:7" x14ac:dyDescent="0.25">
      <c r="A26" s="385" t="s">
        <v>442</v>
      </c>
      <c r="B26" s="598"/>
      <c r="C26" s="598"/>
      <c r="D26" s="599">
        <f t="shared" si="0"/>
        <v>0</v>
      </c>
      <c r="E26" s="598"/>
      <c r="F26" s="598"/>
      <c r="G26" s="600">
        <f t="shared" si="1"/>
        <v>0</v>
      </c>
    </row>
    <row r="27" spans="1:7" x14ac:dyDescent="0.25">
      <c r="A27" s="385" t="s">
        <v>443</v>
      </c>
      <c r="B27" s="598"/>
      <c r="C27" s="598"/>
      <c r="D27" s="599">
        <f t="shared" si="0"/>
        <v>0</v>
      </c>
      <c r="E27" s="598"/>
      <c r="F27" s="598"/>
      <c r="G27" s="600">
        <f t="shared" si="1"/>
        <v>0</v>
      </c>
    </row>
    <row r="28" spans="1:7" x14ac:dyDescent="0.25">
      <c r="A28" s="398"/>
      <c r="B28" s="598"/>
      <c r="C28" s="598"/>
      <c r="D28" s="599" t="str">
        <f t="shared" si="0"/>
        <v/>
      </c>
      <c r="E28" s="598"/>
      <c r="F28" s="598"/>
      <c r="G28" s="600" t="str">
        <f t="shared" si="1"/>
        <v/>
      </c>
    </row>
    <row r="29" spans="1:7" x14ac:dyDescent="0.25">
      <c r="A29" s="595" t="s">
        <v>444</v>
      </c>
      <c r="B29" s="596">
        <f>SUM(B30:B38)</f>
        <v>0</v>
      </c>
      <c r="C29" s="596">
        <f>SUM(C30:C38)</f>
        <v>0</v>
      </c>
      <c r="D29" s="596">
        <f t="shared" si="0"/>
        <v>0</v>
      </c>
      <c r="E29" s="596">
        <f>SUM(E30:E38)</f>
        <v>0</v>
      </c>
      <c r="F29" s="596">
        <f>SUM(F30:F38)</f>
        <v>0</v>
      </c>
      <c r="G29" s="597">
        <f t="shared" si="1"/>
        <v>0</v>
      </c>
    </row>
    <row r="30" spans="1:7" ht="25.5" x14ac:dyDescent="0.25">
      <c r="A30" s="385" t="s">
        <v>445</v>
      </c>
      <c r="B30" s="598"/>
      <c r="C30" s="598"/>
      <c r="D30" s="599">
        <f t="shared" si="0"/>
        <v>0</v>
      </c>
      <c r="E30" s="598"/>
      <c r="F30" s="598"/>
      <c r="G30" s="600">
        <f t="shared" si="1"/>
        <v>0</v>
      </c>
    </row>
    <row r="31" spans="1:7" x14ac:dyDescent="0.25">
      <c r="A31" s="385" t="s">
        <v>446</v>
      </c>
      <c r="B31" s="598"/>
      <c r="C31" s="598"/>
      <c r="D31" s="599">
        <f t="shared" si="0"/>
        <v>0</v>
      </c>
      <c r="E31" s="598"/>
      <c r="F31" s="598"/>
      <c r="G31" s="600">
        <f t="shared" si="1"/>
        <v>0</v>
      </c>
    </row>
    <row r="32" spans="1:7" x14ac:dyDescent="0.25">
      <c r="A32" s="385" t="s">
        <v>447</v>
      </c>
      <c r="B32" s="598"/>
      <c r="C32" s="598"/>
      <c r="D32" s="599">
        <f t="shared" si="0"/>
        <v>0</v>
      </c>
      <c r="E32" s="598"/>
      <c r="F32" s="598"/>
      <c r="G32" s="600">
        <f t="shared" si="1"/>
        <v>0</v>
      </c>
    </row>
    <row r="33" spans="1:8" x14ac:dyDescent="0.25">
      <c r="A33" s="385" t="s">
        <v>448</v>
      </c>
      <c r="B33" s="598"/>
      <c r="C33" s="598"/>
      <c r="D33" s="599">
        <f t="shared" si="0"/>
        <v>0</v>
      </c>
      <c r="E33" s="598"/>
      <c r="F33" s="598"/>
      <c r="G33" s="600">
        <f t="shared" si="1"/>
        <v>0</v>
      </c>
    </row>
    <row r="34" spans="1:8" x14ac:dyDescent="0.25">
      <c r="A34" s="385" t="s">
        <v>449</v>
      </c>
      <c r="B34" s="598"/>
      <c r="C34" s="598"/>
      <c r="D34" s="599">
        <f t="shared" si="0"/>
        <v>0</v>
      </c>
      <c r="E34" s="598"/>
      <c r="F34" s="598"/>
      <c r="G34" s="600">
        <f t="shared" si="1"/>
        <v>0</v>
      </c>
    </row>
    <row r="35" spans="1:8" x14ac:dyDescent="0.25">
      <c r="A35" s="385" t="s">
        <v>450</v>
      </c>
      <c r="B35" s="598"/>
      <c r="C35" s="598"/>
      <c r="D35" s="599">
        <f t="shared" si="0"/>
        <v>0</v>
      </c>
      <c r="E35" s="598"/>
      <c r="F35" s="598"/>
      <c r="G35" s="600">
        <f t="shared" si="1"/>
        <v>0</v>
      </c>
    </row>
    <row r="36" spans="1:8" x14ac:dyDescent="0.25">
      <c r="A36" s="385" t="s">
        <v>451</v>
      </c>
      <c r="B36" s="598"/>
      <c r="C36" s="598"/>
      <c r="D36" s="599">
        <f t="shared" si="0"/>
        <v>0</v>
      </c>
      <c r="E36" s="598"/>
      <c r="F36" s="598"/>
      <c r="G36" s="600">
        <f t="shared" si="1"/>
        <v>0</v>
      </c>
    </row>
    <row r="37" spans="1:8" x14ac:dyDescent="0.25">
      <c r="A37" s="385" t="s">
        <v>452</v>
      </c>
      <c r="B37" s="598"/>
      <c r="C37" s="598"/>
      <c r="D37" s="599">
        <f t="shared" si="0"/>
        <v>0</v>
      </c>
      <c r="E37" s="598"/>
      <c r="F37" s="598"/>
      <c r="G37" s="600">
        <f t="shared" si="1"/>
        <v>0</v>
      </c>
    </row>
    <row r="38" spans="1:8" x14ac:dyDescent="0.25">
      <c r="A38" s="385" t="s">
        <v>453</v>
      </c>
      <c r="B38" s="598"/>
      <c r="C38" s="598"/>
      <c r="D38" s="599">
        <f t="shared" si="0"/>
        <v>0</v>
      </c>
      <c r="E38" s="598"/>
      <c r="F38" s="598"/>
      <c r="G38" s="600">
        <f t="shared" si="1"/>
        <v>0</v>
      </c>
    </row>
    <row r="39" spans="1:8" x14ac:dyDescent="0.25">
      <c r="A39" s="398"/>
      <c r="B39" s="598"/>
      <c r="C39" s="598"/>
      <c r="D39" s="599" t="str">
        <f t="shared" si="0"/>
        <v/>
      </c>
      <c r="E39" s="598"/>
      <c r="F39" s="598"/>
      <c r="G39" s="600" t="str">
        <f t="shared" si="1"/>
        <v/>
      </c>
    </row>
    <row r="40" spans="1:8" x14ac:dyDescent="0.25">
      <c r="A40" s="595" t="s">
        <v>454</v>
      </c>
      <c r="B40" s="596">
        <f>SUM(B41:B44)</f>
        <v>0</v>
      </c>
      <c r="C40" s="596">
        <f>SUM(C41:C44)</f>
        <v>0</v>
      </c>
      <c r="D40" s="596">
        <f t="shared" si="0"/>
        <v>0</v>
      </c>
      <c r="E40" s="596">
        <f>SUM(E41:E44)</f>
        <v>0</v>
      </c>
      <c r="F40" s="596">
        <f>SUM(F41:F44)</f>
        <v>0</v>
      </c>
      <c r="G40" s="597">
        <f t="shared" si="1"/>
        <v>0</v>
      </c>
    </row>
    <row r="41" spans="1:8" ht="25.5" x14ac:dyDescent="0.25">
      <c r="A41" s="601" t="s">
        <v>455</v>
      </c>
      <c r="B41" s="598"/>
      <c r="C41" s="598"/>
      <c r="D41" s="599">
        <f t="shared" si="0"/>
        <v>0</v>
      </c>
      <c r="E41" s="598"/>
      <c r="F41" s="598"/>
      <c r="G41" s="600">
        <f t="shared" si="1"/>
        <v>0</v>
      </c>
    </row>
    <row r="42" spans="1:8" ht="25.5" x14ac:dyDescent="0.25">
      <c r="A42" s="601" t="s">
        <v>456</v>
      </c>
      <c r="B42" s="598"/>
      <c r="C42" s="598"/>
      <c r="D42" s="599">
        <f t="shared" si="0"/>
        <v>0</v>
      </c>
      <c r="E42" s="598"/>
      <c r="F42" s="598"/>
      <c r="G42" s="600">
        <f t="shared" si="1"/>
        <v>0</v>
      </c>
    </row>
    <row r="43" spans="1:8" x14ac:dyDescent="0.25">
      <c r="A43" s="385" t="s">
        <v>457</v>
      </c>
      <c r="B43" s="598"/>
      <c r="C43" s="598"/>
      <c r="D43" s="599">
        <f t="shared" si="0"/>
        <v>0</v>
      </c>
      <c r="E43" s="598"/>
      <c r="F43" s="598"/>
      <c r="G43" s="600">
        <f t="shared" si="1"/>
        <v>0</v>
      </c>
    </row>
    <row r="44" spans="1:8" ht="15.75" thickBot="1" x14ac:dyDescent="0.3">
      <c r="A44" s="385" t="s">
        <v>458</v>
      </c>
      <c r="B44" s="598"/>
      <c r="C44" s="598"/>
      <c r="D44" s="599">
        <f t="shared" si="0"/>
        <v>0</v>
      </c>
      <c r="E44" s="598"/>
      <c r="F44" s="598"/>
      <c r="G44" s="600">
        <f t="shared" si="1"/>
        <v>0</v>
      </c>
    </row>
    <row r="45" spans="1:8" ht="28.5" customHeight="1" thickBot="1" x14ac:dyDescent="0.3">
      <c r="A45" s="394" t="s">
        <v>387</v>
      </c>
      <c r="B45" s="602">
        <f>SUM(B10,B20,B29,B40)</f>
        <v>15323938</v>
      </c>
      <c r="C45" s="602">
        <f>SUM(C10,C20,C29,C40)</f>
        <v>3126196</v>
      </c>
      <c r="D45" s="602">
        <f t="shared" ref="D45" si="2">IF(A45="","",B45+C45)</f>
        <v>18450134</v>
      </c>
      <c r="E45" s="602">
        <f>SUM(E10,E20,E29,E40)</f>
        <v>9598800</v>
      </c>
      <c r="F45" s="602">
        <f>SUM(F10,F20,F29,F40)</f>
        <v>9598800</v>
      </c>
      <c r="G45" s="603">
        <f t="shared" ref="G45" si="3">IF(A45="","",D45-E45)</f>
        <v>8851334</v>
      </c>
      <c r="H45" s="671" t="str">
        <f>IF(B45&lt;&gt;'ETCA-II-11 '!B81,"ERROR!!!!! EL MONTO NO COINCIDE CON LO REPORTADO EN EL FORMATO ETCA-II-11 EN EL TOTAL APROBADO ANUAL DEL ANALÍTICO DE EGRESOS","")</f>
        <v/>
      </c>
    </row>
    <row r="46" spans="1:8" ht="17.100000000000001" customHeight="1" x14ac:dyDescent="0.25">
      <c r="A46" s="653"/>
      <c r="B46" s="657"/>
      <c r="C46" s="657"/>
      <c r="D46" s="657"/>
      <c r="E46" s="657"/>
      <c r="F46" s="657"/>
      <c r="G46" s="657"/>
      <c r="H46" s="671" t="str">
        <f>IF(C45&lt;&gt;'ETCA-II-11 '!C81,"ERROR!!!!! EL MONTO NO COINCIDE CON LO REPORTADO EN EL FORMATO ETCA-II-11 EN EL TOTAL DE AMPLIACIONES/REDUCCIONES PRESENTADO EN EL ANALÍTICO DE EGRESOS","")</f>
        <v/>
      </c>
    </row>
    <row r="47" spans="1:8" ht="17.100000000000001" customHeight="1" x14ac:dyDescent="0.25">
      <c r="A47" s="653"/>
      <c r="B47" s="657"/>
      <c r="C47" s="657"/>
      <c r="D47" s="657"/>
      <c r="E47" s="657"/>
      <c r="F47" s="657"/>
      <c r="G47" s="657"/>
      <c r="H47" s="671" t="str">
        <f>IF(D45&lt;&gt;'ETCA-II-11 '!D81,"ERROR!!!!! EL MONTO NO COINCIDE CON LO REPORTADO EN EL FORMATO ETCA-II-11 EN EL TOTAL MODIFICADO ANUAL PRESENTADO EN EL ANALÍTICO DE EGRESOS","")</f>
        <v/>
      </c>
    </row>
    <row r="48" spans="1:8" ht="17.100000000000001" customHeight="1" x14ac:dyDescent="0.25">
      <c r="A48" s="655"/>
      <c r="B48" s="656"/>
      <c r="C48" s="656"/>
      <c r="D48" s="657"/>
      <c r="E48" s="656"/>
      <c r="F48" s="656"/>
      <c r="G48" s="657"/>
      <c r="H48" s="671" t="str">
        <f>IF(E45&lt;&gt;'ETCA-II-11 '!E81,"ERROR!!!!! EL MONTO NO COINCIDE CON LO REPORTADO EN EL FORMATO ETCA-II-11 EN EL TOTAL DEVENGADO ANUAL PRESENTADO EN EL ANALÍTICO DE EGRESOS","")</f>
        <v/>
      </c>
    </row>
    <row r="49" spans="1:8" s="411" customFormat="1" ht="17.100000000000001" customHeight="1" x14ac:dyDescent="0.2">
      <c r="A49" s="653"/>
      <c r="B49" s="657"/>
      <c r="C49" s="657"/>
      <c r="D49" s="657"/>
      <c r="E49" s="657"/>
      <c r="F49" s="657"/>
      <c r="G49" s="657"/>
      <c r="H49" s="671" t="str">
        <f>IF(F45&lt;&gt;'ETCA-II-11 '!F81,"ERROR!!!!! EL MONTO NO COINCIDE CON LO REPORTADO EN EL FORMATO ETCA-II-11 EN EL TOTAL PAGADO ANUAL PRESENTADO EN EL ANALÍTICO DE EGRESOS","")</f>
        <v/>
      </c>
    </row>
    <row r="50" spans="1:8" x14ac:dyDescent="0.25">
      <c r="H50" s="671" t="str">
        <f>IF(G45&lt;&gt;'ETCA-II-11 '!G81,"ERROR!!!!! EL MONTO NO COINCIDE CON LO REPORTADO EN EL FORMATO ETCA-II-11 EN EL TOTAL SUBEJERCICIO PRESENTADO EN EL ANALÍTICO DE EGRESOS","")</f>
        <v/>
      </c>
    </row>
  </sheetData>
  <sheetProtection algorithmName="SHA-512" hashValue="C4lfE44RXRFUY3CNlaYSxUwMenBv1jW2AfkoajKxBGwLq9FCZR1urJ6ZQT/tgSmjKXEvPP3cpAj6nMFuhaMdDg==" saltValue="PQ4OMl3Y3YYbmoizuyYqog==" spinCount="100000" sheet="1" objects="1" scenarios="1"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rgb="FFFFFF00"/>
    <pageSetUpPr fitToPage="1"/>
  </sheetPr>
  <dimension ref="A1:D44"/>
  <sheetViews>
    <sheetView tabSelected="1" view="pageBreakPreview" topLeftCell="A19" zoomScale="90" zoomScaleNormal="100" zoomScaleSheetLayoutView="90" workbookViewId="0">
      <selection activeCell="D43" sqref="D43"/>
    </sheetView>
  </sheetViews>
  <sheetFormatPr baseColWidth="10" defaultColWidth="11.42578125" defaultRowHeight="16.5" x14ac:dyDescent="0.25"/>
  <cols>
    <col min="1" max="1" width="63.28515625" style="376" customWidth="1"/>
    <col min="2" max="2" width="25.7109375" style="376" customWidth="1"/>
    <col min="3" max="3" width="25.7109375" style="545" customWidth="1"/>
    <col min="4" max="4" width="89.140625" style="376" customWidth="1"/>
    <col min="5" max="16384" width="11.42578125" style="376"/>
  </cols>
  <sheetData>
    <row r="1" spans="1:4" x14ac:dyDescent="0.25">
      <c r="A1" s="816" t="s">
        <v>76</v>
      </c>
      <c r="B1" s="816"/>
      <c r="C1" s="816"/>
      <c r="D1" s="565"/>
    </row>
    <row r="2" spans="1:4" s="377" customFormat="1" ht="15.75" x14ac:dyDescent="0.25">
      <c r="A2" s="816" t="s">
        <v>47</v>
      </c>
      <c r="B2" s="816"/>
      <c r="C2" s="816"/>
    </row>
    <row r="3" spans="1:4" s="377" customFormat="1" x14ac:dyDescent="0.25">
      <c r="A3" s="817" t="s">
        <v>642</v>
      </c>
      <c r="B3" s="817"/>
      <c r="C3" s="817"/>
    </row>
    <row r="4" spans="1:4" s="377" customFormat="1" x14ac:dyDescent="0.25">
      <c r="A4" s="817" t="s">
        <v>651</v>
      </c>
      <c r="B4" s="817"/>
      <c r="C4" s="817"/>
    </row>
    <row r="5" spans="1:4" s="378" customFormat="1" x14ac:dyDescent="0.25">
      <c r="A5" s="528"/>
      <c r="B5" s="528"/>
    </row>
    <row r="6" spans="1:4" s="378" customFormat="1" ht="17.25" thickBot="1" x14ac:dyDescent="0.3">
      <c r="A6" s="227"/>
      <c r="B6" s="529" t="s">
        <v>653</v>
      </c>
      <c r="C6" s="529"/>
    </row>
    <row r="7" spans="1:4" s="531" customFormat="1" ht="27" customHeight="1" thickBot="1" x14ac:dyDescent="0.3">
      <c r="A7" s="530" t="s">
        <v>459</v>
      </c>
      <c r="B7" s="235"/>
      <c r="C7" s="345">
        <f>'ETCA-II-11 '!E81</f>
        <v>9598800</v>
      </c>
      <c r="D7" s="546" t="str">
        <f>IF(C7&lt;&gt;'ETCA-II-11 '!C81,"ERROR!!!!! EL MONTO NO COINCIDE CON LO REPORTADO EN EL FORMATO ETCA-II-11, EN EL TOTAL DE EGRESOS DEVENGADO ANUAL","")</f>
        <v>ERROR!!!!! EL MONTO NO COINCIDE CON LO REPORTADO EN EL FORMATO ETCA-II-11, EN EL TOTAL DE EGRESOS DEVENGADO ANUAL</v>
      </c>
    </row>
    <row r="8" spans="1:4" s="531" customFormat="1" ht="9.75" customHeight="1" x14ac:dyDescent="0.25">
      <c r="A8" s="532"/>
      <c r="B8" s="362"/>
      <c r="C8" s="547"/>
      <c r="D8" s="546"/>
    </row>
    <row r="9" spans="1:4" s="531" customFormat="1" ht="17.25" customHeight="1" thickBot="1" x14ac:dyDescent="0.3">
      <c r="A9" s="533" t="s">
        <v>320</v>
      </c>
      <c r="B9" s="365"/>
      <c r="C9" s="548"/>
      <c r="D9" s="546"/>
    </row>
    <row r="10" spans="1:4" ht="20.100000000000001" customHeight="1" x14ac:dyDescent="0.25">
      <c r="A10" s="534" t="s">
        <v>460</v>
      </c>
      <c r="B10" s="535"/>
      <c r="C10" s="549">
        <f>SUM(B11:B27)</f>
        <v>0</v>
      </c>
      <c r="D10" s="550"/>
    </row>
    <row r="11" spans="1:4" ht="20.100000000000001" customHeight="1" x14ac:dyDescent="0.25">
      <c r="A11" s="536" t="s">
        <v>461</v>
      </c>
      <c r="B11" s="537"/>
      <c r="C11" s="551"/>
      <c r="D11" s="550"/>
    </row>
    <row r="12" spans="1:4" x14ac:dyDescent="0.25">
      <c r="A12" s="536" t="s">
        <v>462</v>
      </c>
      <c r="B12" s="537"/>
      <c r="C12" s="551"/>
      <c r="D12" s="550"/>
    </row>
    <row r="13" spans="1:4" ht="20.100000000000001" customHeight="1" x14ac:dyDescent="0.25">
      <c r="A13" s="536" t="s">
        <v>463</v>
      </c>
      <c r="B13" s="537"/>
      <c r="C13" s="551"/>
      <c r="D13" s="550"/>
    </row>
    <row r="14" spans="1:4" ht="20.100000000000001" customHeight="1" x14ac:dyDescent="0.25">
      <c r="A14" s="536" t="s">
        <v>464</v>
      </c>
      <c r="B14" s="537"/>
      <c r="C14" s="551"/>
      <c r="D14" s="550"/>
    </row>
    <row r="15" spans="1:4" ht="20.100000000000001" customHeight="1" x14ac:dyDescent="0.25">
      <c r="A15" s="536" t="s">
        <v>465</v>
      </c>
      <c r="B15" s="537"/>
      <c r="C15" s="551"/>
      <c r="D15" s="550"/>
    </row>
    <row r="16" spans="1:4" ht="20.100000000000001" customHeight="1" x14ac:dyDescent="0.25">
      <c r="A16" s="536" t="s">
        <v>466</v>
      </c>
      <c r="B16" s="537"/>
      <c r="C16" s="551"/>
      <c r="D16" s="550"/>
    </row>
    <row r="17" spans="1:4" ht="20.100000000000001" customHeight="1" x14ac:dyDescent="0.25">
      <c r="A17" s="536" t="s">
        <v>467</v>
      </c>
      <c r="B17" s="537"/>
      <c r="C17" s="551"/>
      <c r="D17" s="550"/>
    </row>
    <row r="18" spans="1:4" ht="20.100000000000001" customHeight="1" x14ac:dyDescent="0.25">
      <c r="A18" s="536" t="s">
        <v>468</v>
      </c>
      <c r="B18" s="537"/>
      <c r="C18" s="551"/>
      <c r="D18" s="550"/>
    </row>
    <row r="19" spans="1:4" ht="20.100000000000001" customHeight="1" x14ac:dyDescent="0.25">
      <c r="A19" s="536" t="s">
        <v>469</v>
      </c>
      <c r="B19" s="537"/>
      <c r="C19" s="551"/>
      <c r="D19" s="550"/>
    </row>
    <row r="20" spans="1:4" ht="20.100000000000001" customHeight="1" x14ac:dyDescent="0.25">
      <c r="A20" s="536" t="s">
        <v>470</v>
      </c>
      <c r="B20" s="537"/>
      <c r="C20" s="551"/>
      <c r="D20" s="550"/>
    </row>
    <row r="21" spans="1:4" ht="20.100000000000001" customHeight="1" x14ac:dyDescent="0.25">
      <c r="A21" s="536" t="s">
        <v>471</v>
      </c>
      <c r="B21" s="537"/>
      <c r="C21" s="551"/>
      <c r="D21" s="550"/>
    </row>
    <row r="22" spans="1:4" ht="20.100000000000001" customHeight="1" x14ac:dyDescent="0.25">
      <c r="A22" s="536" t="s">
        <v>472</v>
      </c>
      <c r="B22" s="537"/>
      <c r="C22" s="551"/>
      <c r="D22" s="550"/>
    </row>
    <row r="23" spans="1:4" ht="20.100000000000001" customHeight="1" x14ac:dyDescent="0.25">
      <c r="A23" s="536" t="s">
        <v>473</v>
      </c>
      <c r="B23" s="537"/>
      <c r="C23" s="551"/>
      <c r="D23" s="550"/>
    </row>
    <row r="24" spans="1:4" ht="20.100000000000001" customHeight="1" x14ac:dyDescent="0.25">
      <c r="A24" s="536" t="s">
        <v>474</v>
      </c>
      <c r="B24" s="537"/>
      <c r="C24" s="551"/>
      <c r="D24" s="550"/>
    </row>
    <row r="25" spans="1:4" ht="20.100000000000001" customHeight="1" x14ac:dyDescent="0.25">
      <c r="A25" s="536" t="s">
        <v>475</v>
      </c>
      <c r="B25" s="537"/>
      <c r="C25" s="551"/>
      <c r="D25" s="550"/>
    </row>
    <row r="26" spans="1:4" ht="20.100000000000001" customHeight="1" x14ac:dyDescent="0.25">
      <c r="A26" s="536" t="s">
        <v>476</v>
      </c>
      <c r="B26" s="537"/>
      <c r="C26" s="551"/>
      <c r="D26" s="550"/>
    </row>
    <row r="27" spans="1:4" ht="20.100000000000001" customHeight="1" thickBot="1" x14ac:dyDescent="0.3">
      <c r="A27" s="538" t="s">
        <v>477</v>
      </c>
      <c r="B27" s="539"/>
      <c r="C27" s="552"/>
      <c r="D27" s="550"/>
    </row>
    <row r="28" spans="1:4" ht="7.5" customHeight="1" x14ac:dyDescent="0.25">
      <c r="A28" s="540"/>
      <c r="B28" s="362"/>
      <c r="C28" s="553"/>
      <c r="D28" s="550"/>
    </row>
    <row r="29" spans="1:4" ht="20.100000000000001" customHeight="1" thickBot="1" x14ac:dyDescent="0.3">
      <c r="A29" s="541" t="s">
        <v>313</v>
      </c>
      <c r="B29" s="365"/>
      <c r="C29" s="554"/>
      <c r="D29" s="550"/>
    </row>
    <row r="30" spans="1:4" ht="20.100000000000001" customHeight="1" x14ac:dyDescent="0.25">
      <c r="A30" s="534" t="s">
        <v>478</v>
      </c>
      <c r="B30" s="535"/>
      <c r="C30" s="549">
        <f>SUM(B31:B37)</f>
        <v>275159</v>
      </c>
      <c r="D30" s="550"/>
    </row>
    <row r="31" spans="1:4" x14ac:dyDescent="0.25">
      <c r="A31" s="536" t="s">
        <v>479</v>
      </c>
      <c r="B31" s="537">
        <v>270373</v>
      </c>
      <c r="C31" s="551"/>
      <c r="D31" s="558" t="str">
        <f>IF(B31&lt;&gt;'ETCA-I-02'!C55,"ERROR!!!!! EL MONTO NO COINCIDE CON LO REPORTADO EN EL FORMATO ETCA-I-02 POR CONCEPTO DE ESTIMACIONES, DEPRECIACIONES, ETC..","")</f>
        <v/>
      </c>
    </row>
    <row r="32" spans="1:4" ht="20.100000000000001" customHeight="1" x14ac:dyDescent="0.25">
      <c r="A32" s="536" t="s">
        <v>187</v>
      </c>
      <c r="B32" s="537"/>
      <c r="C32" s="551"/>
      <c r="D32" s="550"/>
    </row>
    <row r="33" spans="1:4" ht="20.100000000000001" customHeight="1" x14ac:dyDescent="0.25">
      <c r="A33" s="536" t="s">
        <v>480</v>
      </c>
      <c r="B33" s="537"/>
      <c r="C33" s="551"/>
      <c r="D33" s="550"/>
    </row>
    <row r="34" spans="1:4" ht="25.5" customHeight="1" x14ac:dyDescent="0.25">
      <c r="A34" s="536" t="s">
        <v>481</v>
      </c>
      <c r="B34" s="537"/>
      <c r="C34" s="551"/>
      <c r="D34" s="550"/>
    </row>
    <row r="35" spans="1:4" ht="20.100000000000001" customHeight="1" x14ac:dyDescent="0.25">
      <c r="A35" s="536" t="s">
        <v>482</v>
      </c>
      <c r="B35" s="537"/>
      <c r="C35" s="551"/>
      <c r="D35" s="550"/>
    </row>
    <row r="36" spans="1:4" ht="20.100000000000001" customHeight="1" x14ac:dyDescent="0.25">
      <c r="A36" s="536" t="s">
        <v>483</v>
      </c>
      <c r="B36" s="537">
        <v>4786</v>
      </c>
      <c r="C36" s="551"/>
      <c r="D36" s="550"/>
    </row>
    <row r="37" spans="1:4" ht="20.100000000000001" customHeight="1" x14ac:dyDescent="0.25">
      <c r="A37" s="542" t="s">
        <v>484</v>
      </c>
      <c r="B37" s="537"/>
      <c r="C37" s="551"/>
      <c r="D37" s="550"/>
    </row>
    <row r="38" spans="1:4" ht="20.100000000000001" customHeight="1" thickBot="1" x14ac:dyDescent="0.3">
      <c r="A38" s="543"/>
      <c r="B38" s="544"/>
      <c r="C38" s="552"/>
      <c r="D38" s="550"/>
    </row>
    <row r="39" spans="1:4" ht="20.100000000000001" customHeight="1" thickBot="1" x14ac:dyDescent="0.3">
      <c r="A39" s="662" t="s">
        <v>485</v>
      </c>
      <c r="B39" s="663"/>
      <c r="C39" s="345">
        <f>C7-C10+C30</f>
        <v>9873959</v>
      </c>
      <c r="D39" s="550" t="str">
        <f>IF(C39&lt;&gt;'ETCA-I-02'!C59,"ERROR!!!!! EL MONTO NO COINCIDE CON LO REPORTADO EN EL FORMATO ETCA-I-02, EN EL MISMO RUBRO","")</f>
        <v>ERROR!!!!! EL MONTO NO COINCIDE CON LO REPORTADO EN EL FORMATO ETCA-I-02, EN EL MISMO RUBRO</v>
      </c>
    </row>
    <row r="40" spans="1:4" ht="20.100000000000001" customHeight="1" x14ac:dyDescent="0.25">
      <c r="A40" s="658"/>
      <c r="B40" s="659"/>
      <c r="C40" s="660"/>
      <c r="D40" s="550"/>
    </row>
    <row r="41" spans="1:4" ht="20.100000000000001" customHeight="1" x14ac:dyDescent="0.25">
      <c r="A41" s="658"/>
      <c r="B41" s="659"/>
      <c r="C41" s="660"/>
      <c r="D41" s="550"/>
    </row>
    <row r="42" spans="1:4" ht="20.100000000000001" customHeight="1" x14ac:dyDescent="0.25">
      <c r="A42" s="658"/>
      <c r="B42" s="659"/>
      <c r="C42" s="660"/>
      <c r="D42" s="550"/>
    </row>
    <row r="43" spans="1:4" ht="20.100000000000001" customHeight="1" x14ac:dyDescent="0.25">
      <c r="A43" s="658"/>
      <c r="B43" s="659"/>
      <c r="C43" s="660"/>
      <c r="D43" s="550"/>
    </row>
    <row r="44" spans="1:4" ht="26.25" customHeight="1" x14ac:dyDescent="0.25">
      <c r="A44" s="661"/>
      <c r="B44" s="659"/>
      <c r="C44" s="660"/>
      <c r="D44" s="550"/>
    </row>
  </sheetData>
  <sheetProtection algorithmName="SHA-512" hashValue="NALERopY5lxcUryisdmG4LhSwvLEKmkhi+JyZpercQFp66EQwOhEVkDSyiY4BvYHoRM3Vx8fnh1PXFhzKG+uHg==" saltValue="xHjMM0I6yTMtsOBaawK9iw==" spinCount="100000" sheet="1" objects="1" scenarios="1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1:G60"/>
  <sheetViews>
    <sheetView view="pageBreakPreview" zoomScaleNormal="100" zoomScaleSheetLayoutView="100" workbookViewId="0">
      <selection activeCell="B33" sqref="B33"/>
    </sheetView>
  </sheetViews>
  <sheetFormatPr baseColWidth="10" defaultColWidth="11.42578125" defaultRowHeight="16.5" x14ac:dyDescent="0.3"/>
  <cols>
    <col min="1" max="1" width="50.7109375" style="72" customWidth="1"/>
    <col min="2" max="2" width="16" style="72" customWidth="1"/>
    <col min="3" max="3" width="15.5703125" style="72" customWidth="1"/>
    <col min="4" max="4" width="50.7109375" style="72" customWidth="1"/>
    <col min="5" max="5" width="15.28515625" style="72" bestFit="1" customWidth="1"/>
    <col min="6" max="6" width="15.7109375" style="72" customWidth="1"/>
    <col min="7" max="7" width="164.42578125" style="72" customWidth="1"/>
    <col min="8" max="16384" width="11.42578125" style="72"/>
  </cols>
  <sheetData>
    <row r="1" spans="1:6" x14ac:dyDescent="0.3">
      <c r="A1" s="71"/>
      <c r="C1" s="716" t="s">
        <v>76</v>
      </c>
      <c r="D1" s="73"/>
      <c r="F1" s="74" t="s">
        <v>11</v>
      </c>
    </row>
    <row r="2" spans="1:6" x14ac:dyDescent="0.3">
      <c r="B2" s="75"/>
      <c r="C2" s="715" t="s">
        <v>77</v>
      </c>
      <c r="D2" s="75"/>
      <c r="E2" s="75"/>
      <c r="F2" s="75"/>
    </row>
    <row r="3" spans="1:6" x14ac:dyDescent="0.3">
      <c r="B3" s="71"/>
      <c r="C3" s="714" t="s">
        <v>642</v>
      </c>
      <c r="D3" s="71"/>
      <c r="E3" s="71"/>
      <c r="F3" s="71"/>
    </row>
    <row r="4" spans="1:6" x14ac:dyDescent="0.3">
      <c r="A4" s="75"/>
      <c r="C4" s="714" t="s">
        <v>643</v>
      </c>
      <c r="D4" s="71"/>
      <c r="E4" s="75"/>
      <c r="F4" s="75"/>
    </row>
    <row r="5" spans="1:6" ht="17.25" thickBot="1" x14ac:dyDescent="0.35">
      <c r="A5" s="75"/>
      <c r="B5" s="76"/>
      <c r="C5" s="77" t="s">
        <v>78</v>
      </c>
      <c r="D5" s="125" t="s">
        <v>786</v>
      </c>
      <c r="E5" s="803"/>
      <c r="F5" s="803"/>
    </row>
    <row r="6" spans="1:6" ht="24" customHeight="1" thickBot="1" x14ac:dyDescent="0.35">
      <c r="A6" s="123" t="s">
        <v>80</v>
      </c>
      <c r="B6" s="157">
        <v>2016</v>
      </c>
      <c r="C6" s="157">
        <v>2015</v>
      </c>
      <c r="D6" s="158" t="s">
        <v>81</v>
      </c>
      <c r="E6" s="157">
        <v>2016</v>
      </c>
      <c r="F6" s="124">
        <v>2015</v>
      </c>
    </row>
    <row r="7" spans="1:6" ht="17.25" thickTop="1" x14ac:dyDescent="0.3">
      <c r="A7" s="79"/>
      <c r="B7" s="80"/>
      <c r="C7" s="80"/>
      <c r="D7" s="80"/>
      <c r="E7" s="80"/>
      <c r="F7" s="81"/>
    </row>
    <row r="8" spans="1:6" x14ac:dyDescent="0.3">
      <c r="A8" s="82" t="s">
        <v>82</v>
      </c>
      <c r="B8" s="83"/>
      <c r="C8" s="83"/>
      <c r="D8" s="85" t="s">
        <v>83</v>
      </c>
      <c r="E8" s="83"/>
      <c r="F8" s="86"/>
    </row>
    <row r="9" spans="1:6" x14ac:dyDescent="0.3">
      <c r="A9" s="87" t="s">
        <v>84</v>
      </c>
      <c r="B9" s="88">
        <v>5626588</v>
      </c>
      <c r="C9" s="88">
        <v>7793102</v>
      </c>
      <c r="D9" s="89" t="s">
        <v>85</v>
      </c>
      <c r="E9" s="88">
        <v>34862</v>
      </c>
      <c r="F9" s="90">
        <v>64682</v>
      </c>
    </row>
    <row r="10" spans="1:6" x14ac:dyDescent="0.3">
      <c r="A10" s="87" t="s">
        <v>86</v>
      </c>
      <c r="B10" s="88">
        <v>700522</v>
      </c>
      <c r="C10" s="88">
        <v>783299</v>
      </c>
      <c r="D10" s="89" t="s">
        <v>87</v>
      </c>
      <c r="E10" s="88">
        <v>0</v>
      </c>
      <c r="F10" s="90">
        <v>0</v>
      </c>
    </row>
    <row r="11" spans="1:6" x14ac:dyDescent="0.3">
      <c r="A11" s="87" t="s">
        <v>88</v>
      </c>
      <c r="B11" s="88">
        <v>0</v>
      </c>
      <c r="C11" s="88">
        <v>0</v>
      </c>
      <c r="D11" s="91" t="s">
        <v>89</v>
      </c>
      <c r="E11" s="88">
        <v>0</v>
      </c>
      <c r="F11" s="90">
        <v>0</v>
      </c>
    </row>
    <row r="12" spans="1:6" x14ac:dyDescent="0.3">
      <c r="A12" s="87" t="s">
        <v>90</v>
      </c>
      <c r="B12" s="88"/>
      <c r="C12" s="88"/>
      <c r="D12" s="89" t="s">
        <v>91</v>
      </c>
      <c r="E12" s="88">
        <v>0</v>
      </c>
      <c r="F12" s="90">
        <v>0</v>
      </c>
    </row>
    <row r="13" spans="1:6" x14ac:dyDescent="0.3">
      <c r="A13" s="87" t="s">
        <v>92</v>
      </c>
      <c r="B13" s="88"/>
      <c r="C13" s="88"/>
      <c r="D13" s="89" t="s">
        <v>93</v>
      </c>
      <c r="E13" s="88">
        <v>32290</v>
      </c>
      <c r="F13" s="90">
        <v>0</v>
      </c>
    </row>
    <row r="14" spans="1:6" ht="33" x14ac:dyDescent="0.3">
      <c r="A14" s="92" t="s">
        <v>94</v>
      </c>
      <c r="B14" s="88">
        <v>0</v>
      </c>
      <c r="C14" s="88">
        <v>0</v>
      </c>
      <c r="D14" s="91" t="s">
        <v>95</v>
      </c>
      <c r="E14" s="88">
        <v>0</v>
      </c>
      <c r="F14" s="90">
        <v>0</v>
      </c>
    </row>
    <row r="15" spans="1:6" x14ac:dyDescent="0.3">
      <c r="A15" s="87" t="s">
        <v>96</v>
      </c>
      <c r="B15" s="88">
        <v>-1</v>
      </c>
      <c r="C15" s="88">
        <v>0</v>
      </c>
      <c r="D15" s="89" t="s">
        <v>97</v>
      </c>
      <c r="E15" s="88">
        <v>0</v>
      </c>
      <c r="F15" s="90">
        <v>0</v>
      </c>
    </row>
    <row r="16" spans="1:6" x14ac:dyDescent="0.3">
      <c r="A16" s="93"/>
      <c r="B16" s="88"/>
      <c r="C16" s="88"/>
      <c r="D16" s="89" t="s">
        <v>98</v>
      </c>
      <c r="E16" s="88">
        <v>160721</v>
      </c>
      <c r="F16" s="90">
        <v>183042</v>
      </c>
    </row>
    <row r="17" spans="1:6" x14ac:dyDescent="0.3">
      <c r="A17" s="93"/>
      <c r="B17" s="94"/>
      <c r="C17" s="94"/>
      <c r="D17" s="84"/>
      <c r="E17" s="88"/>
      <c r="F17" s="90"/>
    </row>
    <row r="18" spans="1:6" x14ac:dyDescent="0.3">
      <c r="A18" s="128" t="s">
        <v>99</v>
      </c>
      <c r="B18" s="70">
        <f>SUM(B9:B17)</f>
        <v>6327109</v>
      </c>
      <c r="C18" s="70">
        <f>SUM(C9:C17)</f>
        <v>8576401</v>
      </c>
      <c r="D18" s="129" t="s">
        <v>100</v>
      </c>
      <c r="E18" s="70">
        <f>SUM(E9:E17)</f>
        <v>227873</v>
      </c>
      <c r="F18" s="116">
        <f>SUM(F9:F17)</f>
        <v>247724</v>
      </c>
    </row>
    <row r="19" spans="1:6" x14ac:dyDescent="0.3">
      <c r="A19" s="93"/>
      <c r="B19" s="95"/>
      <c r="C19" s="95"/>
      <c r="D19" s="96"/>
      <c r="E19" s="95"/>
      <c r="F19" s="97"/>
    </row>
    <row r="20" spans="1:6" x14ac:dyDescent="0.3">
      <c r="A20" s="82" t="s">
        <v>101</v>
      </c>
      <c r="B20" s="88"/>
      <c r="C20" s="88"/>
      <c r="D20" s="85" t="s">
        <v>102</v>
      </c>
      <c r="E20" s="98"/>
      <c r="F20" s="99"/>
    </row>
    <row r="21" spans="1:6" x14ac:dyDescent="0.3">
      <c r="A21" s="87" t="s">
        <v>103</v>
      </c>
      <c r="B21" s="88">
        <v>0</v>
      </c>
      <c r="C21" s="88">
        <v>0</v>
      </c>
      <c r="D21" s="89" t="s">
        <v>104</v>
      </c>
      <c r="E21" s="88">
        <v>0</v>
      </c>
      <c r="F21" s="90">
        <v>0</v>
      </c>
    </row>
    <row r="22" spans="1:6" x14ac:dyDescent="0.3">
      <c r="A22" s="92" t="s">
        <v>105</v>
      </c>
      <c r="B22" s="88">
        <v>0</v>
      </c>
      <c r="C22" s="88">
        <v>0</v>
      </c>
      <c r="D22" s="91" t="s">
        <v>106</v>
      </c>
      <c r="E22" s="88">
        <v>0</v>
      </c>
      <c r="F22" s="90">
        <v>0</v>
      </c>
    </row>
    <row r="23" spans="1:6" ht="33" x14ac:dyDescent="0.3">
      <c r="A23" s="92" t="s">
        <v>107</v>
      </c>
      <c r="B23" s="88">
        <v>21502500</v>
      </c>
      <c r="C23" s="88">
        <v>0</v>
      </c>
      <c r="D23" s="89" t="s">
        <v>108</v>
      </c>
      <c r="E23" s="88">
        <v>0</v>
      </c>
      <c r="F23" s="90">
        <v>0</v>
      </c>
    </row>
    <row r="24" spans="1:6" ht="16.5" customHeight="1" x14ac:dyDescent="0.3">
      <c r="A24" s="87" t="s">
        <v>109</v>
      </c>
      <c r="B24" s="88">
        <v>2597118</v>
      </c>
      <c r="C24" s="88">
        <v>1902243</v>
      </c>
      <c r="D24" s="89" t="s">
        <v>110</v>
      </c>
      <c r="E24" s="88">
        <v>0</v>
      </c>
      <c r="F24" s="90">
        <v>0</v>
      </c>
    </row>
    <row r="25" spans="1:6" ht="33" x14ac:dyDescent="0.3">
      <c r="A25" s="87" t="s">
        <v>111</v>
      </c>
      <c r="B25" s="88">
        <v>0</v>
      </c>
      <c r="C25" s="88">
        <v>0</v>
      </c>
      <c r="D25" s="91" t="s">
        <v>112</v>
      </c>
      <c r="E25" s="88">
        <v>0</v>
      </c>
      <c r="F25" s="90">
        <v>0</v>
      </c>
    </row>
    <row r="26" spans="1:6" x14ac:dyDescent="0.3">
      <c r="A26" s="92" t="s">
        <v>113</v>
      </c>
      <c r="B26" s="88">
        <v>-834772</v>
      </c>
      <c r="C26" s="88">
        <v>-332434</v>
      </c>
      <c r="D26" s="89" t="s">
        <v>114</v>
      </c>
      <c r="E26" s="88">
        <v>0</v>
      </c>
      <c r="F26" s="90">
        <v>0</v>
      </c>
    </row>
    <row r="27" spans="1:6" x14ac:dyDescent="0.3">
      <c r="A27" s="87" t="s">
        <v>115</v>
      </c>
      <c r="B27" s="88">
        <v>0</v>
      </c>
      <c r="C27" s="88">
        <v>0</v>
      </c>
      <c r="D27" s="89"/>
      <c r="E27" s="88"/>
      <c r="F27" s="90"/>
    </row>
    <row r="28" spans="1:6" x14ac:dyDescent="0.3">
      <c r="A28" s="92" t="s">
        <v>116</v>
      </c>
      <c r="B28" s="88">
        <v>0</v>
      </c>
      <c r="C28" s="88">
        <v>0</v>
      </c>
      <c r="D28" s="100"/>
      <c r="E28" s="88"/>
      <c r="F28" s="90"/>
    </row>
    <row r="29" spans="1:6" x14ac:dyDescent="0.3">
      <c r="A29" s="87" t="s">
        <v>117</v>
      </c>
      <c r="B29" s="88">
        <v>1</v>
      </c>
      <c r="C29" s="88">
        <v>1</v>
      </c>
      <c r="D29" s="100"/>
      <c r="E29" s="98"/>
      <c r="F29" s="99"/>
    </row>
    <row r="30" spans="1:6" x14ac:dyDescent="0.3">
      <c r="A30" s="101"/>
      <c r="B30" s="88"/>
      <c r="C30" s="88"/>
      <c r="D30" s="100"/>
      <c r="E30" s="98"/>
      <c r="F30" s="99"/>
    </row>
    <row r="31" spans="1:6" x14ac:dyDescent="0.3">
      <c r="A31" s="128" t="s">
        <v>118</v>
      </c>
      <c r="B31" s="70">
        <f>SUM(B21:B29)</f>
        <v>23264847</v>
      </c>
      <c r="C31" s="70">
        <f>SUM(C21:C29)</f>
        <v>1569810</v>
      </c>
      <c r="D31" s="130" t="s">
        <v>119</v>
      </c>
      <c r="E31" s="70">
        <f>SUM(E21:E29)</f>
        <v>0</v>
      </c>
      <c r="F31" s="116">
        <f>SUM(F21:F29)</f>
        <v>0</v>
      </c>
    </row>
    <row r="32" spans="1:6" x14ac:dyDescent="0.3">
      <c r="A32" s="101"/>
      <c r="B32" s="88"/>
      <c r="C32" s="88"/>
      <c r="D32" s="100"/>
      <c r="E32" s="94"/>
      <c r="F32" s="102"/>
    </row>
    <row r="33" spans="1:6" x14ac:dyDescent="0.3">
      <c r="A33" s="128" t="s">
        <v>120</v>
      </c>
      <c r="B33" s="70">
        <f>B31+B18</f>
        <v>29591956</v>
      </c>
      <c r="C33" s="70">
        <f>C31+C18</f>
        <v>10146211</v>
      </c>
      <c r="D33" s="130" t="s">
        <v>121</v>
      </c>
      <c r="E33" s="70">
        <f>E31+E18</f>
        <v>227873</v>
      </c>
      <c r="F33" s="116">
        <f>F31+F18</f>
        <v>247724</v>
      </c>
    </row>
    <row r="34" spans="1:6" x14ac:dyDescent="0.3">
      <c r="A34" s="93"/>
      <c r="B34" s="103"/>
      <c r="C34" s="103"/>
      <c r="D34" s="100"/>
      <c r="E34" s="98"/>
      <c r="F34" s="99"/>
    </row>
    <row r="35" spans="1:6" x14ac:dyDescent="0.3">
      <c r="A35" s="93"/>
      <c r="B35" s="88"/>
      <c r="C35" s="88"/>
      <c r="D35" s="104" t="s">
        <v>122</v>
      </c>
      <c r="E35" s="94"/>
      <c r="F35" s="102"/>
    </row>
    <row r="36" spans="1:6" x14ac:dyDescent="0.3">
      <c r="A36" s="93"/>
      <c r="B36" s="94"/>
      <c r="C36" s="94"/>
      <c r="D36" s="130" t="s">
        <v>123</v>
      </c>
      <c r="E36" s="117">
        <f>SUM(E37:E39)</f>
        <v>21569898</v>
      </c>
      <c r="F36" s="118">
        <f>SUM(F37:F39)</f>
        <v>1364</v>
      </c>
    </row>
    <row r="37" spans="1:6" x14ac:dyDescent="0.3">
      <c r="A37" s="93"/>
      <c r="B37" s="94"/>
      <c r="C37" s="94"/>
      <c r="D37" s="89" t="s">
        <v>124</v>
      </c>
      <c r="E37" s="88">
        <v>1364</v>
      </c>
      <c r="F37" s="90">
        <v>1364</v>
      </c>
    </row>
    <row r="38" spans="1:6" x14ac:dyDescent="0.3">
      <c r="A38" s="93"/>
      <c r="B38" s="94"/>
      <c r="C38" s="94"/>
      <c r="D38" s="89" t="s">
        <v>125</v>
      </c>
      <c r="E38" s="88">
        <v>21568534</v>
      </c>
      <c r="F38" s="90">
        <v>0</v>
      </c>
    </row>
    <row r="39" spans="1:6" x14ac:dyDescent="0.3">
      <c r="A39" s="93"/>
      <c r="B39" s="94"/>
      <c r="C39" s="94"/>
      <c r="D39" s="89" t="s">
        <v>126</v>
      </c>
      <c r="E39" s="88"/>
      <c r="F39" s="90">
        <v>0</v>
      </c>
    </row>
    <row r="40" spans="1:6" x14ac:dyDescent="0.3">
      <c r="A40" s="101"/>
      <c r="B40" s="95"/>
      <c r="C40" s="95"/>
      <c r="D40" s="130" t="s">
        <v>127</v>
      </c>
      <c r="E40" s="117">
        <f>SUM(E41:E45)</f>
        <v>7794185</v>
      </c>
      <c r="F40" s="118">
        <f>SUM(F41:F45)</f>
        <v>9897123</v>
      </c>
    </row>
    <row r="41" spans="1:6" x14ac:dyDescent="0.3">
      <c r="A41" s="101"/>
      <c r="B41" s="95"/>
      <c r="C41" s="95"/>
      <c r="D41" s="89" t="s">
        <v>128</v>
      </c>
      <c r="E41" s="88">
        <v>-1315574</v>
      </c>
      <c r="F41" s="90">
        <v>429042</v>
      </c>
    </row>
    <row r="42" spans="1:6" x14ac:dyDescent="0.3">
      <c r="A42" s="101"/>
      <c r="B42" s="95"/>
      <c r="C42" s="95"/>
      <c r="D42" s="89" t="s">
        <v>129</v>
      </c>
      <c r="E42" s="88">
        <v>5466600</v>
      </c>
      <c r="F42" s="90">
        <v>5551612</v>
      </c>
    </row>
    <row r="43" spans="1:6" x14ac:dyDescent="0.3">
      <c r="A43" s="93"/>
      <c r="B43" s="94"/>
      <c r="C43" s="94"/>
      <c r="D43" s="89" t="s">
        <v>130</v>
      </c>
      <c r="E43" s="88">
        <v>0</v>
      </c>
      <c r="F43" s="90">
        <v>0</v>
      </c>
    </row>
    <row r="44" spans="1:6" x14ac:dyDescent="0.3">
      <c r="A44" s="93"/>
      <c r="B44" s="94"/>
      <c r="C44" s="94"/>
      <c r="D44" s="89" t="s">
        <v>131</v>
      </c>
      <c r="E44" s="88">
        <v>3643159</v>
      </c>
      <c r="F44" s="90">
        <v>3916469</v>
      </c>
    </row>
    <row r="45" spans="1:6" x14ac:dyDescent="0.3">
      <c r="A45" s="93"/>
      <c r="B45" s="94"/>
      <c r="C45" s="94"/>
      <c r="D45" s="89" t="s">
        <v>132</v>
      </c>
      <c r="E45" s="88">
        <v>0</v>
      </c>
      <c r="F45" s="90">
        <v>0</v>
      </c>
    </row>
    <row r="46" spans="1:6" ht="33" x14ac:dyDescent="0.3">
      <c r="A46" s="93"/>
      <c r="B46" s="94"/>
      <c r="C46" s="94"/>
      <c r="D46" s="131" t="s">
        <v>133</v>
      </c>
      <c r="E46" s="119">
        <f>SUM(E47:E48)</f>
        <v>0</v>
      </c>
      <c r="F46" s="120">
        <f>SUM(F47:F48)</f>
        <v>0</v>
      </c>
    </row>
    <row r="47" spans="1:6" x14ac:dyDescent="0.3">
      <c r="A47" s="87"/>
      <c r="B47" s="94"/>
      <c r="C47" s="94"/>
      <c r="D47" s="89" t="s">
        <v>134</v>
      </c>
      <c r="E47" s="88">
        <v>0</v>
      </c>
      <c r="F47" s="90">
        <v>0</v>
      </c>
    </row>
    <row r="48" spans="1:6" x14ac:dyDescent="0.3">
      <c r="A48" s="105"/>
      <c r="B48" s="106"/>
      <c r="C48" s="106"/>
      <c r="D48" s="89" t="s">
        <v>135</v>
      </c>
      <c r="E48" s="88">
        <v>0</v>
      </c>
      <c r="F48" s="90">
        <v>0</v>
      </c>
    </row>
    <row r="49" spans="1:7" x14ac:dyDescent="0.3">
      <c r="A49" s="93"/>
      <c r="B49" s="106"/>
      <c r="C49" s="106"/>
      <c r="D49" s="107"/>
      <c r="E49" s="106"/>
      <c r="F49" s="108"/>
    </row>
    <row r="50" spans="1:7" x14ac:dyDescent="0.3">
      <c r="A50" s="87"/>
      <c r="B50" s="106"/>
      <c r="C50" s="106"/>
      <c r="D50" s="130" t="s">
        <v>136</v>
      </c>
      <c r="E50" s="121">
        <f>E46+E40+E36</f>
        <v>29364083</v>
      </c>
      <c r="F50" s="122">
        <f>F46+F40+F36</f>
        <v>9898487</v>
      </c>
    </row>
    <row r="51" spans="1:7" x14ac:dyDescent="0.3">
      <c r="A51" s="105"/>
      <c r="B51" s="106"/>
      <c r="C51" s="106"/>
      <c r="D51" s="96"/>
      <c r="E51" s="109"/>
      <c r="F51" s="110"/>
    </row>
    <row r="52" spans="1:7" x14ac:dyDescent="0.3">
      <c r="A52" s="93"/>
      <c r="D52" s="130" t="s">
        <v>137</v>
      </c>
      <c r="E52" s="121">
        <f>E50+E33</f>
        <v>29591956</v>
      </c>
      <c r="F52" s="122">
        <f>F50+F33</f>
        <v>10146211</v>
      </c>
      <c r="G52" s="160" t="str">
        <f>IF($B$33=$E$52,"","VALOR INCORRECTO EJERCICIO 2016, TOTAL DE ACTIVOS TIENE QUE SER IGUAL AL TOTAL DE LA SUMA DE PASIVO Y HCIENDA")</f>
        <v/>
      </c>
    </row>
    <row r="53" spans="1:7" ht="17.25" thickBot="1" x14ac:dyDescent="0.35">
      <c r="A53" s="111"/>
      <c r="B53" s="112"/>
      <c r="C53" s="112"/>
      <c r="D53" s="113"/>
      <c r="E53" s="114"/>
      <c r="F53" s="115"/>
      <c r="G53" s="160" t="str">
        <f>IF($C$33=$F$52,"","VALOR INCORRECTO EJERCICIO 2015, TOTAL DE ACTIVOS TIENE QUE SER IGUAL AL TOTAL DE LA SUMA DE PASIVO Y HCIENDA")</f>
        <v/>
      </c>
    </row>
    <row r="54" spans="1:7" x14ac:dyDescent="0.3">
      <c r="A54" s="72" t="s">
        <v>138</v>
      </c>
      <c r="B54" s="645"/>
      <c r="C54" s="645"/>
      <c r="D54" s="76"/>
      <c r="E54" s="646"/>
      <c r="F54" s="646"/>
      <c r="G54" s="160"/>
    </row>
    <row r="55" spans="1:7" x14ac:dyDescent="0.3">
      <c r="A55" s="76"/>
      <c r="B55" s="645"/>
      <c r="C55" s="645"/>
      <c r="D55" s="76"/>
      <c r="E55" s="646"/>
      <c r="F55" s="646"/>
      <c r="G55" s="160"/>
    </row>
    <row r="56" spans="1:7" x14ac:dyDescent="0.3">
      <c r="A56" s="76"/>
      <c r="B56" s="645"/>
      <c r="C56" s="645"/>
      <c r="D56" s="76"/>
      <c r="E56" s="646"/>
      <c r="F56" s="646"/>
      <c r="G56" s="160"/>
    </row>
    <row r="57" spans="1:7" x14ac:dyDescent="0.3">
      <c r="A57" s="76"/>
      <c r="B57" s="645"/>
      <c r="C57" s="645"/>
      <c r="D57" s="76"/>
      <c r="E57" s="646"/>
      <c r="F57" s="646"/>
      <c r="G57" s="160"/>
    </row>
    <row r="60" spans="1:7" x14ac:dyDescent="0.3">
      <c r="B60" s="126"/>
      <c r="C60" s="127" t="s">
        <v>139</v>
      </c>
    </row>
  </sheetData>
  <sheetProtection algorithmName="SHA-512" hashValue="kwBKz5ERGfdX6EVQSyAA0yEd7LOBQ30QPBrdiWR91NYR8c1dh0KyTtvm4E1AobZu2IblGq791Qvu/Fc3X11uEw==" saltValue="oqQDHwqhITAHt5i/hMaSxw==" spinCount="100000" sheet="1" objects="1" scenarios="1" insertHyperlinks="0"/>
  <mergeCells count="1">
    <mergeCell ref="E5:F5"/>
  </mergeCells>
  <printOptions horizontalCentered="1"/>
  <pageMargins left="0.27559055118110237" right="0.15748031496062992" top="0.39370078740157483" bottom="0.51181102362204722" header="0.31496062992125984" footer="0.31496062992125984"/>
  <pageSetup scale="6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185"/>
  <sheetViews>
    <sheetView view="pageBreakPreview" topLeftCell="A175" zoomScaleNormal="112" zoomScaleSheetLayoutView="100" workbookViewId="0">
      <selection activeCell="E13" sqref="E13"/>
    </sheetView>
  </sheetViews>
  <sheetFormatPr baseColWidth="10" defaultColWidth="11.42578125" defaultRowHeight="16.5" x14ac:dyDescent="0.3"/>
  <cols>
    <col min="1" max="1" width="10.42578125" style="23" customWidth="1"/>
    <col min="2" max="2" width="39.7109375" style="6" customWidth="1"/>
    <col min="3" max="7" width="12.7109375" style="6" customWidth="1"/>
    <col min="8" max="8" width="11.7109375" style="6" customWidth="1"/>
    <col min="9" max="9" width="9.42578125" style="6" customWidth="1"/>
    <col min="10" max="16384" width="11.42578125" style="3"/>
  </cols>
  <sheetData>
    <row r="1" spans="1:9" s="6" customFormat="1" x14ac:dyDescent="0.25">
      <c r="A1" s="887" t="s">
        <v>76</v>
      </c>
      <c r="B1" s="887"/>
      <c r="C1" s="887"/>
      <c r="D1" s="887"/>
      <c r="E1" s="887"/>
      <c r="F1" s="887"/>
      <c r="G1" s="887"/>
      <c r="H1" s="887"/>
      <c r="I1" s="887"/>
    </row>
    <row r="2" spans="1:9" s="19" customFormat="1" ht="15.75" x14ac:dyDescent="0.25">
      <c r="A2" s="887" t="s">
        <v>327</v>
      </c>
      <c r="B2" s="887"/>
      <c r="C2" s="887"/>
      <c r="D2" s="887"/>
      <c r="E2" s="887"/>
      <c r="F2" s="887"/>
      <c r="G2" s="887"/>
      <c r="H2" s="887"/>
      <c r="I2" s="887"/>
    </row>
    <row r="3" spans="1:9" s="19" customFormat="1" ht="15.75" x14ac:dyDescent="0.25">
      <c r="A3" s="887" t="s">
        <v>486</v>
      </c>
      <c r="B3" s="887"/>
      <c r="C3" s="887"/>
      <c r="D3" s="887"/>
      <c r="E3" s="887"/>
      <c r="F3" s="887"/>
      <c r="G3" s="887"/>
      <c r="H3" s="887"/>
      <c r="I3" s="887"/>
    </row>
    <row r="4" spans="1:9" s="19" customFormat="1" x14ac:dyDescent="0.25">
      <c r="A4" s="888" t="s">
        <v>642</v>
      </c>
      <c r="B4" s="888"/>
      <c r="C4" s="888"/>
      <c r="D4" s="888"/>
      <c r="E4" s="888"/>
      <c r="F4" s="888"/>
      <c r="G4" s="888"/>
      <c r="H4" s="888"/>
      <c r="I4" s="888"/>
    </row>
    <row r="5" spans="1:9" s="19" customFormat="1" x14ac:dyDescent="0.25">
      <c r="A5" s="888" t="s">
        <v>647</v>
      </c>
      <c r="B5" s="888"/>
      <c r="C5" s="888"/>
      <c r="D5" s="888"/>
      <c r="E5" s="888"/>
      <c r="F5" s="888"/>
      <c r="G5" s="888"/>
      <c r="H5" s="888"/>
      <c r="I5" s="888"/>
    </row>
    <row r="6" spans="1:9" s="20" customFormat="1" ht="17.25" thickBot="1" x14ac:dyDescent="0.3">
      <c r="A6" s="63"/>
      <c r="B6" s="63"/>
      <c r="C6" s="882" t="s">
        <v>78</v>
      </c>
      <c r="D6" s="882"/>
      <c r="E6" s="882"/>
      <c r="F6" s="63"/>
      <c r="G6" s="4" t="s">
        <v>79</v>
      </c>
      <c r="H6" s="954" t="s">
        <v>644</v>
      </c>
      <c r="I6" s="954"/>
    </row>
    <row r="7" spans="1:9" ht="38.25" customHeight="1" x14ac:dyDescent="0.3">
      <c r="A7" s="883" t="s">
        <v>487</v>
      </c>
      <c r="B7" s="884"/>
      <c r="C7" s="278" t="s">
        <v>330</v>
      </c>
      <c r="D7" s="278" t="s">
        <v>331</v>
      </c>
      <c r="E7" s="278" t="s">
        <v>332</v>
      </c>
      <c r="F7" s="279" t="s">
        <v>333</v>
      </c>
      <c r="G7" s="279" t="s">
        <v>334</v>
      </c>
      <c r="H7" s="278" t="s">
        <v>335</v>
      </c>
      <c r="I7" s="280" t="s">
        <v>488</v>
      </c>
    </row>
    <row r="8" spans="1:9" ht="18" customHeight="1" thickBot="1" x14ac:dyDescent="0.35">
      <c r="A8" s="885"/>
      <c r="B8" s="886"/>
      <c r="C8" s="387" t="s">
        <v>280</v>
      </c>
      <c r="D8" s="387" t="s">
        <v>281</v>
      </c>
      <c r="E8" s="387" t="s">
        <v>336</v>
      </c>
      <c r="F8" s="443" t="s">
        <v>283</v>
      </c>
      <c r="G8" s="443" t="s">
        <v>284</v>
      </c>
      <c r="H8" s="387" t="s">
        <v>337</v>
      </c>
      <c r="I8" s="388" t="s">
        <v>489</v>
      </c>
    </row>
    <row r="9" spans="1:9" ht="6" customHeight="1" x14ac:dyDescent="0.3">
      <c r="A9" s="439"/>
      <c r="B9" s="440"/>
      <c r="C9" s="441"/>
      <c r="D9" s="441"/>
      <c r="E9" s="441"/>
      <c r="F9" s="441"/>
      <c r="G9" s="441"/>
      <c r="H9" s="441"/>
      <c r="I9" s="442"/>
    </row>
    <row r="10" spans="1:9" ht="20.100000000000001" customHeight="1" x14ac:dyDescent="0.3">
      <c r="A10" s="735">
        <v>1000</v>
      </c>
      <c r="B10" s="736" t="s">
        <v>490</v>
      </c>
      <c r="C10" s="737">
        <f>+C11+C23+C33+C36</f>
        <v>13167910.220000001</v>
      </c>
      <c r="D10" s="737">
        <f>+D11+D23+D33+D36</f>
        <v>1100872.2000000002</v>
      </c>
      <c r="E10" s="737">
        <f t="shared" ref="E10:G10" si="0">+E11+E23+E33+E36</f>
        <v>14268782.42</v>
      </c>
      <c r="F10" s="737">
        <f t="shared" si="0"/>
        <v>6467383.4299999997</v>
      </c>
      <c r="G10" s="737">
        <f t="shared" si="0"/>
        <v>6467383.4299999997</v>
      </c>
      <c r="H10" s="737">
        <f>+H11+H23+H33+H36</f>
        <v>7801398.9900000002</v>
      </c>
      <c r="I10" s="737">
        <f>+I11+I23+I33+I36</f>
        <v>2.2256791181030939</v>
      </c>
    </row>
    <row r="11" spans="1:9" s="24" customFormat="1" ht="17.25" customHeight="1" x14ac:dyDescent="0.2">
      <c r="A11" s="738">
        <v>1100</v>
      </c>
      <c r="B11" s="739" t="s">
        <v>491</v>
      </c>
      <c r="C11" s="740">
        <f>+C13+C16</f>
        <v>10980263.66</v>
      </c>
      <c r="D11" s="740">
        <f>+D13+D16</f>
        <v>580860.20000000019</v>
      </c>
      <c r="E11" s="740">
        <f>+C11+D11</f>
        <v>11561123.859999999</v>
      </c>
      <c r="F11" s="740">
        <f>+F13+F16</f>
        <v>5565950.7699999996</v>
      </c>
      <c r="G11" s="740">
        <f>+F11</f>
        <v>5565950.7699999996</v>
      </c>
      <c r="H11" s="740">
        <f>+H13+H16</f>
        <v>5995173.0900000008</v>
      </c>
      <c r="I11" s="740">
        <f>+I13+I16</f>
        <v>0.93519828742828148</v>
      </c>
    </row>
    <row r="12" spans="1:9" s="24" customFormat="1" ht="17.25" customHeight="1" x14ac:dyDescent="0.2">
      <c r="A12" s="741">
        <v>113</v>
      </c>
      <c r="B12" s="739" t="s">
        <v>492</v>
      </c>
      <c r="C12" s="742"/>
      <c r="D12" s="742"/>
      <c r="E12" s="742"/>
      <c r="F12" s="742"/>
      <c r="G12" s="742"/>
      <c r="H12" s="742"/>
      <c r="I12" s="743"/>
    </row>
    <row r="13" spans="1:9" s="24" customFormat="1" ht="17.25" customHeight="1" x14ac:dyDescent="0.2">
      <c r="A13" s="744">
        <v>11301</v>
      </c>
      <c r="B13" s="739" t="s">
        <v>493</v>
      </c>
      <c r="C13" s="742">
        <v>10767062.779999999</v>
      </c>
      <c r="D13" s="742">
        <f>3032826.2-2500221</f>
        <v>532605.20000000019</v>
      </c>
      <c r="E13" s="742">
        <f>+C13+D13</f>
        <v>11299667.98</v>
      </c>
      <c r="F13" s="742">
        <v>5447483.5599999996</v>
      </c>
      <c r="G13" s="742">
        <f>+F13</f>
        <v>5447483.5599999996</v>
      </c>
      <c r="H13" s="742">
        <f>+E13-F13</f>
        <v>5852184.4200000009</v>
      </c>
      <c r="I13" s="743">
        <f>+F13/E13</f>
        <v>0.48209235613310464</v>
      </c>
    </row>
    <row r="14" spans="1:9" s="24" customFormat="1" ht="17.25" customHeight="1" x14ac:dyDescent="0.2">
      <c r="A14" s="744">
        <v>11306</v>
      </c>
      <c r="B14" s="739" t="s">
        <v>494</v>
      </c>
      <c r="C14" s="742"/>
      <c r="D14" s="742"/>
      <c r="E14" s="742"/>
      <c r="F14" s="742"/>
      <c r="G14" s="742"/>
      <c r="H14" s="742"/>
      <c r="I14" s="743"/>
    </row>
    <row r="15" spans="1:9" s="24" customFormat="1" ht="17.25" customHeight="1" x14ac:dyDescent="0.2">
      <c r="A15" s="744">
        <v>11307</v>
      </c>
      <c r="B15" s="739" t="s">
        <v>495</v>
      </c>
      <c r="C15" s="742"/>
      <c r="D15" s="742"/>
      <c r="E15" s="742"/>
      <c r="F15" s="742"/>
      <c r="G15" s="742"/>
      <c r="H15" s="742"/>
      <c r="I15" s="743"/>
    </row>
    <row r="16" spans="1:9" s="24" customFormat="1" ht="17.25" customHeight="1" x14ac:dyDescent="0.2">
      <c r="A16" s="744">
        <v>11308</v>
      </c>
      <c r="B16" s="739" t="s">
        <v>657</v>
      </c>
      <c r="C16" s="742">
        <v>213200.88</v>
      </c>
      <c r="D16" s="742">
        <f>51555-3300</f>
        <v>48255</v>
      </c>
      <c r="E16" s="742">
        <f>+C16+D16</f>
        <v>261455.88</v>
      </c>
      <c r="F16" s="742">
        <v>118467.21</v>
      </c>
      <c r="G16" s="742">
        <f>+F16</f>
        <v>118467.21</v>
      </c>
      <c r="H16" s="742">
        <f>+E16-F16</f>
        <v>142988.66999999998</v>
      </c>
      <c r="I16" s="743">
        <f>+F16/E16</f>
        <v>0.45310593129517684</v>
      </c>
    </row>
    <row r="17" spans="1:9" s="24" customFormat="1" ht="17.25" customHeight="1" x14ac:dyDescent="0.2">
      <c r="A17" s="744">
        <v>11309</v>
      </c>
      <c r="B17" s="739" t="s">
        <v>496</v>
      </c>
      <c r="C17" s="742"/>
      <c r="D17" s="742"/>
      <c r="E17" s="742"/>
      <c r="F17" s="742"/>
      <c r="G17" s="742"/>
      <c r="H17" s="742"/>
      <c r="I17" s="743"/>
    </row>
    <row r="18" spans="1:9" s="24" customFormat="1" ht="17.25" customHeight="1" x14ac:dyDescent="0.2">
      <c r="A18" s="744">
        <v>11310</v>
      </c>
      <c r="B18" s="739" t="s">
        <v>497</v>
      </c>
      <c r="C18" s="742"/>
      <c r="D18" s="742"/>
      <c r="E18" s="742"/>
      <c r="F18" s="742"/>
      <c r="G18" s="742"/>
      <c r="H18" s="742"/>
      <c r="I18" s="743"/>
    </row>
    <row r="19" spans="1:9" s="24" customFormat="1" ht="17.25" customHeight="1" x14ac:dyDescent="0.2">
      <c r="A19" s="741">
        <v>121</v>
      </c>
      <c r="B19" s="739" t="s">
        <v>498</v>
      </c>
      <c r="C19" s="742"/>
      <c r="D19" s="742"/>
      <c r="E19" s="742"/>
      <c r="F19" s="742"/>
      <c r="G19" s="742"/>
      <c r="H19" s="742"/>
      <c r="I19" s="743"/>
    </row>
    <row r="20" spans="1:9" s="24" customFormat="1" ht="17.25" customHeight="1" x14ac:dyDescent="0.2">
      <c r="A20" s="744">
        <v>12101</v>
      </c>
      <c r="B20" s="739" t="s">
        <v>499</v>
      </c>
      <c r="C20" s="742"/>
      <c r="D20" s="742"/>
      <c r="E20" s="742"/>
      <c r="F20" s="742"/>
      <c r="G20" s="742"/>
      <c r="H20" s="742"/>
      <c r="I20" s="743"/>
    </row>
    <row r="21" spans="1:9" s="24" customFormat="1" ht="17.25" customHeight="1" x14ac:dyDescent="0.2">
      <c r="A21" s="741">
        <v>122</v>
      </c>
      <c r="B21" s="739" t="s">
        <v>500</v>
      </c>
      <c r="C21" s="742"/>
      <c r="D21" s="742"/>
      <c r="E21" s="742"/>
      <c r="F21" s="742"/>
      <c r="G21" s="742"/>
      <c r="H21" s="742"/>
      <c r="I21" s="743"/>
    </row>
    <row r="22" spans="1:9" s="24" customFormat="1" ht="17.25" customHeight="1" x14ac:dyDescent="0.2">
      <c r="A22" s="744">
        <v>12201</v>
      </c>
      <c r="B22" s="739" t="s">
        <v>500</v>
      </c>
      <c r="C22" s="742"/>
      <c r="D22" s="742"/>
      <c r="E22" s="742"/>
      <c r="F22" s="742"/>
      <c r="G22" s="742"/>
      <c r="H22" s="742"/>
      <c r="I22" s="743"/>
    </row>
    <row r="23" spans="1:9" s="24" customFormat="1" ht="17.25" customHeight="1" x14ac:dyDescent="0.2">
      <c r="A23" s="738">
        <v>1300</v>
      </c>
      <c r="B23" s="739" t="s">
        <v>501</v>
      </c>
      <c r="C23" s="742">
        <f>+C27+C28+C25</f>
        <v>1691304.6600000001</v>
      </c>
      <c r="D23" s="742">
        <f t="shared" ref="D23:H23" si="1">+D27+D28+D25</f>
        <v>429909</v>
      </c>
      <c r="E23" s="742">
        <f t="shared" si="1"/>
        <v>2121213.6599999997</v>
      </c>
      <c r="F23" s="742">
        <f>+F27+F28+F25</f>
        <v>686417.42</v>
      </c>
      <c r="G23" s="742">
        <f>+F23</f>
        <v>686417.42</v>
      </c>
      <c r="H23" s="742">
        <f t="shared" si="1"/>
        <v>1434796.2399999998</v>
      </c>
      <c r="I23" s="742">
        <f t="shared" ref="I23:I25" si="2">+I27+I28</f>
        <v>0.53956449148766694</v>
      </c>
    </row>
    <row r="24" spans="1:9" s="24" customFormat="1" ht="29.25" customHeight="1" x14ac:dyDescent="0.2">
      <c r="A24" s="741">
        <v>131</v>
      </c>
      <c r="B24" s="739" t="s">
        <v>502</v>
      </c>
      <c r="C24" s="742"/>
      <c r="D24" s="742"/>
      <c r="E24" s="742"/>
      <c r="F24" s="742"/>
      <c r="G24" s="742"/>
      <c r="H24" s="742"/>
      <c r="I24" s="743"/>
    </row>
    <row r="25" spans="1:9" s="24" customFormat="1" ht="25.5" customHeight="1" x14ac:dyDescent="0.2">
      <c r="A25" s="744">
        <v>13101</v>
      </c>
      <c r="B25" s="739" t="s">
        <v>503</v>
      </c>
      <c r="C25" s="742">
        <v>150000</v>
      </c>
      <c r="D25" s="742">
        <f>552365.09-248200</f>
        <v>304165.08999999997</v>
      </c>
      <c r="E25" s="742">
        <f>+C25+D25</f>
        <v>454165.08999999997</v>
      </c>
      <c r="F25" s="742">
        <v>271761.09000000003</v>
      </c>
      <c r="G25" s="742">
        <f>+F25</f>
        <v>271761.09000000003</v>
      </c>
      <c r="H25" s="742">
        <f>+E25-F25</f>
        <v>182403.99999999994</v>
      </c>
      <c r="I25" s="742">
        <f t="shared" si="2"/>
        <v>0</v>
      </c>
    </row>
    <row r="26" spans="1:9" s="24" customFormat="1" ht="17.25" customHeight="1" x14ac:dyDescent="0.2">
      <c r="A26" s="741">
        <v>132</v>
      </c>
      <c r="B26" s="739" t="s">
        <v>504</v>
      </c>
      <c r="C26" s="742"/>
      <c r="D26" s="742"/>
      <c r="E26" s="742"/>
      <c r="F26" s="742"/>
      <c r="G26" s="742"/>
      <c r="H26" s="742"/>
      <c r="I26" s="743"/>
    </row>
    <row r="27" spans="1:9" s="24" customFormat="1" ht="17.25" customHeight="1" x14ac:dyDescent="0.2">
      <c r="A27" s="744">
        <v>13201</v>
      </c>
      <c r="B27" s="739" t="s">
        <v>505</v>
      </c>
      <c r="C27" s="742">
        <v>452632.35</v>
      </c>
      <c r="D27" s="742">
        <f>57875.73-13293</f>
        <v>44582.73</v>
      </c>
      <c r="E27" s="742">
        <f>+C27+D27</f>
        <v>497215.07999999996</v>
      </c>
      <c r="F27" s="742">
        <v>160074.54</v>
      </c>
      <c r="G27" s="742">
        <f>+F27</f>
        <v>160074.54</v>
      </c>
      <c r="H27" s="742">
        <f>+E27-F27</f>
        <v>337140.53999999992</v>
      </c>
      <c r="I27" s="743">
        <f>+F27/E27</f>
        <v>0.32194224680393851</v>
      </c>
    </row>
    <row r="28" spans="1:9" s="24" customFormat="1" ht="17.25" customHeight="1" x14ac:dyDescent="0.2">
      <c r="A28" s="744">
        <v>13202</v>
      </c>
      <c r="B28" s="739" t="s">
        <v>506</v>
      </c>
      <c r="C28" s="742">
        <v>1088672.31</v>
      </c>
      <c r="D28" s="742">
        <f>164152.18-82991</f>
        <v>81161.179999999993</v>
      </c>
      <c r="E28" s="742">
        <f>+C28+D28</f>
        <v>1169833.49</v>
      </c>
      <c r="F28" s="742">
        <v>254581.79</v>
      </c>
      <c r="G28" s="742">
        <f>+F28</f>
        <v>254581.79</v>
      </c>
      <c r="H28" s="742">
        <f>+E28-F28</f>
        <v>915251.7</v>
      </c>
      <c r="I28" s="743">
        <f>+F28/E28</f>
        <v>0.21762224468372846</v>
      </c>
    </row>
    <row r="29" spans="1:9" s="24" customFormat="1" ht="17.25" customHeight="1" x14ac:dyDescent="0.2">
      <c r="A29" s="744">
        <v>13203</v>
      </c>
      <c r="B29" s="739" t="s">
        <v>507</v>
      </c>
      <c r="C29" s="742"/>
      <c r="D29" s="742"/>
      <c r="E29" s="742"/>
      <c r="F29" s="742"/>
      <c r="G29" s="742"/>
      <c r="H29" s="742"/>
      <c r="I29" s="743"/>
    </row>
    <row r="30" spans="1:9" s="24" customFormat="1" ht="17.25" customHeight="1" x14ac:dyDescent="0.2">
      <c r="A30" s="744">
        <v>13204</v>
      </c>
      <c r="B30" s="739" t="s">
        <v>508</v>
      </c>
      <c r="C30" s="742"/>
      <c r="D30" s="742"/>
      <c r="E30" s="742"/>
      <c r="F30" s="742"/>
      <c r="G30" s="742"/>
      <c r="H30" s="742"/>
      <c r="I30" s="743"/>
    </row>
    <row r="31" spans="1:9" s="24" customFormat="1" ht="17.25" customHeight="1" x14ac:dyDescent="0.2">
      <c r="A31" s="741">
        <v>134</v>
      </c>
      <c r="B31" s="739" t="s">
        <v>509</v>
      </c>
      <c r="C31" s="742"/>
      <c r="D31" s="742"/>
      <c r="E31" s="742"/>
      <c r="F31" s="742"/>
      <c r="G31" s="742"/>
      <c r="H31" s="742"/>
      <c r="I31" s="745"/>
    </row>
    <row r="32" spans="1:9" s="24" customFormat="1" ht="17.25" customHeight="1" x14ac:dyDescent="0.2">
      <c r="A32" s="744">
        <v>13403</v>
      </c>
      <c r="B32" s="739" t="s">
        <v>510</v>
      </c>
      <c r="C32" s="742"/>
      <c r="D32" s="742"/>
      <c r="E32" s="742"/>
      <c r="F32" s="742"/>
      <c r="G32" s="742"/>
      <c r="H32" s="742"/>
      <c r="I32" s="745"/>
    </row>
    <row r="33" spans="1:9" s="24" customFormat="1" ht="17.25" customHeight="1" x14ac:dyDescent="0.2">
      <c r="A33" s="744">
        <v>1400</v>
      </c>
      <c r="B33" s="739" t="s">
        <v>341</v>
      </c>
      <c r="C33" s="742">
        <f t="shared" ref="C33:I33" si="3">+C35</f>
        <v>378079.23</v>
      </c>
      <c r="D33" s="742">
        <f t="shared" si="3"/>
        <v>78583</v>
      </c>
      <c r="E33" s="742">
        <f t="shared" si="3"/>
        <v>456662.23</v>
      </c>
      <c r="F33" s="742">
        <f>+F35</f>
        <v>164234.49</v>
      </c>
      <c r="G33" s="742">
        <f>+F33</f>
        <v>164234.49</v>
      </c>
      <c r="H33" s="742">
        <f t="shared" si="3"/>
        <v>292427.74</v>
      </c>
      <c r="I33" s="742">
        <f t="shared" si="3"/>
        <v>0.35964106337412666</v>
      </c>
    </row>
    <row r="34" spans="1:9" s="24" customFormat="1" ht="17.25" customHeight="1" x14ac:dyDescent="0.2">
      <c r="A34" s="744">
        <v>144</v>
      </c>
      <c r="B34" s="739" t="s">
        <v>658</v>
      </c>
      <c r="C34" s="742"/>
      <c r="D34" s="742"/>
      <c r="E34" s="742"/>
      <c r="F34" s="742"/>
      <c r="G34" s="742"/>
      <c r="H34" s="742"/>
      <c r="I34" s="745"/>
    </row>
    <row r="35" spans="1:9" s="24" customFormat="1" ht="17.25" customHeight="1" x14ac:dyDescent="0.2">
      <c r="A35" s="744">
        <v>14404</v>
      </c>
      <c r="B35" s="739" t="s">
        <v>659</v>
      </c>
      <c r="C35" s="742">
        <v>378079.23</v>
      </c>
      <c r="D35" s="742">
        <f>102233-23650</f>
        <v>78583</v>
      </c>
      <c r="E35" s="742">
        <f>+C35+D35</f>
        <v>456662.23</v>
      </c>
      <c r="F35" s="742">
        <v>164234.49</v>
      </c>
      <c r="G35" s="742">
        <f>+F35</f>
        <v>164234.49</v>
      </c>
      <c r="H35" s="742">
        <f>+E35-F35</f>
        <v>292427.74</v>
      </c>
      <c r="I35" s="743">
        <f>+F35/E35</f>
        <v>0.35964106337412666</v>
      </c>
    </row>
    <row r="36" spans="1:9" s="24" customFormat="1" ht="17.25" customHeight="1" x14ac:dyDescent="0.2">
      <c r="A36" s="744">
        <v>1500</v>
      </c>
      <c r="B36" s="739" t="s">
        <v>660</v>
      </c>
      <c r="C36" s="742">
        <f>+C38</f>
        <v>118262.67</v>
      </c>
      <c r="D36" s="742">
        <f>+D38</f>
        <v>11520</v>
      </c>
      <c r="E36" s="742">
        <f>+C36+D36</f>
        <v>129782.67</v>
      </c>
      <c r="F36" s="742">
        <f>+F38</f>
        <v>50780.75</v>
      </c>
      <c r="G36" s="742">
        <f>+F36</f>
        <v>50780.75</v>
      </c>
      <c r="H36" s="742">
        <f>+H38</f>
        <v>79001.919999999998</v>
      </c>
      <c r="I36" s="742">
        <f>+I38</f>
        <v>0.3912752758130188</v>
      </c>
    </row>
    <row r="37" spans="1:9" s="24" customFormat="1" ht="17.25" customHeight="1" x14ac:dyDescent="0.2">
      <c r="A37" s="744">
        <v>154</v>
      </c>
      <c r="B37" s="739" t="s">
        <v>661</v>
      </c>
      <c r="C37" s="742"/>
      <c r="D37" s="742"/>
      <c r="E37" s="742"/>
      <c r="F37" s="742"/>
      <c r="G37" s="742"/>
      <c r="H37" s="742"/>
      <c r="I37" s="745"/>
    </row>
    <row r="38" spans="1:9" s="24" customFormat="1" ht="17.25" customHeight="1" x14ac:dyDescent="0.2">
      <c r="A38" s="744">
        <v>15402</v>
      </c>
      <c r="B38" s="739" t="s">
        <v>662</v>
      </c>
      <c r="C38" s="742">
        <v>118262.67</v>
      </c>
      <c r="D38" s="742">
        <f>11520-0</f>
        <v>11520</v>
      </c>
      <c r="E38" s="742">
        <f>+C38+D38</f>
        <v>129782.67</v>
      </c>
      <c r="F38" s="742">
        <v>50780.75</v>
      </c>
      <c r="G38" s="742">
        <f>+F38</f>
        <v>50780.75</v>
      </c>
      <c r="H38" s="742">
        <f>+E38-F38</f>
        <v>79001.919999999998</v>
      </c>
      <c r="I38" s="743">
        <f>+F38/E38</f>
        <v>0.3912752758130188</v>
      </c>
    </row>
    <row r="39" spans="1:9" s="24" customFormat="1" ht="17.25" customHeight="1" x14ac:dyDescent="0.2">
      <c r="A39" s="746">
        <v>2000</v>
      </c>
      <c r="B39" s="736" t="s">
        <v>663</v>
      </c>
      <c r="C39" s="737">
        <f>+C40+C54+C60+C74+C77+C85+C69+C57+C82</f>
        <v>469634.08999999997</v>
      </c>
      <c r="D39" s="737">
        <f t="shared" ref="D39:I39" si="4">+D40+D54+D60+D74+D77+D85+D69+D57+D82</f>
        <v>670475.78</v>
      </c>
      <c r="E39" s="737">
        <f t="shared" si="4"/>
        <v>1140109.8700000001</v>
      </c>
      <c r="F39" s="737">
        <f t="shared" si="4"/>
        <v>1009259.5800000002</v>
      </c>
      <c r="G39" s="737">
        <f>+G40+G54+G60+G74+G77+G85+G69+G57+G82</f>
        <v>1009259.5800000002</v>
      </c>
      <c r="H39" s="737">
        <f t="shared" si="4"/>
        <v>130850.29</v>
      </c>
      <c r="I39" s="737">
        <f t="shared" si="4"/>
        <v>16.436250467752973</v>
      </c>
    </row>
    <row r="40" spans="1:9" s="24" customFormat="1" ht="17.25" customHeight="1" x14ac:dyDescent="0.2">
      <c r="A40" s="744">
        <v>2100</v>
      </c>
      <c r="B40" s="739" t="s">
        <v>664</v>
      </c>
      <c r="C40" s="742">
        <f>+C42+C44+C46+C48+C51+C53+C50</f>
        <v>65000</v>
      </c>
      <c r="D40" s="742">
        <f t="shared" ref="D40:I40" si="5">+D42+D44+D46+D48+D51+D53+D50</f>
        <v>601175.55000000005</v>
      </c>
      <c r="E40" s="742">
        <f t="shared" si="5"/>
        <v>666175.55000000005</v>
      </c>
      <c r="F40" s="742">
        <f t="shared" si="5"/>
        <v>593655.53</v>
      </c>
      <c r="G40" s="742">
        <f>+F40</f>
        <v>593655.53</v>
      </c>
      <c r="H40" s="742">
        <f t="shared" si="5"/>
        <v>72520.02</v>
      </c>
      <c r="I40" s="742">
        <f t="shared" si="5"/>
        <v>5.6200532026565719</v>
      </c>
    </row>
    <row r="41" spans="1:9" s="24" customFormat="1" ht="17.25" customHeight="1" x14ac:dyDescent="0.2">
      <c r="A41" s="744">
        <v>211</v>
      </c>
      <c r="B41" s="739" t="s">
        <v>665</v>
      </c>
      <c r="C41" s="742"/>
      <c r="D41" s="742"/>
      <c r="E41" s="742"/>
      <c r="F41" s="742"/>
      <c r="G41" s="742"/>
      <c r="H41" s="742"/>
      <c r="I41" s="745"/>
    </row>
    <row r="42" spans="1:9" s="24" customFormat="1" ht="17.25" customHeight="1" x14ac:dyDescent="0.2">
      <c r="A42" s="744">
        <v>21101</v>
      </c>
      <c r="B42" s="739" t="s">
        <v>666</v>
      </c>
      <c r="C42" s="742">
        <v>35000</v>
      </c>
      <c r="D42" s="742">
        <f>39969.3-13555.75</f>
        <v>26413.550000000003</v>
      </c>
      <c r="E42" s="742">
        <f>+C42+D42</f>
        <v>61413.55</v>
      </c>
      <c r="F42" s="742">
        <v>50582.89</v>
      </c>
      <c r="G42" s="742">
        <f>+F42</f>
        <v>50582.89</v>
      </c>
      <c r="H42" s="742">
        <f>+E42-F42</f>
        <v>10830.660000000003</v>
      </c>
      <c r="I42" s="743">
        <f t="shared" ref="I42:I53" si="6">+F42/E42</f>
        <v>0.82364380499091805</v>
      </c>
    </row>
    <row r="43" spans="1:9" s="24" customFormat="1" ht="17.25" customHeight="1" x14ac:dyDescent="0.2">
      <c r="A43" s="744">
        <v>212</v>
      </c>
      <c r="B43" s="739" t="s">
        <v>667</v>
      </c>
      <c r="C43" s="742"/>
      <c r="D43" s="742"/>
      <c r="E43" s="742"/>
      <c r="F43" s="742"/>
      <c r="G43" s="742"/>
      <c r="H43" s="742"/>
      <c r="I43" s="743"/>
    </row>
    <row r="44" spans="1:9" s="24" customFormat="1" ht="17.25" customHeight="1" x14ac:dyDescent="0.2">
      <c r="A44" s="744">
        <v>21201</v>
      </c>
      <c r="B44" s="739" t="s">
        <v>668</v>
      </c>
      <c r="C44" s="742">
        <v>10000</v>
      </c>
      <c r="D44" s="742">
        <f>188281.32-21581.6</f>
        <v>166699.72</v>
      </c>
      <c r="E44" s="742">
        <f>+C44+D44</f>
        <v>176699.72</v>
      </c>
      <c r="F44" s="742">
        <v>140948.65</v>
      </c>
      <c r="G44" s="742">
        <f>+F44</f>
        <v>140948.65</v>
      </c>
      <c r="H44" s="742">
        <f>+E44-F44</f>
        <v>35751.070000000007</v>
      </c>
      <c r="I44" s="743">
        <f t="shared" si="6"/>
        <v>0.7976733070092018</v>
      </c>
    </row>
    <row r="45" spans="1:9" s="24" customFormat="1" ht="17.25" customHeight="1" x14ac:dyDescent="0.2">
      <c r="A45" s="744">
        <v>214</v>
      </c>
      <c r="B45" s="739" t="s">
        <v>669</v>
      </c>
      <c r="C45" s="742"/>
      <c r="D45" s="742"/>
      <c r="E45" s="742"/>
      <c r="F45" s="742"/>
      <c r="G45" s="742"/>
      <c r="H45" s="742"/>
      <c r="I45" s="743"/>
    </row>
    <row r="46" spans="1:9" s="24" customFormat="1" ht="17.25" customHeight="1" x14ac:dyDescent="0.2">
      <c r="A46" s="744">
        <v>21401</v>
      </c>
      <c r="B46" s="739" t="s">
        <v>670</v>
      </c>
      <c r="C46" s="742">
        <v>0</v>
      </c>
      <c r="D46" s="742">
        <f>6330-880.15</f>
        <v>5449.85</v>
      </c>
      <c r="E46" s="742">
        <f>+C46+D46</f>
        <v>5449.85</v>
      </c>
      <c r="F46" s="742">
        <v>5405</v>
      </c>
      <c r="G46" s="742">
        <f>+F46</f>
        <v>5405</v>
      </c>
      <c r="H46" s="742">
        <f>+E46-F46</f>
        <v>44.850000000000364</v>
      </c>
      <c r="I46" s="743">
        <f t="shared" si="6"/>
        <v>0.99177041569951463</v>
      </c>
    </row>
    <row r="47" spans="1:9" s="24" customFormat="1" ht="17.25" customHeight="1" x14ac:dyDescent="0.2">
      <c r="A47" s="744">
        <v>216</v>
      </c>
      <c r="B47" s="739" t="s">
        <v>671</v>
      </c>
      <c r="C47" s="742"/>
      <c r="D47" s="742"/>
      <c r="E47" s="742"/>
      <c r="F47" s="742"/>
      <c r="G47" s="742"/>
      <c r="H47" s="742"/>
      <c r="I47" s="743"/>
    </row>
    <row r="48" spans="1:9" s="24" customFormat="1" ht="17.25" customHeight="1" x14ac:dyDescent="0.2">
      <c r="A48" s="744">
        <v>216101</v>
      </c>
      <c r="B48" s="739" t="s">
        <v>672</v>
      </c>
      <c r="C48" s="742">
        <v>20000</v>
      </c>
      <c r="D48" s="742">
        <f>26291.91-14182</f>
        <v>12109.91</v>
      </c>
      <c r="E48" s="742">
        <f>+C48+D48</f>
        <v>32109.91</v>
      </c>
      <c r="F48" s="742">
        <v>28097.48</v>
      </c>
      <c r="G48" s="742">
        <f>+F48</f>
        <v>28097.48</v>
      </c>
      <c r="H48" s="742">
        <f>+E48-F48</f>
        <v>4012.4300000000003</v>
      </c>
      <c r="I48" s="743">
        <f t="shared" si="6"/>
        <v>0.87504075844497853</v>
      </c>
    </row>
    <row r="49" spans="1:9" s="24" customFormat="1" ht="17.25" customHeight="1" x14ac:dyDescent="0.2">
      <c r="A49" s="744">
        <v>217</v>
      </c>
      <c r="B49" s="739" t="s">
        <v>673</v>
      </c>
      <c r="C49" s="742"/>
      <c r="D49" s="742"/>
      <c r="E49" s="742"/>
      <c r="F49" s="742"/>
      <c r="G49" s="742"/>
      <c r="H49" s="742"/>
      <c r="I49" s="743"/>
    </row>
    <row r="50" spans="1:9" s="24" customFormat="1" ht="17.25" customHeight="1" x14ac:dyDescent="0.2">
      <c r="A50" s="744">
        <v>21701</v>
      </c>
      <c r="B50" s="739" t="s">
        <v>674</v>
      </c>
      <c r="C50" s="742">
        <v>0</v>
      </c>
      <c r="D50" s="742">
        <v>361964.27</v>
      </c>
      <c r="E50" s="742">
        <f>+D50</f>
        <v>361964.27</v>
      </c>
      <c r="F50" s="742">
        <v>361964.27</v>
      </c>
      <c r="G50" s="742">
        <f>+F50</f>
        <v>361964.27</v>
      </c>
      <c r="H50" s="742">
        <f>+E50-F50</f>
        <v>0</v>
      </c>
      <c r="I50" s="743">
        <f t="shared" ref="I50" si="7">+F50/E50</f>
        <v>1</v>
      </c>
    </row>
    <row r="51" spans="1:9" s="24" customFormat="1" ht="17.25" customHeight="1" x14ac:dyDescent="0.2">
      <c r="A51" s="744">
        <v>21702</v>
      </c>
      <c r="B51" s="739" t="s">
        <v>675</v>
      </c>
      <c r="C51" s="742">
        <v>0</v>
      </c>
      <c r="D51" s="742">
        <f>73041.4-47812.15</f>
        <v>25229.249999999993</v>
      </c>
      <c r="E51" s="742">
        <f>+C51+D51</f>
        <v>25229.249999999993</v>
      </c>
      <c r="F51" s="742">
        <v>3351.24</v>
      </c>
      <c r="G51" s="742">
        <f>+F51</f>
        <v>3351.24</v>
      </c>
      <c r="H51" s="742">
        <f>+E51-F51</f>
        <v>21878.009999999995</v>
      </c>
      <c r="I51" s="743">
        <f t="shared" si="6"/>
        <v>0.13283153482564883</v>
      </c>
    </row>
    <row r="52" spans="1:9" s="24" customFormat="1" ht="17.25" customHeight="1" x14ac:dyDescent="0.2">
      <c r="A52" s="744">
        <v>218</v>
      </c>
      <c r="B52" s="739" t="s">
        <v>676</v>
      </c>
      <c r="C52" s="742"/>
      <c r="D52" s="742"/>
      <c r="E52" s="742"/>
      <c r="F52" s="742"/>
      <c r="G52" s="742"/>
      <c r="H52" s="742"/>
      <c r="I52" s="743"/>
    </row>
    <row r="53" spans="1:9" s="24" customFormat="1" ht="17.25" customHeight="1" x14ac:dyDescent="0.2">
      <c r="A53" s="744">
        <v>21801</v>
      </c>
      <c r="B53" s="739" t="s">
        <v>677</v>
      </c>
      <c r="C53" s="742">
        <v>0</v>
      </c>
      <c r="D53" s="742">
        <v>3309</v>
      </c>
      <c r="E53" s="742">
        <f>+C53+D53</f>
        <v>3309</v>
      </c>
      <c r="F53" s="742">
        <v>3306</v>
      </c>
      <c r="G53" s="742">
        <f>+F53</f>
        <v>3306</v>
      </c>
      <c r="H53" s="742">
        <f>+E53-F53</f>
        <v>3</v>
      </c>
      <c r="I53" s="743">
        <f t="shared" si="6"/>
        <v>0.99909338168631001</v>
      </c>
    </row>
    <row r="54" spans="1:9" s="24" customFormat="1" ht="17.25" customHeight="1" x14ac:dyDescent="0.2">
      <c r="A54" s="744">
        <v>2200</v>
      </c>
      <c r="B54" s="739" t="s">
        <v>678</v>
      </c>
      <c r="C54" s="742">
        <f>+C56</f>
        <v>130000</v>
      </c>
      <c r="D54" s="742">
        <f t="shared" ref="D54:I54" si="8">+D56</f>
        <v>-102515.96</v>
      </c>
      <c r="E54" s="742">
        <f t="shared" si="8"/>
        <v>27484.039999999994</v>
      </c>
      <c r="F54" s="742">
        <f>+F56</f>
        <v>13720</v>
      </c>
      <c r="G54" s="742">
        <f>+F54</f>
        <v>13720</v>
      </c>
      <c r="H54" s="742">
        <f>+H56</f>
        <v>13764.039999999994</v>
      </c>
      <c r="I54" s="742">
        <f t="shared" si="8"/>
        <v>0.49919880774442199</v>
      </c>
    </row>
    <row r="55" spans="1:9" s="24" customFormat="1" ht="17.25" customHeight="1" x14ac:dyDescent="0.2">
      <c r="A55" s="744">
        <v>221</v>
      </c>
      <c r="B55" s="739" t="s">
        <v>679</v>
      </c>
      <c r="C55" s="742"/>
      <c r="D55" s="742"/>
      <c r="E55" s="742"/>
      <c r="F55" s="742"/>
      <c r="G55" s="742"/>
      <c r="H55" s="742"/>
      <c r="I55" s="745"/>
    </row>
    <row r="56" spans="1:9" s="24" customFormat="1" ht="17.25" customHeight="1" x14ac:dyDescent="0.2">
      <c r="A56" s="744">
        <v>22106</v>
      </c>
      <c r="B56" s="739" t="s">
        <v>680</v>
      </c>
      <c r="C56" s="742">
        <v>130000</v>
      </c>
      <c r="D56" s="742">
        <f>5641-108156.96</f>
        <v>-102515.96</v>
      </c>
      <c r="E56" s="742">
        <f>+C56+D56</f>
        <v>27484.039999999994</v>
      </c>
      <c r="F56" s="742">
        <v>13720</v>
      </c>
      <c r="G56" s="742">
        <f>+F56</f>
        <v>13720</v>
      </c>
      <c r="H56" s="742">
        <f>+E56-F56</f>
        <v>13764.039999999994</v>
      </c>
      <c r="I56" s="743">
        <f t="shared" ref="I56" si="9">+F56/E56</f>
        <v>0.49919880774442199</v>
      </c>
    </row>
    <row r="57" spans="1:9" s="24" customFormat="1" ht="17.25" customHeight="1" x14ac:dyDescent="0.2">
      <c r="A57" s="744">
        <v>2300</v>
      </c>
      <c r="B57" s="739" t="s">
        <v>681</v>
      </c>
      <c r="C57" s="742">
        <f>+C59</f>
        <v>0</v>
      </c>
      <c r="D57" s="742">
        <f t="shared" ref="D57:I57" si="10">+D59</f>
        <v>566</v>
      </c>
      <c r="E57" s="742">
        <f t="shared" si="10"/>
        <v>566</v>
      </c>
      <c r="F57" s="742">
        <f t="shared" si="10"/>
        <v>565</v>
      </c>
      <c r="G57" s="742">
        <f>+F57</f>
        <v>565</v>
      </c>
      <c r="H57" s="742">
        <f t="shared" si="10"/>
        <v>1</v>
      </c>
      <c r="I57" s="742">
        <f t="shared" si="10"/>
        <v>0.99823321554770317</v>
      </c>
    </row>
    <row r="58" spans="1:9" s="24" customFormat="1" ht="17.25" customHeight="1" x14ac:dyDescent="0.2">
      <c r="A58" s="744">
        <v>233</v>
      </c>
      <c r="B58" s="739" t="s">
        <v>682</v>
      </c>
      <c r="C58" s="742"/>
      <c r="D58" s="742"/>
      <c r="E58" s="742"/>
      <c r="F58" s="742"/>
      <c r="G58" s="742"/>
      <c r="H58" s="742"/>
      <c r="I58" s="747"/>
    </row>
    <row r="59" spans="1:9" s="24" customFormat="1" ht="17.25" customHeight="1" x14ac:dyDescent="0.2">
      <c r="A59" s="744">
        <v>23301</v>
      </c>
      <c r="B59" s="739" t="s">
        <v>683</v>
      </c>
      <c r="C59" s="742">
        <v>0</v>
      </c>
      <c r="D59" s="742">
        <v>566</v>
      </c>
      <c r="E59" s="742">
        <f>+D59</f>
        <v>566</v>
      </c>
      <c r="F59" s="742">
        <v>565</v>
      </c>
      <c r="G59" s="742">
        <f>+F59</f>
        <v>565</v>
      </c>
      <c r="H59" s="742">
        <f>+E59-F59</f>
        <v>1</v>
      </c>
      <c r="I59" s="743">
        <f t="shared" ref="I59" si="11">+F59/E59</f>
        <v>0.99823321554770317</v>
      </c>
    </row>
    <row r="60" spans="1:9" s="24" customFormat="1" ht="17.25" customHeight="1" x14ac:dyDescent="0.2">
      <c r="A60" s="744">
        <v>2400</v>
      </c>
      <c r="B60" s="739" t="s">
        <v>684</v>
      </c>
      <c r="C60" s="742">
        <f>+C62+C64+C66+C68</f>
        <v>10000</v>
      </c>
      <c r="D60" s="742">
        <f t="shared" ref="D60:I60" si="12">+D62+D64+D66+D68</f>
        <v>5690.17</v>
      </c>
      <c r="E60" s="742">
        <f t="shared" si="12"/>
        <v>15690.17</v>
      </c>
      <c r="F60" s="742">
        <f t="shared" si="12"/>
        <v>13492.43</v>
      </c>
      <c r="G60" s="742">
        <f>+G62+G64+G66+G68</f>
        <v>13492.43</v>
      </c>
      <c r="H60" s="742">
        <f t="shared" si="12"/>
        <v>2197.7399999999998</v>
      </c>
      <c r="I60" s="742">
        <f t="shared" si="12"/>
        <v>3.0983297918609445</v>
      </c>
    </row>
    <row r="61" spans="1:9" s="24" customFormat="1" ht="17.25" customHeight="1" x14ac:dyDescent="0.2">
      <c r="A61" s="744">
        <v>241</v>
      </c>
      <c r="B61" s="739" t="s">
        <v>685</v>
      </c>
      <c r="C61" s="742"/>
      <c r="D61" s="742"/>
      <c r="E61" s="742"/>
      <c r="F61" s="742"/>
      <c r="G61" s="742"/>
      <c r="H61" s="742"/>
      <c r="I61" s="745"/>
    </row>
    <row r="62" spans="1:9" s="24" customFormat="1" ht="17.25" customHeight="1" x14ac:dyDescent="0.2">
      <c r="A62" s="744">
        <v>24101</v>
      </c>
      <c r="B62" s="739" t="s">
        <v>686</v>
      </c>
      <c r="C62" s="742">
        <v>5000</v>
      </c>
      <c r="D62" s="742">
        <f>236-3185.43</f>
        <v>-2949.43</v>
      </c>
      <c r="E62" s="742">
        <f>+C62+D62</f>
        <v>2050.5700000000002</v>
      </c>
      <c r="F62" s="742">
        <v>468.74</v>
      </c>
      <c r="G62" s="742">
        <f>+F62</f>
        <v>468.74</v>
      </c>
      <c r="H62" s="742">
        <f>+E62-F62</f>
        <v>1581.8300000000002</v>
      </c>
      <c r="I62" s="743">
        <f t="shared" ref="I62:I64" si="13">+F62/E62</f>
        <v>0.22859009933823277</v>
      </c>
    </row>
    <row r="63" spans="1:9" s="24" customFormat="1" ht="17.25" customHeight="1" x14ac:dyDescent="0.2">
      <c r="A63" s="744">
        <v>246</v>
      </c>
      <c r="B63" s="739" t="s">
        <v>687</v>
      </c>
      <c r="C63" s="742"/>
      <c r="D63" s="742"/>
      <c r="E63" s="742"/>
      <c r="F63" s="742"/>
      <c r="G63" s="742"/>
      <c r="H63" s="742"/>
      <c r="I63" s="745"/>
    </row>
    <row r="64" spans="1:9" s="24" customFormat="1" ht="17.25" customHeight="1" x14ac:dyDescent="0.2">
      <c r="A64" s="744">
        <v>24601</v>
      </c>
      <c r="B64" s="739" t="s">
        <v>687</v>
      </c>
      <c r="C64" s="742">
        <v>5000</v>
      </c>
      <c r="D64" s="742">
        <f>3695-3183</f>
        <v>512</v>
      </c>
      <c r="E64" s="742">
        <f>+C64+D64</f>
        <v>5512</v>
      </c>
      <c r="F64" s="742">
        <v>4897.1000000000004</v>
      </c>
      <c r="G64" s="742">
        <f>+F64</f>
        <v>4897.1000000000004</v>
      </c>
      <c r="H64" s="742">
        <f>+E64-F64</f>
        <v>614.89999999999964</v>
      </c>
      <c r="I64" s="743">
        <f t="shared" si="13"/>
        <v>0.88844339622641511</v>
      </c>
    </row>
    <row r="65" spans="1:9" s="24" customFormat="1" ht="17.25" customHeight="1" x14ac:dyDescent="0.2">
      <c r="A65" s="744">
        <v>248</v>
      </c>
      <c r="B65" s="739" t="str">
        <f>+B66</f>
        <v>Materiales complementarios</v>
      </c>
      <c r="C65" s="742"/>
      <c r="D65" s="742"/>
      <c r="E65" s="742"/>
      <c r="F65" s="742"/>
      <c r="G65" s="742"/>
      <c r="H65" s="742"/>
      <c r="I65" s="743"/>
    </row>
    <row r="66" spans="1:9" s="24" customFormat="1" ht="17.25" customHeight="1" x14ac:dyDescent="0.2">
      <c r="A66" s="744">
        <v>24801</v>
      </c>
      <c r="B66" s="739" t="s">
        <v>688</v>
      </c>
      <c r="C66" s="742">
        <v>0</v>
      </c>
      <c r="D66" s="742">
        <v>8073.6</v>
      </c>
      <c r="E66" s="742">
        <f>+C66+D66</f>
        <v>8073.6</v>
      </c>
      <c r="F66" s="742">
        <v>8073.6</v>
      </c>
      <c r="G66" s="742">
        <f>+F66</f>
        <v>8073.6</v>
      </c>
      <c r="H66" s="742">
        <f>+E66-F66</f>
        <v>0</v>
      </c>
      <c r="I66" s="743">
        <f t="shared" ref="I66" si="14">+F66/E66</f>
        <v>1</v>
      </c>
    </row>
    <row r="67" spans="1:9" s="24" customFormat="1" ht="17.25" customHeight="1" x14ac:dyDescent="0.2">
      <c r="A67" s="744">
        <v>249</v>
      </c>
      <c r="B67" s="739" t="str">
        <f>+B68</f>
        <v>Otros materiales y articulos de contruccion</v>
      </c>
      <c r="C67" s="742"/>
      <c r="D67" s="742"/>
      <c r="E67" s="742"/>
      <c r="F67" s="742"/>
      <c r="G67" s="742"/>
      <c r="H67" s="742"/>
      <c r="I67" s="747"/>
    </row>
    <row r="68" spans="1:9" s="24" customFormat="1" ht="17.25" customHeight="1" x14ac:dyDescent="0.2">
      <c r="A68" s="744">
        <v>24901</v>
      </c>
      <c r="B68" s="739" t="s">
        <v>689</v>
      </c>
      <c r="C68" s="742">
        <v>0</v>
      </c>
      <c r="D68" s="742">
        <v>54</v>
      </c>
      <c r="E68" s="742">
        <f>+C68+D68</f>
        <v>54</v>
      </c>
      <c r="F68" s="742">
        <v>52.99</v>
      </c>
      <c r="G68" s="742">
        <f>+F68</f>
        <v>52.99</v>
      </c>
      <c r="H68" s="742">
        <f>+E68-F68</f>
        <v>1.009999999999998</v>
      </c>
      <c r="I68" s="743">
        <f t="shared" ref="I68" si="15">+F68/E68</f>
        <v>0.98129629629629633</v>
      </c>
    </row>
    <row r="69" spans="1:9" s="24" customFormat="1" ht="17.25" customHeight="1" x14ac:dyDescent="0.2">
      <c r="A69" s="744">
        <v>2500</v>
      </c>
      <c r="B69" s="739" t="s">
        <v>690</v>
      </c>
      <c r="C69" s="742">
        <f>+C71+C73</f>
        <v>12000</v>
      </c>
      <c r="D69" s="742">
        <f t="shared" ref="D69:I69" si="16">+D71+D73</f>
        <v>-6656.25</v>
      </c>
      <c r="E69" s="742">
        <f t="shared" si="16"/>
        <v>5343.75</v>
      </c>
      <c r="F69" s="742">
        <f t="shared" si="16"/>
        <v>545.75</v>
      </c>
      <c r="G69" s="742">
        <f>+F69</f>
        <v>545.75</v>
      </c>
      <c r="H69" s="742">
        <f t="shared" si="16"/>
        <v>4798</v>
      </c>
      <c r="I69" s="742">
        <f t="shared" si="16"/>
        <v>1</v>
      </c>
    </row>
    <row r="70" spans="1:9" s="24" customFormat="1" ht="17.25" customHeight="1" x14ac:dyDescent="0.2">
      <c r="A70" s="744">
        <v>253</v>
      </c>
      <c r="B70" s="739" t="str">
        <f>+B71</f>
        <v>Medicina y productos  farmaceuticos</v>
      </c>
      <c r="C70" s="742"/>
      <c r="D70" s="742"/>
      <c r="E70" s="742"/>
      <c r="F70" s="742"/>
      <c r="G70" s="742"/>
      <c r="H70" s="742"/>
      <c r="I70" s="745"/>
    </row>
    <row r="71" spans="1:9" s="24" customFormat="1" ht="17.25" customHeight="1" x14ac:dyDescent="0.2">
      <c r="A71" s="744">
        <v>25301</v>
      </c>
      <c r="B71" s="739" t="s">
        <v>691</v>
      </c>
      <c r="C71" s="742">
        <v>12000</v>
      </c>
      <c r="D71" s="742">
        <v>-7202</v>
      </c>
      <c r="E71" s="742">
        <f>+C71+D71</f>
        <v>4798</v>
      </c>
      <c r="F71" s="742">
        <v>0</v>
      </c>
      <c r="G71" s="742">
        <v>0</v>
      </c>
      <c r="H71" s="742">
        <f>+E71-F71</f>
        <v>4798</v>
      </c>
      <c r="I71" s="743">
        <f t="shared" ref="I71" si="17">+F71/E71</f>
        <v>0</v>
      </c>
    </row>
    <row r="72" spans="1:9" s="24" customFormat="1" ht="17.25" customHeight="1" x14ac:dyDescent="0.2">
      <c r="A72" s="744">
        <v>254</v>
      </c>
      <c r="B72" s="739" t="str">
        <f>+B73</f>
        <v>Materiale y accesorios y suministros</v>
      </c>
      <c r="C72" s="742"/>
      <c r="D72" s="742"/>
      <c r="E72" s="742"/>
      <c r="F72" s="742"/>
      <c r="G72" s="742"/>
      <c r="H72" s="742"/>
      <c r="I72" s="747"/>
    </row>
    <row r="73" spans="1:9" s="24" customFormat="1" ht="17.25" customHeight="1" x14ac:dyDescent="0.2">
      <c r="A73" s="744">
        <v>25401</v>
      </c>
      <c r="B73" s="739" t="s">
        <v>692</v>
      </c>
      <c r="C73" s="742">
        <v>0</v>
      </c>
      <c r="D73" s="742">
        <v>545.75</v>
      </c>
      <c r="E73" s="742">
        <f>+C73+D73</f>
        <v>545.75</v>
      </c>
      <c r="F73" s="742">
        <v>545.75</v>
      </c>
      <c r="G73" s="742">
        <f>+F73</f>
        <v>545.75</v>
      </c>
      <c r="H73" s="742">
        <f>+E73-F73</f>
        <v>0</v>
      </c>
      <c r="I73" s="743">
        <f t="shared" ref="I73" si="18">+F73/E73</f>
        <v>1</v>
      </c>
    </row>
    <row r="74" spans="1:9" s="24" customFormat="1" ht="17.25" customHeight="1" x14ac:dyDescent="0.2">
      <c r="A74" s="744">
        <v>2600</v>
      </c>
      <c r="B74" s="739" t="s">
        <v>693</v>
      </c>
      <c r="C74" s="742">
        <f>+C76</f>
        <v>140000</v>
      </c>
      <c r="D74" s="742">
        <f t="shared" ref="D74:I74" si="19">+D76</f>
        <v>-60543.6</v>
      </c>
      <c r="E74" s="742">
        <f t="shared" si="19"/>
        <v>79456.399999999994</v>
      </c>
      <c r="F74" s="742">
        <f t="shared" si="19"/>
        <v>73380.66</v>
      </c>
      <c r="G74" s="742">
        <f>+F74</f>
        <v>73380.66</v>
      </c>
      <c r="H74" s="742">
        <f>+H76</f>
        <v>6075.7399999999907</v>
      </c>
      <c r="I74" s="742">
        <f t="shared" si="19"/>
        <v>0.9235336612280447</v>
      </c>
    </row>
    <row r="75" spans="1:9" s="24" customFormat="1" ht="17.25" customHeight="1" x14ac:dyDescent="0.2">
      <c r="A75" s="744">
        <v>261</v>
      </c>
      <c r="B75" s="739" t="str">
        <f>+B76</f>
        <v>Combustibles</v>
      </c>
      <c r="C75" s="742"/>
      <c r="D75" s="742"/>
      <c r="E75" s="742"/>
      <c r="F75" s="742"/>
      <c r="G75" s="742"/>
      <c r="H75" s="742"/>
      <c r="I75" s="745"/>
    </row>
    <row r="76" spans="1:9" s="24" customFormat="1" ht="17.25" customHeight="1" x14ac:dyDescent="0.2">
      <c r="A76" s="744">
        <v>26101</v>
      </c>
      <c r="B76" s="739" t="s">
        <v>694</v>
      </c>
      <c r="C76" s="742">
        <v>140000</v>
      </c>
      <c r="D76" s="742">
        <f>55696.4-116240</f>
        <v>-60543.6</v>
      </c>
      <c r="E76" s="742">
        <f>+C76+D76</f>
        <v>79456.399999999994</v>
      </c>
      <c r="F76" s="742">
        <v>73380.66</v>
      </c>
      <c r="G76" s="742">
        <f>+F76</f>
        <v>73380.66</v>
      </c>
      <c r="H76" s="742">
        <f>+E76-F76</f>
        <v>6075.7399999999907</v>
      </c>
      <c r="I76" s="743">
        <f t="shared" ref="I76" si="20">+F76/E76</f>
        <v>0.9235336612280447</v>
      </c>
    </row>
    <row r="77" spans="1:9" s="24" customFormat="1" ht="17.25" customHeight="1" x14ac:dyDescent="0.2">
      <c r="A77" s="744">
        <v>2700</v>
      </c>
      <c r="B77" s="739" t="s">
        <v>695</v>
      </c>
      <c r="C77" s="742">
        <f>+C79+C81</f>
        <v>27902.29</v>
      </c>
      <c r="D77" s="742">
        <f t="shared" ref="D77:I77" si="21">+D79+D81</f>
        <v>6386.7099999999991</v>
      </c>
      <c r="E77" s="742">
        <f t="shared" si="21"/>
        <v>34289</v>
      </c>
      <c r="F77" s="742">
        <f t="shared" si="21"/>
        <v>26902</v>
      </c>
      <c r="G77" s="742">
        <f>+F77</f>
        <v>26902</v>
      </c>
      <c r="H77" s="742">
        <f>+H79+H81</f>
        <v>7387</v>
      </c>
      <c r="I77" s="742">
        <f t="shared" si="21"/>
        <v>1.7797883440155016</v>
      </c>
    </row>
    <row r="78" spans="1:9" s="24" customFormat="1" ht="17.25" customHeight="1" x14ac:dyDescent="0.2">
      <c r="A78" s="744">
        <v>271</v>
      </c>
      <c r="B78" s="739" t="str">
        <f>+B79</f>
        <v>Vestuarios y uniformes</v>
      </c>
      <c r="C78" s="742"/>
      <c r="D78" s="742"/>
      <c r="E78" s="742"/>
      <c r="F78" s="742"/>
      <c r="G78" s="742"/>
      <c r="H78" s="742"/>
      <c r="I78" s="745"/>
    </row>
    <row r="79" spans="1:9" s="24" customFormat="1" ht="17.25" customHeight="1" x14ac:dyDescent="0.2">
      <c r="A79" s="744">
        <v>27101</v>
      </c>
      <c r="B79" s="739" t="s">
        <v>696</v>
      </c>
      <c r="C79" s="742">
        <v>27902.29</v>
      </c>
      <c r="D79" s="742">
        <f>25514-19871.29</f>
        <v>5642.7099999999991</v>
      </c>
      <c r="E79" s="742">
        <f>+C79+D79</f>
        <v>33545</v>
      </c>
      <c r="F79" s="742">
        <v>26158</v>
      </c>
      <c r="G79" s="742">
        <f>+F79</f>
        <v>26158</v>
      </c>
      <c r="H79" s="742">
        <f>+E79-F79</f>
        <v>7387</v>
      </c>
      <c r="I79" s="743">
        <f t="shared" ref="I79:I81" si="22">+F79/E79</f>
        <v>0.77978834401550157</v>
      </c>
    </row>
    <row r="80" spans="1:9" s="24" customFormat="1" ht="17.25" customHeight="1" x14ac:dyDescent="0.2">
      <c r="A80" s="744">
        <v>273</v>
      </c>
      <c r="B80" s="739" t="str">
        <f>+B81</f>
        <v>Articulos deportivos</v>
      </c>
      <c r="C80" s="742"/>
      <c r="D80" s="742"/>
      <c r="E80" s="742"/>
      <c r="F80" s="742"/>
      <c r="G80" s="742"/>
      <c r="H80" s="742"/>
      <c r="I80" s="745"/>
    </row>
    <row r="81" spans="1:9" s="24" customFormat="1" ht="17.25" customHeight="1" x14ac:dyDescent="0.2">
      <c r="A81" s="744">
        <v>27301</v>
      </c>
      <c r="B81" s="739" t="s">
        <v>697</v>
      </c>
      <c r="C81" s="742">
        <v>0</v>
      </c>
      <c r="D81" s="742">
        <v>744</v>
      </c>
      <c r="E81" s="742">
        <f>+C81+D81</f>
        <v>744</v>
      </c>
      <c r="F81" s="742">
        <v>744</v>
      </c>
      <c r="G81" s="742">
        <f>+F81</f>
        <v>744</v>
      </c>
      <c r="H81" s="742">
        <f>+E81-F81</f>
        <v>0</v>
      </c>
      <c r="I81" s="743">
        <f t="shared" si="22"/>
        <v>1</v>
      </c>
    </row>
    <row r="82" spans="1:9" s="24" customFormat="1" ht="17.25" customHeight="1" x14ac:dyDescent="0.2">
      <c r="A82" s="744">
        <v>2800</v>
      </c>
      <c r="B82" s="739" t="s">
        <v>698</v>
      </c>
      <c r="C82" s="742">
        <f>+C84</f>
        <v>0</v>
      </c>
      <c r="D82" s="742">
        <f t="shared" ref="D82:I82" si="23">+D84</f>
        <v>268861.90000000002</v>
      </c>
      <c r="E82" s="742">
        <f t="shared" si="23"/>
        <v>268861.90000000002</v>
      </c>
      <c r="F82" s="742">
        <f t="shared" si="23"/>
        <v>268861.90000000002</v>
      </c>
      <c r="G82" s="742">
        <f>+F82</f>
        <v>268861.90000000002</v>
      </c>
      <c r="H82" s="742">
        <f t="shared" si="23"/>
        <v>0</v>
      </c>
      <c r="I82" s="742">
        <f t="shared" si="23"/>
        <v>1</v>
      </c>
    </row>
    <row r="83" spans="1:9" s="24" customFormat="1" ht="17.25" customHeight="1" x14ac:dyDescent="0.2">
      <c r="A83" s="744">
        <v>283</v>
      </c>
      <c r="B83" s="739" t="s">
        <v>699</v>
      </c>
      <c r="C83" s="742"/>
      <c r="D83" s="742"/>
      <c r="E83" s="742"/>
      <c r="F83" s="742"/>
      <c r="G83" s="742"/>
      <c r="H83" s="742"/>
      <c r="I83" s="747"/>
    </row>
    <row r="84" spans="1:9" s="24" customFormat="1" ht="17.25" customHeight="1" x14ac:dyDescent="0.2">
      <c r="A84" s="744">
        <v>28301</v>
      </c>
      <c r="B84" s="739" t="str">
        <f>+B83</f>
        <v>Prendas de proteccion para seguridad publica</v>
      </c>
      <c r="C84" s="742">
        <v>0</v>
      </c>
      <c r="D84" s="742">
        <v>268861.90000000002</v>
      </c>
      <c r="E84" s="742">
        <f>+C84+D84</f>
        <v>268861.90000000002</v>
      </c>
      <c r="F84" s="742">
        <v>268861.90000000002</v>
      </c>
      <c r="G84" s="742">
        <f>+F84</f>
        <v>268861.90000000002</v>
      </c>
      <c r="H84" s="742">
        <f>+E84-F84</f>
        <v>0</v>
      </c>
      <c r="I84" s="743">
        <f t="shared" ref="I84" si="24">+F84/E84</f>
        <v>1</v>
      </c>
    </row>
    <row r="85" spans="1:9" s="24" customFormat="1" ht="17.25" customHeight="1" x14ac:dyDescent="0.2">
      <c r="A85" s="744">
        <v>2900</v>
      </c>
      <c r="B85" s="739" t="s">
        <v>700</v>
      </c>
      <c r="C85" s="742">
        <f t="shared" ref="C85:I85" si="25">+C87+C89+C91+C93+C95</f>
        <v>84731.8</v>
      </c>
      <c r="D85" s="742">
        <f t="shared" si="25"/>
        <v>-42488.74</v>
      </c>
      <c r="E85" s="742">
        <f>+E87+E89+E91+E93+E95</f>
        <v>42243.06</v>
      </c>
      <c r="F85" s="742">
        <f t="shared" si="25"/>
        <v>18136.309999999998</v>
      </c>
      <c r="G85" s="742">
        <f>+F85</f>
        <v>18136.309999999998</v>
      </c>
      <c r="H85" s="742">
        <f t="shared" si="25"/>
        <v>24106.75</v>
      </c>
      <c r="I85" s="742">
        <f t="shared" si="25"/>
        <v>1.5171134446997838</v>
      </c>
    </row>
    <row r="86" spans="1:9" s="24" customFormat="1" ht="17.25" customHeight="1" x14ac:dyDescent="0.2">
      <c r="A86" s="744">
        <v>291</v>
      </c>
      <c r="B86" s="739" t="str">
        <f>+B87</f>
        <v>Herramienta menores</v>
      </c>
      <c r="C86" s="742"/>
      <c r="D86" s="742"/>
      <c r="E86" s="742"/>
      <c r="F86" s="742"/>
      <c r="G86" s="742"/>
      <c r="H86" s="742"/>
      <c r="I86" s="745"/>
    </row>
    <row r="87" spans="1:9" s="24" customFormat="1" ht="17.25" customHeight="1" x14ac:dyDescent="0.2">
      <c r="A87" s="744">
        <v>29101</v>
      </c>
      <c r="B87" s="739" t="s">
        <v>701</v>
      </c>
      <c r="C87" s="742">
        <v>10000</v>
      </c>
      <c r="D87" s="742">
        <f>3625-7458.34</f>
        <v>-3833.34</v>
      </c>
      <c r="E87" s="742">
        <f>+C87+D87</f>
        <v>6166.66</v>
      </c>
      <c r="F87" s="742">
        <v>4239.09</v>
      </c>
      <c r="G87" s="742">
        <f>+F87</f>
        <v>4239.09</v>
      </c>
      <c r="H87" s="742">
        <f t="shared" ref="H87:H95" si="26">+E87-F87</f>
        <v>1927.5699999999997</v>
      </c>
      <c r="I87" s="743">
        <f t="shared" ref="I87:I95" si="27">+F87/E87</f>
        <v>0.68742074315756019</v>
      </c>
    </row>
    <row r="88" spans="1:9" s="24" customFormat="1" ht="17.25" customHeight="1" x14ac:dyDescent="0.2">
      <c r="A88" s="744">
        <v>292</v>
      </c>
      <c r="B88" s="739" t="str">
        <f>+B89</f>
        <v>Refacciones y accesorios menores de edificio</v>
      </c>
      <c r="C88" s="742"/>
      <c r="D88" s="742"/>
      <c r="E88" s="742"/>
      <c r="F88" s="742"/>
      <c r="G88" s="742"/>
      <c r="H88" s="742"/>
      <c r="I88" s="743"/>
    </row>
    <row r="89" spans="1:9" s="24" customFormat="1" ht="17.25" customHeight="1" x14ac:dyDescent="0.2">
      <c r="A89" s="744">
        <v>29201</v>
      </c>
      <c r="B89" s="739" t="s">
        <v>702</v>
      </c>
      <c r="C89" s="742">
        <v>9964.24</v>
      </c>
      <c r="D89" s="742">
        <v>-4224</v>
      </c>
      <c r="E89" s="742">
        <f>+C89+D89</f>
        <v>5740.24</v>
      </c>
      <c r="F89" s="742">
        <v>0</v>
      </c>
      <c r="G89" s="742">
        <v>0</v>
      </c>
      <c r="H89" s="742">
        <f t="shared" si="26"/>
        <v>5740.24</v>
      </c>
      <c r="I89" s="743">
        <f t="shared" si="27"/>
        <v>0</v>
      </c>
    </row>
    <row r="90" spans="1:9" s="24" customFormat="1" ht="17.25" customHeight="1" x14ac:dyDescent="0.2">
      <c r="A90" s="744">
        <v>293</v>
      </c>
      <c r="B90" s="739" t="str">
        <f>+B91</f>
        <v>Refacciones y accesorios menores de mobiliario</v>
      </c>
      <c r="C90" s="742"/>
      <c r="D90" s="742"/>
      <c r="E90" s="742"/>
      <c r="F90" s="742"/>
      <c r="G90" s="742"/>
      <c r="H90" s="742"/>
      <c r="I90" s="743"/>
    </row>
    <row r="91" spans="1:9" s="24" customFormat="1" ht="17.25" customHeight="1" x14ac:dyDescent="0.2">
      <c r="A91" s="744">
        <v>29301</v>
      </c>
      <c r="B91" s="739" t="s">
        <v>703</v>
      </c>
      <c r="C91" s="742">
        <v>6974.97</v>
      </c>
      <c r="D91" s="742">
        <v>-5225</v>
      </c>
      <c r="E91" s="742">
        <f>+C91+D91</f>
        <v>1749.9700000000003</v>
      </c>
      <c r="F91" s="742">
        <v>0</v>
      </c>
      <c r="G91" s="742">
        <v>0</v>
      </c>
      <c r="H91" s="742">
        <f t="shared" si="26"/>
        <v>1749.9700000000003</v>
      </c>
      <c r="I91" s="743">
        <f t="shared" si="27"/>
        <v>0</v>
      </c>
    </row>
    <row r="92" spans="1:9" s="24" customFormat="1" ht="17.25" customHeight="1" x14ac:dyDescent="0.2">
      <c r="A92" s="744">
        <v>294</v>
      </c>
      <c r="B92" s="739" t="str">
        <f>+B93</f>
        <v>Refacciones y accesorios menores de equipo</v>
      </c>
      <c r="C92" s="742"/>
      <c r="D92" s="742"/>
      <c r="E92" s="742"/>
      <c r="F92" s="742"/>
      <c r="G92" s="742"/>
      <c r="H92" s="742"/>
      <c r="I92" s="743"/>
    </row>
    <row r="93" spans="1:9" s="24" customFormat="1" ht="17.25" customHeight="1" x14ac:dyDescent="0.2">
      <c r="A93" s="744">
        <v>29401</v>
      </c>
      <c r="B93" s="739" t="s">
        <v>704</v>
      </c>
      <c r="C93" s="742">
        <v>47828.35</v>
      </c>
      <c r="D93" s="742">
        <v>-35992</v>
      </c>
      <c r="E93" s="742">
        <f>+C93+D93</f>
        <v>11836.349999999999</v>
      </c>
      <c r="F93" s="742">
        <v>0</v>
      </c>
      <c r="G93" s="742">
        <v>0</v>
      </c>
      <c r="H93" s="742">
        <f t="shared" si="26"/>
        <v>11836.349999999999</v>
      </c>
      <c r="I93" s="743">
        <f t="shared" si="27"/>
        <v>0</v>
      </c>
    </row>
    <row r="94" spans="1:9" s="24" customFormat="1" ht="17.25" customHeight="1" x14ac:dyDescent="0.2">
      <c r="A94" s="744">
        <v>296</v>
      </c>
      <c r="B94" s="739" t="str">
        <f>+B95</f>
        <v>Refacciones y Accesirios menores</v>
      </c>
      <c r="C94" s="742"/>
      <c r="D94" s="742"/>
      <c r="E94" s="742"/>
      <c r="F94" s="742"/>
      <c r="G94" s="742"/>
      <c r="H94" s="742"/>
      <c r="I94" s="743"/>
    </row>
    <row r="95" spans="1:9" s="24" customFormat="1" ht="17.25" customHeight="1" x14ac:dyDescent="0.2">
      <c r="A95" s="744">
        <v>29601</v>
      </c>
      <c r="B95" s="739" t="s">
        <v>705</v>
      </c>
      <c r="C95" s="742">
        <v>9964.24</v>
      </c>
      <c r="D95" s="742">
        <f>13004-6218.4</f>
        <v>6785.6</v>
      </c>
      <c r="E95" s="742">
        <f>+C95+D95</f>
        <v>16749.84</v>
      </c>
      <c r="F95" s="742">
        <v>13897.22</v>
      </c>
      <c r="G95" s="742">
        <f>+F95</f>
        <v>13897.22</v>
      </c>
      <c r="H95" s="742">
        <f t="shared" si="26"/>
        <v>2852.6200000000008</v>
      </c>
      <c r="I95" s="743">
        <f t="shared" si="27"/>
        <v>0.82969270154222363</v>
      </c>
    </row>
    <row r="96" spans="1:9" s="24" customFormat="1" ht="17.25" customHeight="1" x14ac:dyDescent="0.2">
      <c r="A96" s="748">
        <v>3000</v>
      </c>
      <c r="B96" s="749" t="s">
        <v>706</v>
      </c>
      <c r="C96" s="750">
        <f t="shared" ref="C96:I96" si="28">+C97+C111+C121+C136+C141+C157+C161+C175+C180</f>
        <v>1686393.6099999999</v>
      </c>
      <c r="D96" s="750">
        <f t="shared" si="28"/>
        <v>1354847.56</v>
      </c>
      <c r="E96" s="750">
        <f t="shared" si="28"/>
        <v>3041241.17</v>
      </c>
      <c r="F96" s="750">
        <f t="shared" si="28"/>
        <v>2122156.59</v>
      </c>
      <c r="G96" s="750">
        <f t="shared" si="28"/>
        <v>2122156.59</v>
      </c>
      <c r="H96" s="750">
        <f t="shared" si="28"/>
        <v>919084.58000000007</v>
      </c>
      <c r="I96" s="750">
        <f t="shared" si="28"/>
        <v>18.13570885147384</v>
      </c>
    </row>
    <row r="97" spans="1:9" s="24" customFormat="1" ht="17.25" customHeight="1" x14ac:dyDescent="0.2">
      <c r="A97" s="744">
        <v>3100</v>
      </c>
      <c r="B97" s="751" t="s">
        <v>707</v>
      </c>
      <c r="C97" s="752">
        <f>+C99+C100+C102+C104+C108+C110+C106</f>
        <v>455532.12</v>
      </c>
      <c r="D97" s="752">
        <f>+D99+D100+D102+D104+D108+D110+D106</f>
        <v>487067.13</v>
      </c>
      <c r="E97" s="752">
        <f t="shared" ref="E97:I97" si="29">+E99+E100+E102+E104+E108+E110+E106</f>
        <v>942599.25</v>
      </c>
      <c r="F97" s="752">
        <f t="shared" si="29"/>
        <v>657954.4</v>
      </c>
      <c r="G97" s="752">
        <f>+F97</f>
        <v>657954.4</v>
      </c>
      <c r="H97" s="752">
        <f t="shared" si="29"/>
        <v>284644.85000000003</v>
      </c>
      <c r="I97" s="752">
        <f t="shared" si="29"/>
        <v>1.4347418377730514</v>
      </c>
    </row>
    <row r="98" spans="1:9" s="24" customFormat="1" ht="17.25" customHeight="1" x14ac:dyDescent="0.2">
      <c r="A98" s="744">
        <v>311</v>
      </c>
      <c r="B98" s="753" t="str">
        <f>+B99</f>
        <v>Energia electrica</v>
      </c>
      <c r="C98" s="754"/>
      <c r="D98" s="754"/>
      <c r="E98" s="742"/>
      <c r="F98" s="754"/>
      <c r="G98" s="754"/>
      <c r="H98" s="742"/>
      <c r="I98" s="745"/>
    </row>
    <row r="99" spans="1:9" s="24" customFormat="1" ht="17.25" customHeight="1" x14ac:dyDescent="0.2">
      <c r="A99" s="744">
        <v>31101</v>
      </c>
      <c r="B99" s="753" t="s">
        <v>708</v>
      </c>
      <c r="C99" s="752">
        <v>405955.78</v>
      </c>
      <c r="D99" s="752">
        <v>-147668.26999999999</v>
      </c>
      <c r="E99" s="755">
        <f t="shared" ref="E99:E110" si="30">+C99+D99</f>
        <v>258287.51000000004</v>
      </c>
      <c r="F99" s="752">
        <v>0</v>
      </c>
      <c r="G99" s="752">
        <v>0</v>
      </c>
      <c r="H99" s="755">
        <f>+E99-F99</f>
        <v>258287.51000000004</v>
      </c>
      <c r="I99" s="756">
        <f>+F99/E99</f>
        <v>0</v>
      </c>
    </row>
    <row r="100" spans="1:9" s="24" customFormat="1" ht="17.25" customHeight="1" x14ac:dyDescent="0.2">
      <c r="A100" s="744">
        <v>31103</v>
      </c>
      <c r="B100" s="753" t="s">
        <v>709</v>
      </c>
      <c r="C100" s="752">
        <v>1948.47</v>
      </c>
      <c r="D100" s="752">
        <v>-708</v>
      </c>
      <c r="E100" s="755">
        <f t="shared" si="30"/>
        <v>1240.47</v>
      </c>
      <c r="F100" s="752">
        <v>0</v>
      </c>
      <c r="G100" s="752">
        <v>0</v>
      </c>
      <c r="H100" s="755">
        <f t="shared" ref="H100:H110" si="31">+E100-F100</f>
        <v>1240.47</v>
      </c>
      <c r="I100" s="756">
        <f t="shared" ref="I100:I110" si="32">+F100/E100</f>
        <v>0</v>
      </c>
    </row>
    <row r="101" spans="1:9" s="24" customFormat="1" ht="17.25" customHeight="1" x14ac:dyDescent="0.2">
      <c r="A101" s="744">
        <v>314</v>
      </c>
      <c r="B101" s="757" t="str">
        <f>+B102</f>
        <v>Telefonia tradicional</v>
      </c>
      <c r="C101" s="752"/>
      <c r="D101" s="752"/>
      <c r="E101" s="755"/>
      <c r="F101" s="752"/>
      <c r="G101" s="752"/>
      <c r="H101" s="755"/>
      <c r="I101" s="756"/>
    </row>
    <row r="102" spans="1:9" s="24" customFormat="1" ht="17.25" customHeight="1" x14ac:dyDescent="0.2">
      <c r="A102" s="744">
        <v>31401</v>
      </c>
      <c r="B102" s="751" t="s">
        <v>710</v>
      </c>
      <c r="C102" s="752">
        <v>25128.11</v>
      </c>
      <c r="D102" s="752">
        <f>7054-8586</f>
        <v>-1532</v>
      </c>
      <c r="E102" s="755">
        <f t="shared" si="30"/>
        <v>23596.11</v>
      </c>
      <c r="F102" s="752">
        <v>7261</v>
      </c>
      <c r="G102" s="752">
        <f>+F102</f>
        <v>7261</v>
      </c>
      <c r="H102" s="755">
        <f t="shared" si="31"/>
        <v>16335.11</v>
      </c>
      <c r="I102" s="756">
        <f t="shared" si="32"/>
        <v>0.30772021320463416</v>
      </c>
    </row>
    <row r="103" spans="1:9" s="24" customFormat="1" ht="17.25" customHeight="1" x14ac:dyDescent="0.2">
      <c r="A103" s="744">
        <v>315</v>
      </c>
      <c r="B103" s="757" t="str">
        <f>+B104</f>
        <v>Telefonia celular</v>
      </c>
      <c r="C103" s="752"/>
      <c r="D103" s="752"/>
      <c r="E103" s="755"/>
      <c r="F103" s="752"/>
      <c r="G103" s="752"/>
      <c r="H103" s="755"/>
      <c r="I103" s="756"/>
    </row>
    <row r="104" spans="1:9" s="24" customFormat="1" ht="17.25" customHeight="1" x14ac:dyDescent="0.2">
      <c r="A104" s="744">
        <v>31501</v>
      </c>
      <c r="B104" s="751" t="s">
        <v>711</v>
      </c>
      <c r="C104" s="752">
        <v>7200</v>
      </c>
      <c r="D104" s="752">
        <f>699-2396</f>
        <v>-1697</v>
      </c>
      <c r="E104" s="755">
        <f t="shared" si="30"/>
        <v>5503</v>
      </c>
      <c r="F104" s="752">
        <v>699</v>
      </c>
      <c r="G104" s="752">
        <f>+F104</f>
        <v>699</v>
      </c>
      <c r="H104" s="755">
        <f t="shared" si="31"/>
        <v>4804</v>
      </c>
      <c r="I104" s="756">
        <f t="shared" si="32"/>
        <v>0.12702162456841723</v>
      </c>
    </row>
    <row r="105" spans="1:9" s="24" customFormat="1" ht="17.25" customHeight="1" x14ac:dyDescent="0.2">
      <c r="A105" s="744">
        <v>316</v>
      </c>
      <c r="B105" s="753" t="str">
        <f>+B106</f>
        <v>Servicio de telecominicaciones y satelite</v>
      </c>
      <c r="C105" s="752"/>
      <c r="D105" s="752"/>
      <c r="E105" s="755"/>
      <c r="F105" s="752"/>
      <c r="G105" s="752"/>
      <c r="H105" s="755"/>
      <c r="I105" s="756"/>
    </row>
    <row r="106" spans="1:9" s="24" customFormat="1" ht="17.25" customHeight="1" x14ac:dyDescent="0.2">
      <c r="A106" s="744">
        <v>31601</v>
      </c>
      <c r="B106" s="753" t="s">
        <v>712</v>
      </c>
      <c r="C106" s="752">
        <v>0</v>
      </c>
      <c r="D106" s="752">
        <v>649994.4</v>
      </c>
      <c r="E106" s="755">
        <f>+C106+D106</f>
        <v>649994.4</v>
      </c>
      <c r="F106" s="752">
        <v>649994.4</v>
      </c>
      <c r="G106" s="752">
        <f>+F106</f>
        <v>649994.4</v>
      </c>
      <c r="H106" s="755">
        <f t="shared" si="31"/>
        <v>0</v>
      </c>
      <c r="I106" s="756">
        <f t="shared" si="32"/>
        <v>1</v>
      </c>
    </row>
    <row r="107" spans="1:9" s="24" customFormat="1" ht="17.25" customHeight="1" x14ac:dyDescent="0.2">
      <c r="A107" s="744">
        <v>317</v>
      </c>
      <c r="B107" s="753" t="str">
        <f>+B108</f>
        <v>Servicio de acceso a internet</v>
      </c>
      <c r="C107" s="752"/>
      <c r="D107" s="752"/>
      <c r="E107" s="755"/>
      <c r="F107" s="752"/>
      <c r="G107" s="752"/>
      <c r="H107" s="755"/>
      <c r="I107" s="756"/>
    </row>
    <row r="108" spans="1:9" s="24" customFormat="1" ht="17.25" customHeight="1" x14ac:dyDescent="0.2">
      <c r="A108" s="744">
        <v>31701</v>
      </c>
      <c r="B108" s="753" t="s">
        <v>713</v>
      </c>
      <c r="C108" s="752">
        <v>15000</v>
      </c>
      <c r="D108" s="752">
        <v>-11250</v>
      </c>
      <c r="E108" s="755">
        <f t="shared" si="30"/>
        <v>3750</v>
      </c>
      <c r="F108" s="752">
        <v>0</v>
      </c>
      <c r="G108" s="752">
        <v>0</v>
      </c>
      <c r="H108" s="755">
        <f t="shared" si="31"/>
        <v>3750</v>
      </c>
      <c r="I108" s="756">
        <f t="shared" si="32"/>
        <v>0</v>
      </c>
    </row>
    <row r="109" spans="1:9" s="24" customFormat="1" ht="17.25" customHeight="1" x14ac:dyDescent="0.2">
      <c r="A109" s="744">
        <v>318</v>
      </c>
      <c r="B109" s="753" t="str">
        <f>+B110</f>
        <v>Servicio postal</v>
      </c>
      <c r="C109" s="752"/>
      <c r="D109" s="752"/>
      <c r="E109" s="755"/>
      <c r="F109" s="752"/>
      <c r="G109" s="752"/>
      <c r="H109" s="755"/>
      <c r="I109" s="756"/>
    </row>
    <row r="110" spans="1:9" s="24" customFormat="1" ht="17.25" customHeight="1" x14ac:dyDescent="0.2">
      <c r="A110" s="744">
        <v>31801</v>
      </c>
      <c r="B110" s="753" t="s">
        <v>714</v>
      </c>
      <c r="C110" s="752">
        <v>299.76</v>
      </c>
      <c r="D110" s="752">
        <v>-72</v>
      </c>
      <c r="E110" s="755">
        <f t="shared" si="30"/>
        <v>227.76</v>
      </c>
      <c r="F110" s="752">
        <v>0</v>
      </c>
      <c r="G110" s="752">
        <v>0</v>
      </c>
      <c r="H110" s="755">
        <f t="shared" si="31"/>
        <v>227.76</v>
      </c>
      <c r="I110" s="756">
        <f t="shared" si="32"/>
        <v>0</v>
      </c>
    </row>
    <row r="111" spans="1:9" s="24" customFormat="1" ht="17.25" customHeight="1" x14ac:dyDescent="0.2">
      <c r="A111" s="744">
        <v>3200</v>
      </c>
      <c r="B111" s="757" t="s">
        <v>715</v>
      </c>
      <c r="C111" s="752">
        <f>+C114+C116+C118+C120+C113</f>
        <v>290000</v>
      </c>
      <c r="D111" s="752">
        <f>+D114+D116+D118+D120+D113</f>
        <v>19431.109999999986</v>
      </c>
      <c r="E111" s="752">
        <f t="shared" ref="E111:I111" si="33">+E114+E116+E118+E120+E113</f>
        <v>309431.11</v>
      </c>
      <c r="F111" s="752">
        <f t="shared" si="33"/>
        <v>166822.75</v>
      </c>
      <c r="G111" s="752">
        <f>+F111</f>
        <v>166822.75</v>
      </c>
      <c r="H111" s="752">
        <f t="shared" si="33"/>
        <v>142608.35999999999</v>
      </c>
      <c r="I111" s="752">
        <f t="shared" si="33"/>
        <v>2.2303071717765017</v>
      </c>
    </row>
    <row r="112" spans="1:9" s="24" customFormat="1" ht="17.25" customHeight="1" x14ac:dyDescent="0.2">
      <c r="A112" s="744">
        <v>323</v>
      </c>
      <c r="B112" s="757" t="str">
        <f>+B113</f>
        <v>Arrendamiento de muebles, maquinaria</v>
      </c>
      <c r="C112" s="752"/>
      <c r="D112" s="752"/>
      <c r="E112" s="755"/>
      <c r="F112" s="752"/>
      <c r="G112" s="752"/>
      <c r="H112" s="755"/>
      <c r="I112" s="756"/>
    </row>
    <row r="113" spans="1:9" s="24" customFormat="1" ht="17.25" customHeight="1" x14ac:dyDescent="0.2">
      <c r="A113" s="744">
        <v>32301</v>
      </c>
      <c r="B113" s="757" t="s">
        <v>716</v>
      </c>
      <c r="C113" s="752">
        <v>0</v>
      </c>
      <c r="D113" s="752">
        <v>105153.4</v>
      </c>
      <c r="E113" s="755">
        <f>+C113+D113</f>
        <v>105153.4</v>
      </c>
      <c r="F113" s="752">
        <v>105152.56</v>
      </c>
      <c r="G113" s="752">
        <f>+F113</f>
        <v>105152.56</v>
      </c>
      <c r="H113" s="755">
        <f t="shared" ref="H113:H116" si="34">+E113-F113</f>
        <v>0.83999999999650754</v>
      </c>
      <c r="I113" s="756">
        <f t="shared" ref="I113:I116" si="35">+F113/E113</f>
        <v>0.99999201167056895</v>
      </c>
    </row>
    <row r="114" spans="1:9" s="24" customFormat="1" ht="17.25" customHeight="1" x14ac:dyDescent="0.2">
      <c r="A114" s="744">
        <v>32302</v>
      </c>
      <c r="B114" s="757" t="s">
        <v>717</v>
      </c>
      <c r="C114" s="752">
        <v>10000</v>
      </c>
      <c r="D114" s="752">
        <f>4633-3769</f>
        <v>864</v>
      </c>
      <c r="E114" s="755">
        <f>+C114+D114</f>
        <v>10864</v>
      </c>
      <c r="F114" s="752">
        <v>4482.1899999999996</v>
      </c>
      <c r="G114" s="752">
        <f>+F114</f>
        <v>4482.1899999999996</v>
      </c>
      <c r="H114" s="755">
        <f t="shared" si="34"/>
        <v>6381.81</v>
      </c>
      <c r="I114" s="756">
        <f t="shared" si="35"/>
        <v>0.41257271723122235</v>
      </c>
    </row>
    <row r="115" spans="1:9" s="24" customFormat="1" ht="17.25" customHeight="1" x14ac:dyDescent="0.2">
      <c r="A115" s="744">
        <v>325</v>
      </c>
      <c r="B115" s="757" t="str">
        <f>+B116</f>
        <v>Arrendamiento equipo de transporte</v>
      </c>
      <c r="C115" s="752"/>
      <c r="D115" s="752"/>
      <c r="E115" s="755"/>
      <c r="F115" s="752"/>
      <c r="G115" s="752"/>
      <c r="H115" s="755">
        <f t="shared" si="34"/>
        <v>0</v>
      </c>
      <c r="I115" s="756"/>
    </row>
    <row r="116" spans="1:9" s="24" customFormat="1" ht="17.25" customHeight="1" x14ac:dyDescent="0.2">
      <c r="A116" s="744">
        <v>32501</v>
      </c>
      <c r="B116" s="757" t="s">
        <v>718</v>
      </c>
      <c r="C116" s="752">
        <v>20000</v>
      </c>
      <c r="D116" s="752">
        <f>70412-20478</f>
        <v>49934</v>
      </c>
      <c r="E116" s="755">
        <f>+C116+D116</f>
        <v>69934</v>
      </c>
      <c r="F116" s="752">
        <v>57188</v>
      </c>
      <c r="G116" s="752">
        <f>+F116</f>
        <v>57188</v>
      </c>
      <c r="H116" s="755">
        <f t="shared" si="34"/>
        <v>12746</v>
      </c>
      <c r="I116" s="756">
        <f t="shared" si="35"/>
        <v>0.81774244287471043</v>
      </c>
    </row>
    <row r="117" spans="1:9" s="24" customFormat="1" ht="17.25" customHeight="1" x14ac:dyDescent="0.2">
      <c r="A117" s="744">
        <v>326</v>
      </c>
      <c r="B117" s="757" t="str">
        <f>+B118</f>
        <v>Arrendamiento de maquinaria</v>
      </c>
      <c r="C117" s="752"/>
      <c r="D117" s="752"/>
      <c r="E117" s="755"/>
      <c r="F117" s="752"/>
      <c r="G117" s="752"/>
      <c r="H117" s="755"/>
      <c r="I117" s="756"/>
    </row>
    <row r="118" spans="1:9" s="24" customFormat="1" ht="17.25" customHeight="1" x14ac:dyDescent="0.2">
      <c r="A118" s="744">
        <v>32601</v>
      </c>
      <c r="B118" s="757" t="s">
        <v>719</v>
      </c>
      <c r="C118" s="752">
        <v>190000</v>
      </c>
      <c r="D118" s="752">
        <v>-106936.21</v>
      </c>
      <c r="E118" s="755">
        <f>+C118+D118</f>
        <v>83063.789999999994</v>
      </c>
      <c r="F118" s="752">
        <v>0</v>
      </c>
      <c r="G118" s="752">
        <v>0</v>
      </c>
      <c r="H118" s="755">
        <f t="shared" ref="H118" si="36">+E118-F118</f>
        <v>83063.789999999994</v>
      </c>
      <c r="I118" s="756">
        <f t="shared" ref="I118" si="37">+F118/E118</f>
        <v>0</v>
      </c>
    </row>
    <row r="119" spans="1:9" s="24" customFormat="1" ht="17.25" customHeight="1" x14ac:dyDescent="0.2">
      <c r="A119" s="744">
        <v>327</v>
      </c>
      <c r="B119" s="757" t="str">
        <f>+B120</f>
        <v>Patentes y regalias</v>
      </c>
      <c r="C119" s="752"/>
      <c r="D119" s="752"/>
      <c r="E119" s="755"/>
      <c r="F119" s="752"/>
      <c r="G119" s="752"/>
      <c r="H119" s="755"/>
      <c r="I119" s="756"/>
    </row>
    <row r="120" spans="1:9" s="24" customFormat="1" ht="17.25" customHeight="1" x14ac:dyDescent="0.2">
      <c r="A120" s="744">
        <v>32701</v>
      </c>
      <c r="B120" s="757" t="s">
        <v>720</v>
      </c>
      <c r="C120" s="752">
        <v>70000</v>
      </c>
      <c r="D120" s="752">
        <v>-29584.080000000002</v>
      </c>
      <c r="E120" s="755">
        <f>+C120+D120</f>
        <v>40415.919999999998</v>
      </c>
      <c r="F120" s="752">
        <v>0</v>
      </c>
      <c r="G120" s="752">
        <v>0</v>
      </c>
      <c r="H120" s="755">
        <f t="shared" ref="H120" si="38">+E120-F120</f>
        <v>40415.919999999998</v>
      </c>
      <c r="I120" s="756">
        <f t="shared" ref="I120" si="39">+F120/E120</f>
        <v>0</v>
      </c>
    </row>
    <row r="121" spans="1:9" s="24" customFormat="1" ht="17.25" customHeight="1" x14ac:dyDescent="0.2">
      <c r="A121" s="744">
        <v>3300</v>
      </c>
      <c r="B121" s="757" t="s">
        <v>721</v>
      </c>
      <c r="C121" s="752">
        <f>+C123+C126+C127+C129+C135+C131+C133+C125</f>
        <v>338644.14</v>
      </c>
      <c r="D121" s="752">
        <f>+D123+D126+D127+D129+D135+D131+D133+D125</f>
        <v>461072.12</v>
      </c>
      <c r="E121" s="752">
        <f t="shared" ref="E121:I121" si="40">+E123+E126+E127+E129+E135+E131+E133+E125</f>
        <v>799716.26</v>
      </c>
      <c r="F121" s="752">
        <f t="shared" si="40"/>
        <v>624039.14</v>
      </c>
      <c r="G121" s="752">
        <f>+F121</f>
        <v>624039.14</v>
      </c>
      <c r="H121" s="752">
        <f t="shared" si="40"/>
        <v>175677.12000000002</v>
      </c>
      <c r="I121" s="752">
        <f t="shared" si="40"/>
        <v>5.8361246251711023</v>
      </c>
    </row>
    <row r="122" spans="1:9" s="24" customFormat="1" ht="17.25" customHeight="1" x14ac:dyDescent="0.2">
      <c r="A122" s="744">
        <v>331</v>
      </c>
      <c r="B122" s="757" t="str">
        <f>+B123</f>
        <v>Servicios legales de contabilidad</v>
      </c>
      <c r="C122" s="752"/>
      <c r="D122" s="752"/>
      <c r="E122" s="755"/>
      <c r="F122" s="752"/>
      <c r="G122" s="752"/>
      <c r="H122" s="755"/>
      <c r="I122" s="756"/>
    </row>
    <row r="123" spans="1:9" s="24" customFormat="1" ht="17.25" customHeight="1" x14ac:dyDescent="0.2">
      <c r="A123" s="744">
        <v>33101</v>
      </c>
      <c r="B123" s="757" t="s">
        <v>722</v>
      </c>
      <c r="C123" s="752">
        <v>25000</v>
      </c>
      <c r="D123" s="752">
        <f>153976-6246</f>
        <v>147730</v>
      </c>
      <c r="E123" s="755">
        <f>+C123+D123</f>
        <v>172730</v>
      </c>
      <c r="F123" s="752">
        <v>156820.4</v>
      </c>
      <c r="G123" s="752">
        <f>+F123</f>
        <v>156820.4</v>
      </c>
      <c r="H123" s="755">
        <f t="shared" ref="H123" si="41">+E123-F123</f>
        <v>15909.600000000006</v>
      </c>
      <c r="I123" s="756">
        <f t="shared" ref="I123" si="42">+F123/E123</f>
        <v>0.90789324379088743</v>
      </c>
    </row>
    <row r="124" spans="1:9" s="24" customFormat="1" ht="17.25" customHeight="1" x14ac:dyDescent="0.2">
      <c r="A124" s="744">
        <v>333</v>
      </c>
      <c r="B124" s="757" t="str">
        <f>+B125</f>
        <v>Servicios de diseño y arquitectura</v>
      </c>
      <c r="C124" s="752"/>
      <c r="D124" s="752"/>
      <c r="E124" s="755"/>
      <c r="F124" s="752"/>
      <c r="G124" s="752"/>
      <c r="H124" s="755"/>
      <c r="I124" s="756"/>
    </row>
    <row r="125" spans="1:9" s="24" customFormat="1" ht="17.25" customHeight="1" x14ac:dyDescent="0.2">
      <c r="A125" s="744">
        <v>33201</v>
      </c>
      <c r="B125" s="757" t="s">
        <v>723</v>
      </c>
      <c r="C125" s="752">
        <v>0</v>
      </c>
      <c r="D125" s="752">
        <v>371169.26</v>
      </c>
      <c r="E125" s="755">
        <f>+C125+D125</f>
        <v>371169.26</v>
      </c>
      <c r="F125" s="752">
        <v>371169.26</v>
      </c>
      <c r="G125" s="752">
        <f>+F125</f>
        <v>371169.26</v>
      </c>
      <c r="H125" s="755">
        <f t="shared" ref="H125:H127" si="43">+E125-F125</f>
        <v>0</v>
      </c>
      <c r="I125" s="756">
        <f t="shared" ref="I125:I127" si="44">+F125/E125</f>
        <v>1</v>
      </c>
    </row>
    <row r="126" spans="1:9" s="24" customFormat="1" ht="17.25" customHeight="1" x14ac:dyDescent="0.2">
      <c r="A126" s="744">
        <v>33301</v>
      </c>
      <c r="B126" s="757" t="s">
        <v>724</v>
      </c>
      <c r="C126" s="752">
        <v>0</v>
      </c>
      <c r="D126" s="752">
        <v>3480</v>
      </c>
      <c r="E126" s="755">
        <f>+C126+D126</f>
        <v>3480</v>
      </c>
      <c r="F126" s="752">
        <v>3480</v>
      </c>
      <c r="G126" s="752">
        <f>+F126</f>
        <v>3480</v>
      </c>
      <c r="H126" s="755">
        <f t="shared" si="43"/>
        <v>0</v>
      </c>
      <c r="I126" s="756">
        <f t="shared" si="44"/>
        <v>1</v>
      </c>
    </row>
    <row r="127" spans="1:9" s="24" customFormat="1" ht="17.25" customHeight="1" x14ac:dyDescent="0.2">
      <c r="A127" s="744">
        <v>33302</v>
      </c>
      <c r="B127" s="757" t="s">
        <v>725</v>
      </c>
      <c r="C127" s="752">
        <v>9999.99</v>
      </c>
      <c r="D127" s="752">
        <v>-5756</v>
      </c>
      <c r="E127" s="755">
        <f>+C127+D127</f>
        <v>4243.99</v>
      </c>
      <c r="F127" s="752">
        <v>0</v>
      </c>
      <c r="G127" s="752">
        <v>0</v>
      </c>
      <c r="H127" s="755">
        <f t="shared" si="43"/>
        <v>4243.99</v>
      </c>
      <c r="I127" s="756">
        <f t="shared" si="44"/>
        <v>0</v>
      </c>
    </row>
    <row r="128" spans="1:9" s="24" customFormat="1" ht="17.25" customHeight="1" x14ac:dyDescent="0.2">
      <c r="A128" s="744">
        <v>334</v>
      </c>
      <c r="B128" s="757" t="str">
        <f>+B129</f>
        <v>Servicios de capacitacion</v>
      </c>
      <c r="C128" s="752"/>
      <c r="D128" s="752"/>
      <c r="E128" s="755"/>
      <c r="F128" s="752"/>
      <c r="G128" s="752"/>
      <c r="H128" s="755"/>
      <c r="I128" s="756"/>
    </row>
    <row r="129" spans="1:9" s="24" customFormat="1" ht="17.25" customHeight="1" x14ac:dyDescent="0.2">
      <c r="A129" s="744">
        <v>33401</v>
      </c>
      <c r="B129" s="757" t="s">
        <v>726</v>
      </c>
      <c r="C129" s="752">
        <v>10000.01</v>
      </c>
      <c r="D129" s="752">
        <v>78762.880000000005</v>
      </c>
      <c r="E129" s="755">
        <f>+C129+D129</f>
        <v>88762.89</v>
      </c>
      <c r="F129" s="752">
        <v>82392.5</v>
      </c>
      <c r="G129" s="752">
        <f>+F129</f>
        <v>82392.5</v>
      </c>
      <c r="H129" s="755">
        <f>+E129-F129</f>
        <v>6370.3899999999994</v>
      </c>
      <c r="I129" s="756">
        <f t="shared" ref="I129" si="45">+F129/E129</f>
        <v>0.92823138138021422</v>
      </c>
    </row>
    <row r="130" spans="1:9" s="24" customFormat="1" ht="17.25" customHeight="1" x14ac:dyDescent="0.2">
      <c r="A130" s="744">
        <v>336</v>
      </c>
      <c r="B130" s="757" t="str">
        <f>+B131</f>
        <v>Impresión y publicaciones oficiales</v>
      </c>
      <c r="C130" s="752"/>
      <c r="D130" s="752"/>
      <c r="E130" s="755"/>
      <c r="F130" s="752"/>
      <c r="G130" s="752"/>
      <c r="H130" s="755"/>
      <c r="I130" s="756"/>
    </row>
    <row r="131" spans="1:9" s="24" customFormat="1" ht="17.25" customHeight="1" x14ac:dyDescent="0.2">
      <c r="A131" s="744">
        <v>33603</v>
      </c>
      <c r="B131" s="757" t="s">
        <v>727</v>
      </c>
      <c r="C131" s="752">
        <v>0</v>
      </c>
      <c r="D131" s="752">
        <f>6148-3074</f>
        <v>3074</v>
      </c>
      <c r="E131" s="755">
        <f>+D131</f>
        <v>3074</v>
      </c>
      <c r="F131" s="752">
        <v>3074</v>
      </c>
      <c r="G131" s="752">
        <f>+F131</f>
        <v>3074</v>
      </c>
      <c r="H131" s="755">
        <f t="shared" ref="H131:H135" si="46">+E131-F131</f>
        <v>0</v>
      </c>
      <c r="I131" s="756">
        <f t="shared" ref="I131:I135" si="47">+F131/E131</f>
        <v>1</v>
      </c>
    </row>
    <row r="132" spans="1:9" s="24" customFormat="1" ht="17.25" customHeight="1" x14ac:dyDescent="0.2">
      <c r="A132" s="744">
        <v>337</v>
      </c>
      <c r="B132" s="757" t="str">
        <f>+B133</f>
        <v>Servicio de proteccion y seguridad</v>
      </c>
      <c r="C132" s="752"/>
      <c r="D132" s="752"/>
      <c r="E132" s="755"/>
      <c r="F132" s="752"/>
      <c r="G132" s="752"/>
      <c r="H132" s="755"/>
      <c r="I132" s="756"/>
    </row>
    <row r="133" spans="1:9" s="24" customFormat="1" ht="17.25" customHeight="1" x14ac:dyDescent="0.2">
      <c r="A133" s="744">
        <v>33701</v>
      </c>
      <c r="B133" s="757" t="s">
        <v>728</v>
      </c>
      <c r="C133" s="752">
        <v>0</v>
      </c>
      <c r="D133" s="752">
        <v>7102.98</v>
      </c>
      <c r="E133" s="755">
        <f>+D133</f>
        <v>7102.98</v>
      </c>
      <c r="F133" s="752">
        <v>7102.98</v>
      </c>
      <c r="G133" s="752">
        <f>+F133</f>
        <v>7102.98</v>
      </c>
      <c r="H133" s="755">
        <f t="shared" si="46"/>
        <v>0</v>
      </c>
      <c r="I133" s="756">
        <f t="shared" si="47"/>
        <v>1</v>
      </c>
    </row>
    <row r="134" spans="1:9" s="24" customFormat="1" ht="17.25" customHeight="1" x14ac:dyDescent="0.2">
      <c r="A134" s="744">
        <v>338</v>
      </c>
      <c r="B134" s="757" t="str">
        <f>+B135</f>
        <v>Servicio de vigilancia</v>
      </c>
      <c r="C134" s="752"/>
      <c r="D134" s="752"/>
      <c r="E134" s="755"/>
      <c r="F134" s="752"/>
      <c r="G134" s="752"/>
      <c r="H134" s="755"/>
      <c r="I134" s="756"/>
    </row>
    <row r="135" spans="1:9" s="24" customFormat="1" ht="17.25" customHeight="1" x14ac:dyDescent="0.2">
      <c r="A135" s="744">
        <v>33801</v>
      </c>
      <c r="B135" s="757" t="s">
        <v>729</v>
      </c>
      <c r="C135" s="752">
        <v>293644.14</v>
      </c>
      <c r="D135" s="752">
        <v>-144491</v>
      </c>
      <c r="E135" s="755">
        <f>+C135+D135</f>
        <v>149153.14000000001</v>
      </c>
      <c r="F135" s="752">
        <v>0</v>
      </c>
      <c r="G135" s="752">
        <v>0</v>
      </c>
      <c r="H135" s="755">
        <f t="shared" si="46"/>
        <v>149153.14000000001</v>
      </c>
      <c r="I135" s="756">
        <f t="shared" si="47"/>
        <v>0</v>
      </c>
    </row>
    <row r="136" spans="1:9" s="24" customFormat="1" ht="17.25" customHeight="1" x14ac:dyDescent="0.2">
      <c r="A136" s="744">
        <v>3400</v>
      </c>
      <c r="B136" s="757" t="s">
        <v>730</v>
      </c>
      <c r="C136" s="752">
        <f>+C138+C140</f>
        <v>63000</v>
      </c>
      <c r="D136" s="752">
        <f>+D138+D140</f>
        <v>30160.240000000002</v>
      </c>
      <c r="E136" s="752">
        <f t="shared" ref="E136:I136" si="48">+E138+E140</f>
        <v>93160.24</v>
      </c>
      <c r="F136" s="752">
        <f t="shared" si="48"/>
        <v>55295.77</v>
      </c>
      <c r="G136" s="752">
        <f>+F136</f>
        <v>55295.77</v>
      </c>
      <c r="H136" s="752">
        <f t="shared" si="48"/>
        <v>37864.470000000008</v>
      </c>
      <c r="I136" s="752">
        <f t="shared" si="48"/>
        <v>1.3400167853036438</v>
      </c>
    </row>
    <row r="137" spans="1:9" s="24" customFormat="1" ht="17.25" customHeight="1" x14ac:dyDescent="0.2">
      <c r="A137" s="744">
        <v>345</v>
      </c>
      <c r="B137" s="757" t="str">
        <f>+B138</f>
        <v>Seguros de bienes patrimoniales</v>
      </c>
      <c r="C137" s="752"/>
      <c r="D137" s="752"/>
      <c r="E137" s="755"/>
      <c r="F137" s="752"/>
      <c r="G137" s="752"/>
      <c r="H137" s="755"/>
      <c r="I137" s="756"/>
    </row>
    <row r="138" spans="1:9" s="24" customFormat="1" ht="17.25" customHeight="1" x14ac:dyDescent="0.2">
      <c r="A138" s="744">
        <v>34501</v>
      </c>
      <c r="B138" s="757" t="s">
        <v>731</v>
      </c>
      <c r="C138" s="752">
        <v>60000</v>
      </c>
      <c r="D138" s="752">
        <v>26531.88</v>
      </c>
      <c r="E138" s="755">
        <f>+C138+D138</f>
        <v>86531.88</v>
      </c>
      <c r="F138" s="752">
        <v>50263.88</v>
      </c>
      <c r="G138" s="752">
        <f>+F138</f>
        <v>50263.88</v>
      </c>
      <c r="H138" s="755">
        <f t="shared" ref="H138" si="49">+E138-F138</f>
        <v>36268.000000000007</v>
      </c>
      <c r="I138" s="756">
        <f t="shared" ref="I138" si="50">+F138/E138</f>
        <v>0.58087123497143478</v>
      </c>
    </row>
    <row r="139" spans="1:9" s="24" customFormat="1" ht="17.25" customHeight="1" x14ac:dyDescent="0.2">
      <c r="A139" s="744">
        <v>347</v>
      </c>
      <c r="B139" s="757" t="str">
        <f>+B140</f>
        <v>Fletes y maniobras</v>
      </c>
      <c r="C139" s="752"/>
      <c r="D139" s="752"/>
      <c r="E139" s="755"/>
      <c r="F139" s="752"/>
      <c r="G139" s="752"/>
      <c r="H139" s="755"/>
      <c r="I139" s="756"/>
    </row>
    <row r="140" spans="1:9" s="24" customFormat="1" ht="17.25" customHeight="1" x14ac:dyDescent="0.2">
      <c r="A140" s="744">
        <v>34701</v>
      </c>
      <c r="B140" s="757" t="s">
        <v>732</v>
      </c>
      <c r="C140" s="752">
        <v>3000</v>
      </c>
      <c r="D140" s="752">
        <v>3628.36</v>
      </c>
      <c r="E140" s="755">
        <f>+C140+D140</f>
        <v>6628.3600000000006</v>
      </c>
      <c r="F140" s="752">
        <v>5031.8900000000003</v>
      </c>
      <c r="G140" s="752">
        <f>+F140</f>
        <v>5031.8900000000003</v>
      </c>
      <c r="H140" s="755">
        <f t="shared" ref="H140" si="51">+E140-F140</f>
        <v>1596.4700000000003</v>
      </c>
      <c r="I140" s="756">
        <f t="shared" ref="I140" si="52">+F140/E140</f>
        <v>0.75914555033220887</v>
      </c>
    </row>
    <row r="141" spans="1:9" s="24" customFormat="1" ht="17.25" customHeight="1" x14ac:dyDescent="0.2">
      <c r="A141" s="744">
        <v>3500</v>
      </c>
      <c r="B141" s="757" t="s">
        <v>733</v>
      </c>
      <c r="C141" s="752">
        <f>+C143+C145+C146+C149+C151+C153+C154+C156+C148</f>
        <v>182656.47</v>
      </c>
      <c r="D141" s="752">
        <f>+D143+D145+D146+D149+D151+D153+D154+D156+D148</f>
        <v>12979.279999999999</v>
      </c>
      <c r="E141" s="752">
        <f t="shared" ref="E141:I141" si="53">+E143+E145+E146+E149+E151+E153+E154+E156+E148</f>
        <v>195635.75</v>
      </c>
      <c r="F141" s="752">
        <f t="shared" si="53"/>
        <v>90004.489999999991</v>
      </c>
      <c r="G141" s="752">
        <f>+F141</f>
        <v>90004.489999999991</v>
      </c>
      <c r="H141" s="752">
        <f t="shared" si="53"/>
        <v>105631.26000000001</v>
      </c>
      <c r="I141" s="752">
        <f t="shared" si="53"/>
        <v>1.6604635574221267</v>
      </c>
    </row>
    <row r="142" spans="1:9" s="24" customFormat="1" ht="17.25" customHeight="1" x14ac:dyDescent="0.2">
      <c r="A142" s="744">
        <v>351</v>
      </c>
      <c r="B142" s="757" t="str">
        <f>+B143</f>
        <v>Mantenimiento y conservacion  de</v>
      </c>
      <c r="C142" s="752"/>
      <c r="D142" s="752"/>
      <c r="E142" s="755"/>
      <c r="F142" s="752"/>
      <c r="G142" s="752"/>
      <c r="H142" s="755"/>
      <c r="I142" s="756"/>
    </row>
    <row r="143" spans="1:9" s="24" customFormat="1" ht="17.25" customHeight="1" x14ac:dyDescent="0.2">
      <c r="A143" s="744">
        <v>35101</v>
      </c>
      <c r="B143" s="757" t="s">
        <v>734</v>
      </c>
      <c r="C143" s="752">
        <v>1500</v>
      </c>
      <c r="D143" s="752">
        <f>70-543</f>
        <v>-473</v>
      </c>
      <c r="E143" s="755">
        <f>+C143+D143</f>
        <v>1027</v>
      </c>
      <c r="F143" s="752">
        <v>69.989999999999995</v>
      </c>
      <c r="G143" s="752">
        <f>+F143</f>
        <v>69.989999999999995</v>
      </c>
      <c r="H143" s="755">
        <f t="shared" ref="H143:H156" si="54">+E143-F143</f>
        <v>957.01</v>
      </c>
      <c r="I143" s="756">
        <f t="shared" ref="I143:I156" si="55">+F143/E143</f>
        <v>6.8149951314508267E-2</v>
      </c>
    </row>
    <row r="144" spans="1:9" s="24" customFormat="1" ht="17.25" customHeight="1" x14ac:dyDescent="0.2">
      <c r="A144" s="744">
        <v>352</v>
      </c>
      <c r="B144" s="757" t="str">
        <f>+B145</f>
        <v>Mantenimiento y conservacion  de</v>
      </c>
      <c r="C144" s="752"/>
      <c r="D144" s="752"/>
      <c r="E144" s="755"/>
      <c r="F144" s="752"/>
      <c r="G144" s="752"/>
      <c r="H144" s="755"/>
      <c r="I144" s="756"/>
    </row>
    <row r="145" spans="1:9" s="24" customFormat="1" ht="17.25" customHeight="1" x14ac:dyDescent="0.2">
      <c r="A145" s="744">
        <v>35201</v>
      </c>
      <c r="B145" s="757" t="str">
        <f>+B143</f>
        <v>Mantenimiento y conservacion  de</v>
      </c>
      <c r="C145" s="752">
        <v>1500</v>
      </c>
      <c r="D145" s="752">
        <v>-478.36</v>
      </c>
      <c r="E145" s="755">
        <f>+C145+D145</f>
        <v>1021.64</v>
      </c>
      <c r="F145" s="752">
        <v>0</v>
      </c>
      <c r="G145" s="752">
        <v>0</v>
      </c>
      <c r="H145" s="755">
        <f t="shared" si="54"/>
        <v>1021.64</v>
      </c>
      <c r="I145" s="756">
        <f t="shared" si="55"/>
        <v>0</v>
      </c>
    </row>
    <row r="146" spans="1:9" s="24" customFormat="1" ht="17.25" customHeight="1" x14ac:dyDescent="0.2">
      <c r="A146" s="744">
        <v>35202</v>
      </c>
      <c r="B146" s="757" t="str">
        <f>+B145</f>
        <v>Mantenimiento y conservacion  de</v>
      </c>
      <c r="C146" s="752">
        <v>1300</v>
      </c>
      <c r="D146" s="752">
        <f>572-449</f>
        <v>123</v>
      </c>
      <c r="E146" s="755">
        <f>+C146+D146</f>
        <v>1423</v>
      </c>
      <c r="F146" s="752">
        <v>580</v>
      </c>
      <c r="G146" s="752">
        <f>+F146</f>
        <v>580</v>
      </c>
      <c r="H146" s="755">
        <f t="shared" si="54"/>
        <v>843</v>
      </c>
      <c r="I146" s="756">
        <f t="shared" si="55"/>
        <v>0.40758959943780743</v>
      </c>
    </row>
    <row r="147" spans="1:9" s="24" customFormat="1" ht="17.25" customHeight="1" x14ac:dyDescent="0.2">
      <c r="A147" s="744">
        <v>353</v>
      </c>
      <c r="B147" s="757" t="str">
        <f>+B148</f>
        <v>Instalaciones</v>
      </c>
      <c r="C147" s="752"/>
      <c r="D147" s="752"/>
      <c r="E147" s="755"/>
      <c r="F147" s="752"/>
      <c r="G147" s="752"/>
      <c r="H147" s="755"/>
      <c r="I147" s="756"/>
    </row>
    <row r="148" spans="1:9" s="24" customFormat="1" ht="17.25" customHeight="1" x14ac:dyDescent="0.2">
      <c r="A148" s="744">
        <v>35301</v>
      </c>
      <c r="B148" s="757" t="s">
        <v>735</v>
      </c>
      <c r="C148" s="752">
        <v>0</v>
      </c>
      <c r="D148" s="752">
        <v>82402.92</v>
      </c>
      <c r="E148" s="755">
        <f>+C148+D148</f>
        <v>82402.92</v>
      </c>
      <c r="F148" s="752">
        <v>82402.92</v>
      </c>
      <c r="G148" s="752">
        <f>+F148</f>
        <v>82402.92</v>
      </c>
      <c r="H148" s="755">
        <f t="shared" ref="H148" si="56">+E148-F148</f>
        <v>0</v>
      </c>
      <c r="I148" s="756">
        <f t="shared" ref="I148" si="57">+F148/E148</f>
        <v>1</v>
      </c>
    </row>
    <row r="149" spans="1:9" s="24" customFormat="1" ht="17.25" customHeight="1" x14ac:dyDescent="0.2">
      <c r="A149" s="744">
        <v>35302</v>
      </c>
      <c r="B149" s="757" t="str">
        <f>+B146</f>
        <v>Mantenimiento y conservacion  de</v>
      </c>
      <c r="C149" s="752">
        <v>1500</v>
      </c>
      <c r="D149" s="752">
        <v>-543</v>
      </c>
      <c r="E149" s="755">
        <f>+C149+D149</f>
        <v>957</v>
      </c>
      <c r="F149" s="752">
        <v>0</v>
      </c>
      <c r="G149" s="752">
        <v>0</v>
      </c>
      <c r="H149" s="755">
        <f t="shared" si="54"/>
        <v>957</v>
      </c>
      <c r="I149" s="756">
        <f t="shared" si="55"/>
        <v>0</v>
      </c>
    </row>
    <row r="150" spans="1:9" s="24" customFormat="1" ht="17.25" customHeight="1" x14ac:dyDescent="0.2">
      <c r="A150" s="744">
        <v>354</v>
      </c>
      <c r="B150" s="757" t="str">
        <f>+B151</f>
        <v>Instalacion , reparacion y mantenimiento</v>
      </c>
      <c r="C150" s="752"/>
      <c r="D150" s="752"/>
      <c r="E150" s="755"/>
      <c r="F150" s="752"/>
      <c r="G150" s="752"/>
      <c r="H150" s="755"/>
      <c r="I150" s="756"/>
    </row>
    <row r="151" spans="1:9" s="6" customFormat="1" ht="20.25" customHeight="1" x14ac:dyDescent="0.2">
      <c r="A151" s="744">
        <v>35401</v>
      </c>
      <c r="B151" s="757" t="s">
        <v>736</v>
      </c>
      <c r="C151" s="752">
        <v>1500</v>
      </c>
      <c r="D151" s="752">
        <v>-543</v>
      </c>
      <c r="E151" s="755">
        <f>+C151+D151</f>
        <v>957</v>
      </c>
      <c r="F151" s="752">
        <v>0</v>
      </c>
      <c r="G151" s="752">
        <v>0</v>
      </c>
      <c r="H151" s="755">
        <f t="shared" si="54"/>
        <v>957</v>
      </c>
      <c r="I151" s="756">
        <f t="shared" si="55"/>
        <v>0</v>
      </c>
    </row>
    <row r="152" spans="1:9" x14ac:dyDescent="0.3">
      <c r="A152" s="744">
        <v>355</v>
      </c>
      <c r="B152" s="757" t="str">
        <f>+B153</f>
        <v>Mantenimiento y conservacion de equipo</v>
      </c>
      <c r="C152" s="752"/>
      <c r="D152" s="752"/>
      <c r="E152" s="755"/>
      <c r="F152" s="752"/>
      <c r="G152" s="752"/>
      <c r="H152" s="755"/>
      <c r="I152" s="756"/>
    </row>
    <row r="153" spans="1:9" x14ac:dyDescent="0.3">
      <c r="A153" s="744">
        <v>35501</v>
      </c>
      <c r="B153" s="757" t="s">
        <v>737</v>
      </c>
      <c r="C153" s="752">
        <v>64997.65</v>
      </c>
      <c r="D153" s="752">
        <v>-27365.4</v>
      </c>
      <c r="E153" s="755">
        <f>+C153+D153</f>
        <v>37632.25</v>
      </c>
      <c r="F153" s="752">
        <v>6951.58</v>
      </c>
      <c r="G153" s="752">
        <f>+F153</f>
        <v>6951.58</v>
      </c>
      <c r="H153" s="755">
        <f t="shared" si="54"/>
        <v>30680.67</v>
      </c>
      <c r="I153" s="756">
        <f t="shared" si="55"/>
        <v>0.18472400666981112</v>
      </c>
    </row>
    <row r="154" spans="1:9" x14ac:dyDescent="0.3">
      <c r="A154" s="744">
        <v>35701</v>
      </c>
      <c r="B154" s="757" t="s">
        <v>738</v>
      </c>
      <c r="C154" s="752">
        <v>1500</v>
      </c>
      <c r="D154" s="752">
        <v>-543</v>
      </c>
      <c r="E154" s="755">
        <f>+C154+D154</f>
        <v>957</v>
      </c>
      <c r="F154" s="752">
        <v>0</v>
      </c>
      <c r="G154" s="752">
        <v>0</v>
      </c>
      <c r="H154" s="755">
        <f t="shared" si="54"/>
        <v>957</v>
      </c>
      <c r="I154" s="756">
        <f t="shared" si="55"/>
        <v>0</v>
      </c>
    </row>
    <row r="155" spans="1:9" x14ac:dyDescent="0.3">
      <c r="A155" s="744">
        <v>358</v>
      </c>
      <c r="B155" s="757" t="str">
        <f>+B156</f>
        <v>Servicio de limpieza y manejo  de desecho</v>
      </c>
      <c r="C155" s="752"/>
      <c r="D155" s="752"/>
      <c r="E155" s="755"/>
      <c r="F155" s="752"/>
      <c r="G155" s="752"/>
      <c r="H155" s="755"/>
      <c r="I155" s="756"/>
    </row>
    <row r="156" spans="1:9" x14ac:dyDescent="0.3">
      <c r="A156" s="744">
        <v>35801</v>
      </c>
      <c r="B156" s="757" t="s">
        <v>739</v>
      </c>
      <c r="C156" s="752">
        <v>108858.82</v>
      </c>
      <c r="D156" s="752">
        <v>-39600.879999999997</v>
      </c>
      <c r="E156" s="755">
        <f>+C156+D156</f>
        <v>69257.94</v>
      </c>
      <c r="F156" s="752">
        <v>0</v>
      </c>
      <c r="G156" s="752">
        <v>0</v>
      </c>
      <c r="H156" s="755">
        <f t="shared" si="54"/>
        <v>69257.94</v>
      </c>
      <c r="I156" s="756">
        <f t="shared" si="55"/>
        <v>0</v>
      </c>
    </row>
    <row r="157" spans="1:9" x14ac:dyDescent="0.3">
      <c r="A157" s="744">
        <v>3600</v>
      </c>
      <c r="B157" s="757" t="s">
        <v>740</v>
      </c>
      <c r="C157" s="752">
        <f>+C159+C160</f>
        <v>10000</v>
      </c>
      <c r="D157" s="752">
        <f>+D159+D160</f>
        <v>6287</v>
      </c>
      <c r="E157" s="752">
        <f t="shared" ref="E157:I157" si="58">+E159+E160</f>
        <v>16287</v>
      </c>
      <c r="F157" s="752">
        <f t="shared" si="58"/>
        <v>11600</v>
      </c>
      <c r="G157" s="752">
        <f>+F157</f>
        <v>11600</v>
      </c>
      <c r="H157" s="752">
        <f t="shared" si="58"/>
        <v>4687</v>
      </c>
      <c r="I157" s="752">
        <f t="shared" si="58"/>
        <v>0.8224034030485643</v>
      </c>
    </row>
    <row r="158" spans="1:9" x14ac:dyDescent="0.3">
      <c r="A158" s="744">
        <v>361</v>
      </c>
      <c r="B158" s="757" t="str">
        <f>+B159</f>
        <v>Difusion por radio, television y</v>
      </c>
      <c r="C158" s="752"/>
      <c r="D158" s="752"/>
      <c r="E158" s="755"/>
      <c r="F158" s="752"/>
      <c r="G158" s="752"/>
      <c r="H158" s="755"/>
      <c r="I158" s="756"/>
    </row>
    <row r="159" spans="1:9" x14ac:dyDescent="0.3">
      <c r="A159" s="744">
        <v>36101</v>
      </c>
      <c r="B159" s="757" t="s">
        <v>741</v>
      </c>
      <c r="C159" s="752">
        <v>5000</v>
      </c>
      <c r="D159" s="752">
        <f>11160-2055</f>
        <v>9105</v>
      </c>
      <c r="E159" s="755">
        <f>+C159+D159</f>
        <v>14105</v>
      </c>
      <c r="F159" s="752">
        <v>11600</v>
      </c>
      <c r="G159" s="752">
        <f>+F159</f>
        <v>11600</v>
      </c>
      <c r="H159" s="755">
        <f t="shared" ref="H159:H160" si="59">+E159-F159</f>
        <v>2505</v>
      </c>
      <c r="I159" s="756">
        <f t="shared" ref="I159:I160" si="60">+F159/E159</f>
        <v>0.8224034030485643</v>
      </c>
    </row>
    <row r="160" spans="1:9" x14ac:dyDescent="0.3">
      <c r="A160" s="744">
        <v>36301</v>
      </c>
      <c r="B160" s="757" t="s">
        <v>742</v>
      </c>
      <c r="C160" s="752">
        <v>5000</v>
      </c>
      <c r="D160" s="752">
        <f>206-3024</f>
        <v>-2818</v>
      </c>
      <c r="E160" s="755">
        <f>+C160+D160</f>
        <v>2182</v>
      </c>
      <c r="F160" s="752">
        <v>0</v>
      </c>
      <c r="G160" s="752">
        <v>0</v>
      </c>
      <c r="H160" s="755">
        <f t="shared" si="59"/>
        <v>2182</v>
      </c>
      <c r="I160" s="756">
        <f t="shared" si="60"/>
        <v>0</v>
      </c>
    </row>
    <row r="161" spans="1:9" x14ac:dyDescent="0.3">
      <c r="A161" s="744">
        <v>3700</v>
      </c>
      <c r="B161" s="757" t="s">
        <v>743</v>
      </c>
      <c r="C161" s="752">
        <f>+C163+C164+C168+C169+C171+C173+C174</f>
        <v>88060.88</v>
      </c>
      <c r="D161" s="752">
        <f>+D163+D164+D168+D169+D171+D173+D174+D166</f>
        <v>205323.88999999998</v>
      </c>
      <c r="E161" s="752">
        <f t="shared" ref="E161:I161" si="61">+E163+E164+E168+E169+E171+E173+E174+E166</f>
        <v>293384.77</v>
      </c>
      <c r="F161" s="752">
        <f t="shared" si="61"/>
        <v>245915.89</v>
      </c>
      <c r="G161" s="752">
        <f t="shared" si="61"/>
        <v>245915.89</v>
      </c>
      <c r="H161" s="752">
        <f t="shared" si="61"/>
        <v>47468.87999999999</v>
      </c>
      <c r="I161" s="752">
        <f t="shared" si="61"/>
        <v>3.517540672341454</v>
      </c>
    </row>
    <row r="162" spans="1:9" x14ac:dyDescent="0.3">
      <c r="A162" s="744">
        <v>371</v>
      </c>
      <c r="B162" s="757" t="str">
        <f>+B163</f>
        <v>Pasaje aereo</v>
      </c>
      <c r="C162" s="752"/>
      <c r="D162" s="752"/>
      <c r="E162" s="755"/>
      <c r="F162" s="752"/>
      <c r="G162" s="752"/>
      <c r="H162" s="755"/>
      <c r="I162" s="756"/>
    </row>
    <row r="163" spans="1:9" x14ac:dyDescent="0.3">
      <c r="A163" s="744">
        <v>37101</v>
      </c>
      <c r="B163" s="757" t="s">
        <v>744</v>
      </c>
      <c r="C163" s="752">
        <v>30000</v>
      </c>
      <c r="D163" s="752">
        <v>79750.570000000007</v>
      </c>
      <c r="E163" s="755">
        <f>+C163+D163</f>
        <v>109750.57</v>
      </c>
      <c r="F163" s="752">
        <v>99492.89</v>
      </c>
      <c r="G163" s="752">
        <f>+F163</f>
        <v>99492.89</v>
      </c>
      <c r="H163" s="755">
        <f t="shared" ref="H163:H174" si="62">+E163-F163</f>
        <v>10257.680000000008</v>
      </c>
      <c r="I163" s="756">
        <f t="shared" ref="I163:I174" si="63">+F163/E163</f>
        <v>0.90653643074473322</v>
      </c>
    </row>
    <row r="164" spans="1:9" x14ac:dyDescent="0.3">
      <c r="A164" s="744">
        <v>37102</v>
      </c>
      <c r="B164" s="757" t="s">
        <v>745</v>
      </c>
      <c r="C164" s="752">
        <v>2060.88</v>
      </c>
      <c r="D164" s="752">
        <v>-710</v>
      </c>
      <c r="E164" s="755">
        <f t="shared" ref="E164:E174" si="64">+C164+D164</f>
        <v>1350.88</v>
      </c>
      <c r="F164" s="752">
        <v>0</v>
      </c>
      <c r="G164" s="752">
        <v>0</v>
      </c>
      <c r="H164" s="755">
        <f t="shared" si="62"/>
        <v>1350.88</v>
      </c>
      <c r="I164" s="756">
        <f t="shared" si="63"/>
        <v>0</v>
      </c>
    </row>
    <row r="165" spans="1:9" x14ac:dyDescent="0.3">
      <c r="A165" s="744">
        <v>372</v>
      </c>
      <c r="B165" s="757" t="str">
        <f>+B166</f>
        <v>Pasaje terrestre</v>
      </c>
      <c r="C165" s="752"/>
      <c r="D165" s="752"/>
      <c r="E165" s="755"/>
      <c r="F165" s="752"/>
      <c r="G165" s="752"/>
      <c r="H165" s="755"/>
      <c r="I165" s="756"/>
    </row>
    <row r="166" spans="1:9" x14ac:dyDescent="0.3">
      <c r="A166" s="744">
        <v>37201</v>
      </c>
      <c r="B166" s="757" t="s">
        <v>746</v>
      </c>
      <c r="C166" s="752">
        <v>0</v>
      </c>
      <c r="D166" s="752">
        <v>68129</v>
      </c>
      <c r="E166" s="755">
        <f t="shared" si="64"/>
        <v>68129</v>
      </c>
      <c r="F166" s="752">
        <v>66843</v>
      </c>
      <c r="G166" s="752">
        <f>+F166</f>
        <v>66843</v>
      </c>
      <c r="H166" s="755">
        <f t="shared" si="62"/>
        <v>1286</v>
      </c>
      <c r="I166" s="756">
        <f t="shared" si="63"/>
        <v>0.98112404409282394</v>
      </c>
    </row>
    <row r="167" spans="1:9" x14ac:dyDescent="0.3">
      <c r="A167" s="744">
        <v>375</v>
      </c>
      <c r="B167" s="757" t="str">
        <f>+B168</f>
        <v>Viaticos en el pais</v>
      </c>
      <c r="C167" s="752"/>
      <c r="D167" s="752"/>
      <c r="E167" s="755"/>
      <c r="F167" s="752"/>
      <c r="G167" s="752"/>
      <c r="H167" s="755"/>
      <c r="I167" s="756"/>
    </row>
    <row r="168" spans="1:9" x14ac:dyDescent="0.3">
      <c r="A168" s="744">
        <v>37501</v>
      </c>
      <c r="B168" s="757" t="s">
        <v>747</v>
      </c>
      <c r="C168" s="752">
        <v>30000</v>
      </c>
      <c r="D168" s="752">
        <f>88590.68-42031.6</f>
        <v>46559.079999999994</v>
      </c>
      <c r="E168" s="755">
        <f t="shared" si="64"/>
        <v>76559.079999999987</v>
      </c>
      <c r="F168" s="752">
        <v>56900</v>
      </c>
      <c r="G168" s="752">
        <f>+F168</f>
        <v>56900</v>
      </c>
      <c r="H168" s="755">
        <f t="shared" si="62"/>
        <v>19659.079999999987</v>
      </c>
      <c r="I168" s="756">
        <f t="shared" si="63"/>
        <v>0.74321687251205226</v>
      </c>
    </row>
    <row r="169" spans="1:9" x14ac:dyDescent="0.3">
      <c r="A169" s="744">
        <v>37502</v>
      </c>
      <c r="B169" s="757" t="s">
        <v>748</v>
      </c>
      <c r="C169" s="752">
        <v>20000</v>
      </c>
      <c r="D169" s="752">
        <v>13540.24</v>
      </c>
      <c r="E169" s="755">
        <f t="shared" si="64"/>
        <v>33540.239999999998</v>
      </c>
      <c r="F169" s="752">
        <v>22500</v>
      </c>
      <c r="G169" s="752">
        <f>+F169</f>
        <v>22500</v>
      </c>
      <c r="H169" s="755">
        <f t="shared" si="62"/>
        <v>11040.239999999998</v>
      </c>
      <c r="I169" s="756">
        <f t="shared" si="63"/>
        <v>0.67083598686234802</v>
      </c>
    </row>
    <row r="170" spans="1:9" x14ac:dyDescent="0.3">
      <c r="A170" s="744">
        <v>376</v>
      </c>
      <c r="B170" s="757" t="str">
        <f>+B171</f>
        <v>Viaticos en el extranjero</v>
      </c>
      <c r="C170" s="752"/>
      <c r="D170" s="752"/>
      <c r="E170" s="755"/>
      <c r="F170" s="752"/>
      <c r="G170" s="752"/>
      <c r="H170" s="755"/>
      <c r="I170" s="756"/>
    </row>
    <row r="171" spans="1:9" x14ac:dyDescent="0.3">
      <c r="A171" s="744">
        <v>37601</v>
      </c>
      <c r="B171" s="757" t="s">
        <v>749</v>
      </c>
      <c r="C171" s="752">
        <v>2500</v>
      </c>
      <c r="D171" s="752">
        <v>-906</v>
      </c>
      <c r="E171" s="755">
        <f t="shared" si="64"/>
        <v>1594</v>
      </c>
      <c r="F171" s="752">
        <v>0</v>
      </c>
      <c r="G171" s="752">
        <v>0</v>
      </c>
      <c r="H171" s="755">
        <f t="shared" si="62"/>
        <v>1594</v>
      </c>
      <c r="I171" s="756">
        <f t="shared" si="63"/>
        <v>0</v>
      </c>
    </row>
    <row r="172" spans="1:9" x14ac:dyDescent="0.3">
      <c r="A172" s="744">
        <v>379</v>
      </c>
      <c r="B172" s="757" t="str">
        <f>+B173</f>
        <v>Cuotas</v>
      </c>
      <c r="C172" s="752"/>
      <c r="D172" s="752"/>
      <c r="E172" s="755"/>
      <c r="F172" s="752"/>
      <c r="G172" s="752"/>
      <c r="H172" s="755"/>
      <c r="I172" s="756"/>
    </row>
    <row r="173" spans="1:9" x14ac:dyDescent="0.3">
      <c r="A173" s="744">
        <v>37901</v>
      </c>
      <c r="B173" s="757" t="s">
        <v>750</v>
      </c>
      <c r="C173" s="752">
        <v>1000</v>
      </c>
      <c r="D173" s="752">
        <f>180-346</f>
        <v>-166</v>
      </c>
      <c r="E173" s="755">
        <f t="shared" si="64"/>
        <v>834</v>
      </c>
      <c r="F173" s="752">
        <v>180</v>
      </c>
      <c r="G173" s="752">
        <f>+F173</f>
        <v>180</v>
      </c>
      <c r="H173" s="755">
        <f t="shared" si="62"/>
        <v>654</v>
      </c>
      <c r="I173" s="756">
        <f t="shared" si="63"/>
        <v>0.21582733812949639</v>
      </c>
    </row>
    <row r="174" spans="1:9" x14ac:dyDescent="0.3">
      <c r="A174" s="744">
        <v>37903</v>
      </c>
      <c r="B174" s="757" t="s">
        <v>751</v>
      </c>
      <c r="C174" s="752">
        <v>2500</v>
      </c>
      <c r="D174" s="752">
        <v>-873</v>
      </c>
      <c r="E174" s="755">
        <f t="shared" si="64"/>
        <v>1627</v>
      </c>
      <c r="F174" s="752">
        <v>0</v>
      </c>
      <c r="G174" s="752">
        <v>0</v>
      </c>
      <c r="H174" s="755">
        <f t="shared" si="62"/>
        <v>1627</v>
      </c>
      <c r="I174" s="756">
        <f t="shared" si="63"/>
        <v>0</v>
      </c>
    </row>
    <row r="175" spans="1:9" x14ac:dyDescent="0.3">
      <c r="A175" s="744">
        <v>3800</v>
      </c>
      <c r="B175" s="757" t="s">
        <v>752</v>
      </c>
      <c r="C175" s="752">
        <f>+C177+C179</f>
        <v>57500</v>
      </c>
      <c r="D175" s="752">
        <f>+D177+D179</f>
        <v>204380.48</v>
      </c>
      <c r="E175" s="752">
        <f t="shared" ref="E175:I175" si="65">+E177+E179</f>
        <v>261880.48</v>
      </c>
      <c r="F175" s="752">
        <f t="shared" si="65"/>
        <v>233768.76</v>
      </c>
      <c r="G175" s="752">
        <f>+F175</f>
        <v>233768.76</v>
      </c>
      <c r="H175" s="752">
        <f t="shared" si="65"/>
        <v>28111.72</v>
      </c>
      <c r="I175" s="752">
        <f t="shared" si="65"/>
        <v>0.90925765099817002</v>
      </c>
    </row>
    <row r="176" spans="1:9" x14ac:dyDescent="0.3">
      <c r="A176" s="744">
        <v>382</v>
      </c>
      <c r="B176" s="757" t="str">
        <f>+B177</f>
        <v>Gastos de orden social y cultural</v>
      </c>
      <c r="C176" s="752"/>
      <c r="D176" s="752"/>
      <c r="E176" s="755"/>
      <c r="F176" s="752"/>
      <c r="G176" s="752"/>
      <c r="H176" s="755"/>
      <c r="I176" s="756"/>
    </row>
    <row r="177" spans="1:9" x14ac:dyDescent="0.3">
      <c r="A177" s="744">
        <v>38201</v>
      </c>
      <c r="B177" s="757" t="s">
        <v>753</v>
      </c>
      <c r="C177" s="752">
        <v>7500</v>
      </c>
      <c r="D177" s="752">
        <f>945-3663</f>
        <v>-2718</v>
      </c>
      <c r="E177" s="755">
        <f>+C177+D177</f>
        <v>4782</v>
      </c>
      <c r="F177" s="752">
        <v>0</v>
      </c>
      <c r="G177" s="752">
        <v>0</v>
      </c>
      <c r="H177" s="755">
        <f t="shared" ref="H177" si="66">+E177-F177</f>
        <v>4782</v>
      </c>
      <c r="I177" s="756">
        <f t="shared" ref="I177" si="67">+F177/E177</f>
        <v>0</v>
      </c>
    </row>
    <row r="178" spans="1:9" x14ac:dyDescent="0.3">
      <c r="A178" s="744">
        <v>383</v>
      </c>
      <c r="B178" s="757" t="str">
        <f>+B179</f>
        <v>Congresos y convenciones</v>
      </c>
      <c r="C178" s="752"/>
      <c r="D178" s="752"/>
      <c r="E178" s="755"/>
      <c r="F178" s="752"/>
      <c r="G178" s="752"/>
      <c r="H178" s="755"/>
      <c r="I178" s="756"/>
    </row>
    <row r="179" spans="1:9" x14ac:dyDescent="0.3">
      <c r="A179" s="744">
        <v>38301</v>
      </c>
      <c r="B179" s="757" t="s">
        <v>754</v>
      </c>
      <c r="C179" s="752">
        <v>50000</v>
      </c>
      <c r="D179" s="752">
        <v>207098.48</v>
      </c>
      <c r="E179" s="755">
        <f>+C179+D179</f>
        <v>257098.48</v>
      </c>
      <c r="F179" s="752">
        <v>233768.76</v>
      </c>
      <c r="G179" s="752">
        <f>+F179</f>
        <v>233768.76</v>
      </c>
      <c r="H179" s="755">
        <f>+E179-F179</f>
        <v>23329.72</v>
      </c>
      <c r="I179" s="756">
        <f t="shared" ref="I179" si="68">+F179/E179</f>
        <v>0.90925765099817002</v>
      </c>
    </row>
    <row r="180" spans="1:9" x14ac:dyDescent="0.3">
      <c r="A180" s="744">
        <v>3900</v>
      </c>
      <c r="B180" s="757" t="s">
        <v>755</v>
      </c>
      <c r="C180" s="752">
        <f>+C182+C184</f>
        <v>201000</v>
      </c>
      <c r="D180" s="752">
        <f>+D182+D184</f>
        <v>-71853.69</v>
      </c>
      <c r="E180" s="752">
        <f t="shared" ref="E180:I180" si="69">+E182+E184</f>
        <v>129146.31</v>
      </c>
      <c r="F180" s="752">
        <f t="shared" si="69"/>
        <v>36755.39</v>
      </c>
      <c r="G180" s="752">
        <f>+F180</f>
        <v>36755.39</v>
      </c>
      <c r="H180" s="752">
        <f t="shared" si="69"/>
        <v>92390.92</v>
      </c>
      <c r="I180" s="752">
        <f t="shared" si="69"/>
        <v>0.38485314763922629</v>
      </c>
    </row>
    <row r="181" spans="1:9" x14ac:dyDescent="0.3">
      <c r="A181" s="744">
        <v>392</v>
      </c>
      <c r="B181" s="757" t="str">
        <f>+B182</f>
        <v>Impuestos y derechos</v>
      </c>
      <c r="C181" s="752"/>
      <c r="D181" s="752"/>
      <c r="E181" s="755"/>
      <c r="F181" s="752"/>
      <c r="G181" s="752"/>
      <c r="H181" s="755"/>
      <c r="I181" s="756"/>
    </row>
    <row r="182" spans="1:9" x14ac:dyDescent="0.3">
      <c r="A182" s="744">
        <v>39201</v>
      </c>
      <c r="B182" s="757" t="s">
        <v>756</v>
      </c>
      <c r="C182" s="752">
        <v>76000</v>
      </c>
      <c r="D182" s="752">
        <v>-42663.69</v>
      </c>
      <c r="E182" s="755">
        <f>+C182+D182</f>
        <v>33336.31</v>
      </c>
      <c r="F182" s="752">
        <v>62.64</v>
      </c>
      <c r="G182" s="752">
        <f>+F182</f>
        <v>62.64</v>
      </c>
      <c r="H182" s="755">
        <f t="shared" ref="H182" si="70">+E182-F182</f>
        <v>33273.67</v>
      </c>
      <c r="I182" s="756">
        <f t="shared" ref="I182" si="71">+F182/E182</f>
        <v>1.8790322024243237E-3</v>
      </c>
    </row>
    <row r="183" spans="1:9" x14ac:dyDescent="0.3">
      <c r="A183" s="744">
        <v>396</v>
      </c>
      <c r="B183" s="757" t="str">
        <f>+B184</f>
        <v>Otros gastos por responsabilidad</v>
      </c>
      <c r="C183" s="752"/>
      <c r="D183" s="752"/>
      <c r="E183" s="755"/>
      <c r="F183" s="752"/>
      <c r="G183" s="752"/>
      <c r="H183" s="755"/>
      <c r="I183" s="756"/>
    </row>
    <row r="184" spans="1:9" ht="17.25" thickBot="1" x14ac:dyDescent="0.35">
      <c r="A184" s="758">
        <v>39601</v>
      </c>
      <c r="B184" s="759" t="s">
        <v>757</v>
      </c>
      <c r="C184" s="760">
        <v>125000</v>
      </c>
      <c r="D184" s="760">
        <f>23200-52390</f>
        <v>-29190</v>
      </c>
      <c r="E184" s="761">
        <f>+C184+D184</f>
        <v>95810</v>
      </c>
      <c r="F184" s="760">
        <v>36692.75</v>
      </c>
      <c r="G184" s="760">
        <f>+F184</f>
        <v>36692.75</v>
      </c>
      <c r="H184" s="761">
        <f t="shared" ref="H184" si="72">+E184-F184</f>
        <v>59117.25</v>
      </c>
      <c r="I184" s="762">
        <f t="shared" ref="I184" si="73">+F184/E184</f>
        <v>0.38297411543680199</v>
      </c>
    </row>
    <row r="185" spans="1:9" ht="17.25" thickBot="1" x14ac:dyDescent="0.35">
      <c r="A185" s="763"/>
      <c r="B185" s="764" t="s">
        <v>387</v>
      </c>
      <c r="C185" s="765">
        <f t="shared" ref="C185:I185" si="74">+C10+C39+C96</f>
        <v>15323937.92</v>
      </c>
      <c r="D185" s="765">
        <f t="shared" si="74"/>
        <v>3126195.54</v>
      </c>
      <c r="E185" s="765">
        <f t="shared" si="74"/>
        <v>18450133.460000001</v>
      </c>
      <c r="F185" s="765">
        <f>+F10+F39+F96</f>
        <v>9598799.5999999996</v>
      </c>
      <c r="G185" s="765">
        <f>+G10+G39+G96</f>
        <v>9598799.5999999996</v>
      </c>
      <c r="H185" s="765">
        <f t="shared" si="74"/>
        <v>8851333.8599999994</v>
      </c>
      <c r="I185" s="765">
        <f t="shared" si="74"/>
        <v>36.797638437329908</v>
      </c>
    </row>
  </sheetData>
  <mergeCells count="8">
    <mergeCell ref="C6:E6"/>
    <mergeCell ref="H6:I6"/>
    <mergeCell ref="A7:B8"/>
    <mergeCell ref="A1:I1"/>
    <mergeCell ref="A2:I2"/>
    <mergeCell ref="A3:I3"/>
    <mergeCell ref="A4:I4"/>
    <mergeCell ref="A5:I5"/>
  </mergeCells>
  <pageMargins left="0.39370078740157483" right="0.39370078740157483" top="0.51181102362204722" bottom="0.19685039370078741" header="0.31496062992125984" footer="0.15748031496062992"/>
  <pageSetup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7" tint="-0.249977111117893"/>
  </sheetPr>
  <dimension ref="A1:J38"/>
  <sheetViews>
    <sheetView view="pageBreakPreview" topLeftCell="A28" zoomScaleNormal="100" zoomScaleSheetLayoutView="100" workbookViewId="0">
      <selection activeCell="D5" sqref="D5"/>
    </sheetView>
  </sheetViews>
  <sheetFormatPr baseColWidth="10" defaultColWidth="11.42578125" defaultRowHeight="16.5" x14ac:dyDescent="0.3"/>
  <cols>
    <col min="1" max="1" width="4.28515625" style="164" customWidth="1"/>
    <col min="2" max="2" width="41.5703125" style="132" customWidth="1"/>
    <col min="3" max="5" width="16.7109375" style="132" customWidth="1"/>
    <col min="6" max="16384" width="11.42578125" style="132"/>
  </cols>
  <sheetData>
    <row r="1" spans="1:7" x14ac:dyDescent="0.3">
      <c r="A1" s="889" t="s">
        <v>76</v>
      </c>
      <c r="B1" s="889"/>
      <c r="C1" s="889"/>
      <c r="D1" s="889"/>
      <c r="E1" s="889"/>
    </row>
    <row r="2" spans="1:7" x14ac:dyDescent="0.3">
      <c r="A2" s="893" t="s">
        <v>51</v>
      </c>
      <c r="B2" s="893"/>
      <c r="C2" s="893"/>
      <c r="D2" s="893"/>
      <c r="E2" s="893"/>
    </row>
    <row r="3" spans="1:7" x14ac:dyDescent="0.3">
      <c r="A3" s="806" t="s">
        <v>642</v>
      </c>
      <c r="B3" s="806"/>
      <c r="C3" s="806"/>
      <c r="D3" s="806"/>
      <c r="E3" s="806"/>
      <c r="G3" s="445"/>
    </row>
    <row r="4" spans="1:7" x14ac:dyDescent="0.3">
      <c r="A4" s="806" t="s">
        <v>647</v>
      </c>
      <c r="B4" s="806"/>
      <c r="C4" s="806"/>
      <c r="D4" s="806"/>
      <c r="E4" s="806"/>
    </row>
    <row r="5" spans="1:7" ht="17.25" thickBot="1" x14ac:dyDescent="0.35">
      <c r="A5" s="446"/>
      <c r="B5" s="893" t="s">
        <v>511</v>
      </c>
      <c r="C5" s="893"/>
      <c r="D5" s="74" t="s">
        <v>79</v>
      </c>
      <c r="E5" s="446" t="s">
        <v>644</v>
      </c>
    </row>
    <row r="6" spans="1:7" s="284" customFormat="1" ht="30" customHeight="1" x14ac:dyDescent="0.25">
      <c r="A6" s="894" t="s">
        <v>512</v>
      </c>
      <c r="B6" s="895"/>
      <c r="C6" s="447" t="s">
        <v>513</v>
      </c>
      <c r="D6" s="448" t="s">
        <v>514</v>
      </c>
      <c r="E6" s="449" t="s">
        <v>51</v>
      </c>
    </row>
    <row r="7" spans="1:7" s="284" customFormat="1" ht="30" customHeight="1" thickBot="1" x14ac:dyDescent="0.3">
      <c r="A7" s="896"/>
      <c r="B7" s="897"/>
      <c r="C7" s="450" t="s">
        <v>515</v>
      </c>
      <c r="D7" s="450" t="s">
        <v>516</v>
      </c>
      <c r="E7" s="451" t="s">
        <v>517</v>
      </c>
    </row>
    <row r="8" spans="1:7" s="284" customFormat="1" ht="21" customHeight="1" x14ac:dyDescent="0.25">
      <c r="A8" s="898" t="s">
        <v>518</v>
      </c>
      <c r="B8" s="899"/>
      <c r="C8" s="899"/>
      <c r="D8" s="899"/>
      <c r="E8" s="900"/>
    </row>
    <row r="9" spans="1:7" s="284" customFormat="1" ht="20.25" customHeight="1" x14ac:dyDescent="0.25">
      <c r="A9" s="452">
        <v>1</v>
      </c>
      <c r="B9" s="453"/>
      <c r="C9" s="454"/>
      <c r="D9" s="455"/>
      <c r="E9" s="465" t="str">
        <f>IF(B9="","",C9-D9)</f>
        <v/>
      </c>
    </row>
    <row r="10" spans="1:7" s="284" customFormat="1" ht="20.25" customHeight="1" x14ac:dyDescent="0.25">
      <c r="A10" s="452">
        <v>2</v>
      </c>
      <c r="B10" s="453" t="s">
        <v>652</v>
      </c>
      <c r="C10" s="454"/>
      <c r="D10" s="455"/>
      <c r="E10" s="465">
        <f t="shared" ref="E10:E18" si="0">IF(B10="","",C10-D10)</f>
        <v>0</v>
      </c>
    </row>
    <row r="11" spans="1:7" s="284" customFormat="1" ht="20.25" customHeight="1" x14ac:dyDescent="0.25">
      <c r="A11" s="452">
        <v>3</v>
      </c>
      <c r="B11" s="453"/>
      <c r="C11" s="454"/>
      <c r="D11" s="455"/>
      <c r="E11" s="465" t="str">
        <f t="shared" si="0"/>
        <v/>
      </c>
    </row>
    <row r="12" spans="1:7" s="284" customFormat="1" ht="20.25" customHeight="1" x14ac:dyDescent="0.25">
      <c r="A12" s="452">
        <v>4</v>
      </c>
      <c r="B12" s="453"/>
      <c r="C12" s="454"/>
      <c r="D12" s="455"/>
      <c r="E12" s="465" t="str">
        <f t="shared" si="0"/>
        <v/>
      </c>
    </row>
    <row r="13" spans="1:7" s="284" customFormat="1" ht="20.25" customHeight="1" x14ac:dyDescent="0.25">
      <c r="A13" s="452">
        <v>5</v>
      </c>
      <c r="B13" s="453"/>
      <c r="C13" s="454"/>
      <c r="D13" s="455"/>
      <c r="E13" s="465" t="str">
        <f t="shared" si="0"/>
        <v/>
      </c>
    </row>
    <row r="14" spans="1:7" s="284" customFormat="1" ht="20.25" customHeight="1" x14ac:dyDescent="0.25">
      <c r="A14" s="452">
        <v>6</v>
      </c>
      <c r="B14" s="453"/>
      <c r="C14" s="454"/>
      <c r="D14" s="455"/>
      <c r="E14" s="465" t="str">
        <f t="shared" si="0"/>
        <v/>
      </c>
    </row>
    <row r="15" spans="1:7" s="284" customFormat="1" ht="20.25" customHeight="1" x14ac:dyDescent="0.25">
      <c r="A15" s="452">
        <v>7</v>
      </c>
      <c r="B15" s="453"/>
      <c r="C15" s="454"/>
      <c r="D15" s="455"/>
      <c r="E15" s="465" t="str">
        <f t="shared" si="0"/>
        <v/>
      </c>
    </row>
    <row r="16" spans="1:7" s="284" customFormat="1" ht="20.25" customHeight="1" x14ac:dyDescent="0.25">
      <c r="A16" s="452">
        <v>8</v>
      </c>
      <c r="B16" s="453"/>
      <c r="C16" s="454"/>
      <c r="D16" s="455"/>
      <c r="E16" s="465" t="str">
        <f t="shared" si="0"/>
        <v/>
      </c>
    </row>
    <row r="17" spans="1:5" s="284" customFormat="1" ht="20.25" customHeight="1" x14ac:dyDescent="0.25">
      <c r="A17" s="452">
        <v>9</v>
      </c>
      <c r="B17" s="453"/>
      <c r="C17" s="454"/>
      <c r="D17" s="455"/>
      <c r="E17" s="465" t="str">
        <f t="shared" si="0"/>
        <v/>
      </c>
    </row>
    <row r="18" spans="1:5" s="284" customFormat="1" ht="20.25" customHeight="1" x14ac:dyDescent="0.25">
      <c r="A18" s="452">
        <v>10</v>
      </c>
      <c r="B18" s="453"/>
      <c r="C18" s="454"/>
      <c r="D18" s="455"/>
      <c r="E18" s="465" t="str">
        <f t="shared" si="0"/>
        <v/>
      </c>
    </row>
    <row r="19" spans="1:5" s="284" customFormat="1" ht="20.25" customHeight="1" x14ac:dyDescent="0.25">
      <c r="A19" s="452"/>
      <c r="B19" s="457" t="s">
        <v>519</v>
      </c>
      <c r="C19" s="463">
        <f>SUM(C9:C18)</f>
        <v>0</v>
      </c>
      <c r="D19" s="464">
        <f>SUM(D9:D18)</f>
        <v>0</v>
      </c>
      <c r="E19" s="465">
        <f>SUM(E9:E18)</f>
        <v>0</v>
      </c>
    </row>
    <row r="20" spans="1:5" s="284" customFormat="1" ht="21" customHeight="1" x14ac:dyDescent="0.25">
      <c r="A20" s="890" t="s">
        <v>520</v>
      </c>
      <c r="B20" s="891"/>
      <c r="C20" s="891"/>
      <c r="D20" s="891"/>
      <c r="E20" s="892"/>
    </row>
    <row r="21" spans="1:5" s="284" customFormat="1" ht="20.25" customHeight="1" x14ac:dyDescent="0.25">
      <c r="A21" s="452">
        <v>1</v>
      </c>
      <c r="B21" s="453"/>
      <c r="C21" s="454"/>
      <c r="D21" s="455"/>
      <c r="E21" s="465" t="str">
        <f>IF(B21="","",C21-D21)</f>
        <v/>
      </c>
    </row>
    <row r="22" spans="1:5" s="284" customFormat="1" ht="20.25" customHeight="1" x14ac:dyDescent="0.25">
      <c r="A22" s="452">
        <v>2</v>
      </c>
      <c r="B22" s="453"/>
      <c r="C22" s="454"/>
      <c r="D22" s="455"/>
      <c r="E22" s="465" t="str">
        <f t="shared" ref="E22:E30" si="1">IF(B22="","",C22-D22)</f>
        <v/>
      </c>
    </row>
    <row r="23" spans="1:5" s="284" customFormat="1" ht="20.25" customHeight="1" x14ac:dyDescent="0.25">
      <c r="A23" s="452">
        <v>3</v>
      </c>
      <c r="B23" s="453"/>
      <c r="C23" s="454"/>
      <c r="D23" s="455"/>
      <c r="E23" s="465" t="str">
        <f t="shared" si="1"/>
        <v/>
      </c>
    </row>
    <row r="24" spans="1:5" s="284" customFormat="1" ht="20.25" customHeight="1" x14ac:dyDescent="0.25">
      <c r="A24" s="452">
        <v>4</v>
      </c>
      <c r="B24" s="453"/>
      <c r="C24" s="454"/>
      <c r="D24" s="455"/>
      <c r="E24" s="465" t="str">
        <f t="shared" si="1"/>
        <v/>
      </c>
    </row>
    <row r="25" spans="1:5" s="284" customFormat="1" ht="20.25" customHeight="1" x14ac:dyDescent="0.25">
      <c r="A25" s="452">
        <v>5</v>
      </c>
      <c r="B25" s="453"/>
      <c r="C25" s="454"/>
      <c r="D25" s="455"/>
      <c r="E25" s="465" t="str">
        <f t="shared" si="1"/>
        <v/>
      </c>
    </row>
    <row r="26" spans="1:5" s="284" customFormat="1" ht="20.25" customHeight="1" x14ac:dyDescent="0.25">
      <c r="A26" s="452">
        <v>6</v>
      </c>
      <c r="B26" s="453"/>
      <c r="C26" s="454"/>
      <c r="D26" s="455"/>
      <c r="E26" s="465" t="str">
        <f t="shared" si="1"/>
        <v/>
      </c>
    </row>
    <row r="27" spans="1:5" s="284" customFormat="1" ht="20.25" customHeight="1" x14ac:dyDescent="0.25">
      <c r="A27" s="452">
        <v>7</v>
      </c>
      <c r="B27" s="453"/>
      <c r="C27" s="454"/>
      <c r="D27" s="455"/>
      <c r="E27" s="465" t="str">
        <f t="shared" si="1"/>
        <v/>
      </c>
    </row>
    <row r="28" spans="1:5" s="284" customFormat="1" ht="20.25" customHeight="1" x14ac:dyDescent="0.25">
      <c r="A28" s="452">
        <v>8</v>
      </c>
      <c r="B28" s="453"/>
      <c r="C28" s="454"/>
      <c r="D28" s="455"/>
      <c r="E28" s="465" t="str">
        <f>IF(B28="","",C28-D29)</f>
        <v/>
      </c>
    </row>
    <row r="29" spans="1:5" s="284" customFormat="1" ht="20.25" customHeight="1" x14ac:dyDescent="0.25">
      <c r="A29" s="452">
        <v>9</v>
      </c>
      <c r="B29" s="453"/>
      <c r="C29" s="454"/>
      <c r="D29" s="455"/>
      <c r="E29" s="465" t="str">
        <f>IF(B29="","",C29-#REF!)</f>
        <v/>
      </c>
    </row>
    <row r="30" spans="1:5" s="284" customFormat="1" ht="20.25" customHeight="1" x14ac:dyDescent="0.25">
      <c r="A30" s="452">
        <v>10</v>
      </c>
      <c r="B30" s="453"/>
      <c r="C30" s="454"/>
      <c r="D30" s="455"/>
      <c r="E30" s="465" t="str">
        <f t="shared" si="1"/>
        <v/>
      </c>
    </row>
    <row r="31" spans="1:5" s="459" customFormat="1" ht="39.950000000000003" customHeight="1" thickBot="1" x14ac:dyDescent="0.35">
      <c r="A31" s="452"/>
      <c r="B31" s="458" t="s">
        <v>521</v>
      </c>
      <c r="C31" s="463">
        <f>SUM(C21:C30)</f>
        <v>0</v>
      </c>
      <c r="D31" s="464">
        <f>SUM(D21:D30)</f>
        <v>0</v>
      </c>
      <c r="E31" s="465">
        <f>SUM(E21:E30)</f>
        <v>0</v>
      </c>
    </row>
    <row r="32" spans="1:5" ht="30" customHeight="1" thickBot="1" x14ac:dyDescent="0.35">
      <c r="A32" s="460"/>
      <c r="B32" s="461" t="s">
        <v>522</v>
      </c>
      <c r="C32" s="466">
        <f>SUM(C19,C31)</f>
        <v>0</v>
      </c>
      <c r="D32" s="466">
        <f t="shared" ref="D32:E32" si="2">SUM(D19,D31)</f>
        <v>0</v>
      </c>
      <c r="E32" s="467">
        <f t="shared" si="2"/>
        <v>0</v>
      </c>
    </row>
    <row r="33" spans="1:10" ht="17.100000000000001" customHeight="1" x14ac:dyDescent="0.3">
      <c r="A33" s="586" t="s">
        <v>138</v>
      </c>
    </row>
    <row r="34" spans="1:10" ht="17.100000000000001" customHeight="1" x14ac:dyDescent="0.3">
      <c r="A34" s="664"/>
      <c r="B34" s="665"/>
      <c r="C34" s="666"/>
      <c r="D34" s="666"/>
      <c r="E34" s="666"/>
    </row>
    <row r="35" spans="1:10" ht="17.100000000000001" customHeight="1" x14ac:dyDescent="0.3">
      <c r="A35" s="664"/>
      <c r="B35" s="665"/>
      <c r="C35" s="666"/>
      <c r="D35" s="666"/>
      <c r="E35" s="666"/>
    </row>
    <row r="36" spans="1:10" ht="17.100000000000001" customHeight="1" x14ac:dyDescent="0.3">
      <c r="A36" s="664"/>
      <c r="B36" s="665"/>
      <c r="C36" s="666"/>
      <c r="D36" s="666"/>
      <c r="E36" s="666"/>
    </row>
    <row r="37" spans="1:10" ht="17.100000000000001" customHeight="1" x14ac:dyDescent="0.3">
      <c r="A37" s="664"/>
      <c r="B37" s="665"/>
      <c r="C37" s="666"/>
      <c r="D37" s="666"/>
      <c r="E37" s="666"/>
    </row>
    <row r="38" spans="1:10" ht="17.100000000000001" customHeight="1" x14ac:dyDescent="0.3">
      <c r="A38" s="72" t="s">
        <v>144</v>
      </c>
      <c r="J38" s="462"/>
    </row>
  </sheetData>
  <sheetProtection algorithmName="SHA-512" hashValue="asFJ0dEyV9qIUkNO4JKmHhwQoOiVoNBXUvfo317sEZUO7oUpp9SnPrUcZbgOU6Se8bXyeCpXjSC07Tf4pOmb/Q==" saltValue="wpL7y+LYapOQuPI4FYpTYQ==" spinCount="100000" sheet="1" objects="1" scenarios="1" insertHyperlinks="0" selectLockedCells="1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7" tint="-0.249977111117893"/>
  </sheetPr>
  <dimension ref="A1:I38"/>
  <sheetViews>
    <sheetView view="pageBreakPreview" topLeftCell="A25" zoomScale="90" zoomScaleNormal="100" zoomScaleSheetLayoutView="90" workbookViewId="0">
      <selection activeCell="D5" sqref="D5"/>
    </sheetView>
  </sheetViews>
  <sheetFormatPr baseColWidth="10" defaultColWidth="11.42578125" defaultRowHeight="16.5" x14ac:dyDescent="0.3"/>
  <cols>
    <col min="1" max="1" width="4.85546875" style="164" customWidth="1"/>
    <col min="2" max="2" width="41" style="132" customWidth="1"/>
    <col min="3" max="4" width="25.7109375" style="132" customWidth="1"/>
    <col min="5" max="16384" width="11.42578125" style="132"/>
  </cols>
  <sheetData>
    <row r="1" spans="1:6" x14ac:dyDescent="0.3">
      <c r="A1" s="468"/>
      <c r="B1" s="889" t="s">
        <v>76</v>
      </c>
      <c r="C1" s="889"/>
      <c r="D1" s="889"/>
    </row>
    <row r="2" spans="1:6" x14ac:dyDescent="0.3">
      <c r="A2" s="132"/>
      <c r="B2" s="893" t="s">
        <v>523</v>
      </c>
      <c r="C2" s="893"/>
      <c r="D2" s="893"/>
      <c r="F2" s="445"/>
    </row>
    <row r="3" spans="1:6" x14ac:dyDescent="0.3">
      <c r="B3" s="806" t="s">
        <v>642</v>
      </c>
      <c r="C3" s="806"/>
      <c r="D3" s="806"/>
    </row>
    <row r="4" spans="1:6" x14ac:dyDescent="0.3">
      <c r="B4" s="806" t="s">
        <v>647</v>
      </c>
      <c r="C4" s="806"/>
      <c r="D4" s="806"/>
    </row>
    <row r="5" spans="1:6" x14ac:dyDescent="0.3">
      <c r="A5" s="723"/>
      <c r="B5" s="893" t="s">
        <v>524</v>
      </c>
      <c r="C5" s="893"/>
      <c r="D5" s="335" t="s">
        <v>653</v>
      </c>
    </row>
    <row r="6" spans="1:6" ht="6.75" customHeight="1" thickBot="1" x14ac:dyDescent="0.35"/>
    <row r="7" spans="1:6" s="284" customFormat="1" ht="27.95" customHeight="1" x14ac:dyDescent="0.25">
      <c r="A7" s="894" t="s">
        <v>512</v>
      </c>
      <c r="B7" s="895"/>
      <c r="C7" s="901" t="s">
        <v>525</v>
      </c>
      <c r="D7" s="903" t="s">
        <v>526</v>
      </c>
    </row>
    <row r="8" spans="1:6" s="284" customFormat="1" ht="4.5" customHeight="1" thickBot="1" x14ac:dyDescent="0.3">
      <c r="A8" s="896"/>
      <c r="B8" s="897"/>
      <c r="C8" s="902"/>
      <c r="D8" s="904"/>
    </row>
    <row r="9" spans="1:6" s="284" customFormat="1" ht="21" customHeight="1" x14ac:dyDescent="0.25">
      <c r="A9" s="898" t="s">
        <v>518</v>
      </c>
      <c r="B9" s="899"/>
      <c r="C9" s="899"/>
      <c r="D9" s="900"/>
    </row>
    <row r="10" spans="1:6" s="284" customFormat="1" ht="18" customHeight="1" x14ac:dyDescent="0.25">
      <c r="A10" s="452">
        <v>1</v>
      </c>
      <c r="B10" s="453"/>
      <c r="C10" s="469"/>
      <c r="D10" s="470"/>
    </row>
    <row r="11" spans="1:6" s="284" customFormat="1" ht="18" customHeight="1" x14ac:dyDescent="0.25">
      <c r="A11" s="452">
        <v>2</v>
      </c>
      <c r="B11" s="453"/>
      <c r="C11" s="469"/>
      <c r="D11" s="470"/>
    </row>
    <row r="12" spans="1:6" s="284" customFormat="1" ht="18" customHeight="1" x14ac:dyDescent="0.25">
      <c r="A12" s="452">
        <v>3</v>
      </c>
      <c r="B12" s="453" t="s">
        <v>652</v>
      </c>
      <c r="C12" s="469"/>
      <c r="D12" s="470"/>
    </row>
    <row r="13" spans="1:6" s="284" customFormat="1" ht="18" customHeight="1" x14ac:dyDescent="0.25">
      <c r="A13" s="452">
        <v>4</v>
      </c>
      <c r="B13" s="453"/>
      <c r="C13" s="469"/>
      <c r="D13" s="470"/>
    </row>
    <row r="14" spans="1:6" s="284" customFormat="1" ht="18" customHeight="1" x14ac:dyDescent="0.25">
      <c r="A14" s="452">
        <v>5</v>
      </c>
      <c r="B14" s="453"/>
      <c r="C14" s="469"/>
      <c r="D14" s="470"/>
    </row>
    <row r="15" spans="1:6" s="284" customFormat="1" ht="18" customHeight="1" x14ac:dyDescent="0.25">
      <c r="A15" s="452">
        <v>6</v>
      </c>
      <c r="B15" s="453"/>
      <c r="C15" s="469"/>
      <c r="D15" s="470"/>
    </row>
    <row r="16" spans="1:6" s="284" customFormat="1" ht="18" customHeight="1" x14ac:dyDescent="0.25">
      <c r="A16" s="452">
        <v>7</v>
      </c>
      <c r="B16" s="453"/>
      <c r="C16" s="469"/>
      <c r="D16" s="470"/>
    </row>
    <row r="17" spans="1:4" s="284" customFormat="1" ht="18" customHeight="1" x14ac:dyDescent="0.25">
      <c r="A17" s="452">
        <v>8</v>
      </c>
      <c r="B17" s="453"/>
      <c r="C17" s="469"/>
      <c r="D17" s="470"/>
    </row>
    <row r="18" spans="1:4" s="284" customFormat="1" ht="18" customHeight="1" x14ac:dyDescent="0.25">
      <c r="A18" s="452">
        <v>9</v>
      </c>
      <c r="B18" s="453"/>
      <c r="C18" s="469"/>
      <c r="D18" s="470"/>
    </row>
    <row r="19" spans="1:4" s="284" customFormat="1" ht="18" customHeight="1" x14ac:dyDescent="0.25">
      <c r="A19" s="452">
        <v>10</v>
      </c>
      <c r="B19" s="453"/>
      <c r="C19" s="469"/>
      <c r="D19" s="470"/>
    </row>
    <row r="20" spans="1:4" s="284" customFormat="1" ht="18" customHeight="1" x14ac:dyDescent="0.25">
      <c r="A20" s="452"/>
      <c r="B20" s="457" t="s">
        <v>527</v>
      </c>
      <c r="C20" s="463">
        <f>SUM(C10:C19)</f>
        <v>0</v>
      </c>
      <c r="D20" s="465">
        <f>SUM(D10:D19)</f>
        <v>0</v>
      </c>
    </row>
    <row r="21" spans="1:4" s="284" customFormat="1" ht="21" customHeight="1" x14ac:dyDescent="0.25">
      <c r="A21" s="890" t="s">
        <v>520</v>
      </c>
      <c r="B21" s="891"/>
      <c r="C21" s="891"/>
      <c r="D21" s="892"/>
    </row>
    <row r="22" spans="1:4" s="284" customFormat="1" ht="18" customHeight="1" x14ac:dyDescent="0.25">
      <c r="A22" s="452">
        <v>1</v>
      </c>
      <c r="B22" s="453"/>
      <c r="C22" s="469"/>
      <c r="D22" s="470"/>
    </row>
    <row r="23" spans="1:4" s="284" customFormat="1" ht="18" customHeight="1" x14ac:dyDescent="0.25">
      <c r="A23" s="452">
        <v>2</v>
      </c>
      <c r="B23" s="453"/>
      <c r="C23" s="469"/>
      <c r="D23" s="470"/>
    </row>
    <row r="24" spans="1:4" s="284" customFormat="1" ht="18" customHeight="1" x14ac:dyDescent="0.25">
      <c r="A24" s="452">
        <v>3</v>
      </c>
      <c r="B24" s="453"/>
      <c r="C24" s="469"/>
      <c r="D24" s="470"/>
    </row>
    <row r="25" spans="1:4" s="284" customFormat="1" ht="18" customHeight="1" x14ac:dyDescent="0.25">
      <c r="A25" s="452">
        <v>4</v>
      </c>
      <c r="B25" s="453"/>
      <c r="C25" s="469"/>
      <c r="D25" s="470"/>
    </row>
    <row r="26" spans="1:4" s="284" customFormat="1" ht="18" customHeight="1" x14ac:dyDescent="0.25">
      <c r="A26" s="452">
        <v>5</v>
      </c>
      <c r="B26" s="453"/>
      <c r="C26" s="469"/>
      <c r="D26" s="470"/>
    </row>
    <row r="27" spans="1:4" s="284" customFormat="1" ht="18" customHeight="1" x14ac:dyDescent="0.25">
      <c r="A27" s="452">
        <v>6</v>
      </c>
      <c r="B27" s="453"/>
      <c r="C27" s="469"/>
      <c r="D27" s="470"/>
    </row>
    <row r="28" spans="1:4" s="284" customFormat="1" ht="18" customHeight="1" x14ac:dyDescent="0.25">
      <c r="A28" s="452">
        <v>7</v>
      </c>
      <c r="B28" s="453"/>
      <c r="C28" s="469"/>
      <c r="D28" s="470"/>
    </row>
    <row r="29" spans="1:4" s="284" customFormat="1" ht="18" customHeight="1" x14ac:dyDescent="0.25">
      <c r="A29" s="452">
        <v>8</v>
      </c>
      <c r="B29" s="453"/>
      <c r="C29" s="469"/>
      <c r="D29" s="470"/>
    </row>
    <row r="30" spans="1:4" s="284" customFormat="1" ht="18" customHeight="1" x14ac:dyDescent="0.25">
      <c r="A30" s="452">
        <v>9</v>
      </c>
      <c r="B30" s="453"/>
      <c r="C30" s="469"/>
      <c r="D30" s="470"/>
    </row>
    <row r="31" spans="1:4" s="284" customFormat="1" ht="18" customHeight="1" x14ac:dyDescent="0.25">
      <c r="A31" s="452">
        <v>10</v>
      </c>
      <c r="B31" s="453"/>
      <c r="C31" s="469" t="s">
        <v>144</v>
      </c>
      <c r="D31" s="470"/>
    </row>
    <row r="32" spans="1:4" s="459" customFormat="1" ht="18" customHeight="1" thickBot="1" x14ac:dyDescent="0.35">
      <c r="A32" s="452"/>
      <c r="B32" s="458" t="s">
        <v>528</v>
      </c>
      <c r="C32" s="463">
        <f>SUM(C22:C31)</f>
        <v>0</v>
      </c>
      <c r="D32" s="465">
        <f>SUM(D22:D31)</f>
        <v>0</v>
      </c>
    </row>
    <row r="33" spans="1:9" ht="27.95" customHeight="1" thickBot="1" x14ac:dyDescent="0.35">
      <c r="A33" s="460"/>
      <c r="B33" s="461" t="s">
        <v>522</v>
      </c>
      <c r="C33" s="466">
        <f>SUM(C32,C20)</f>
        <v>0</v>
      </c>
      <c r="D33" s="471">
        <f>SUM(D32,D20)</f>
        <v>0</v>
      </c>
    </row>
    <row r="34" spans="1:9" s="667" customFormat="1" ht="18" customHeight="1" x14ac:dyDescent="0.3">
      <c r="A34" s="586" t="s">
        <v>138</v>
      </c>
      <c r="B34" s="132"/>
      <c r="C34" s="132"/>
      <c r="D34" s="132"/>
      <c r="E34" s="132"/>
    </row>
    <row r="35" spans="1:9" s="667" customFormat="1" ht="18" customHeight="1" x14ac:dyDescent="0.3">
      <c r="A35" s="72"/>
      <c r="B35" s="132"/>
      <c r="C35" s="132"/>
      <c r="D35" s="132"/>
      <c r="E35" s="132"/>
    </row>
    <row r="36" spans="1:9" s="667" customFormat="1" ht="18" customHeight="1" x14ac:dyDescent="0.3">
      <c r="A36" s="72"/>
      <c r="B36" s="132"/>
      <c r="C36" s="132"/>
      <c r="D36" s="132"/>
      <c r="E36" s="132"/>
    </row>
    <row r="37" spans="1:9" s="668" customFormat="1" ht="17.100000000000001" customHeight="1" x14ac:dyDescent="0.3">
      <c r="A37" s="664"/>
      <c r="B37" s="665"/>
      <c r="C37" s="666"/>
      <c r="D37" s="666"/>
    </row>
    <row r="38" spans="1:9" ht="17.100000000000001" customHeight="1" x14ac:dyDescent="0.3">
      <c r="A38" s="72"/>
      <c r="I38" s="462"/>
    </row>
  </sheetData>
  <sheetProtection algorithmName="SHA-512" hashValue="WblkR/rz8i3PbokF/OdZiEo6XM9t8kGmS1r0+I11R8HpBXU71yz96/IE2iXuEIuQraKdoJuqRUsoiqt+d6Z5PA==" saltValue="ytmbyXk4GZOg3sGKxE4wjA==" spinCount="100000" sheet="1" objects="1" scenarios="1" insertHyperlinks="0" selectLockedCells="1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5"/>
  <sheetViews>
    <sheetView view="pageBreakPreview" topLeftCell="A19" zoomScaleNormal="100" zoomScaleSheetLayoutView="100" workbookViewId="0">
      <selection activeCell="F15" sqref="F15"/>
    </sheetView>
  </sheetViews>
  <sheetFormatPr baseColWidth="10" defaultColWidth="11.42578125" defaultRowHeight="15" x14ac:dyDescent="0.25"/>
  <cols>
    <col min="1" max="1" width="47.5703125" style="482" bestFit="1" customWidth="1"/>
    <col min="2" max="2" width="11.42578125" style="472"/>
    <col min="3" max="3" width="12.28515625" style="472" customWidth="1"/>
    <col min="4" max="16384" width="11.42578125" style="472"/>
  </cols>
  <sheetData>
    <row r="1" spans="1:7" ht="16.5" customHeight="1" x14ac:dyDescent="0.25">
      <c r="A1" s="905" t="s">
        <v>76</v>
      </c>
      <c r="B1" s="905"/>
      <c r="C1" s="905"/>
      <c r="D1" s="905"/>
      <c r="E1" s="905"/>
      <c r="F1" s="905"/>
      <c r="G1" s="905"/>
    </row>
    <row r="2" spans="1:7" ht="16.5" customHeight="1" x14ac:dyDescent="0.25">
      <c r="A2" s="905" t="s">
        <v>529</v>
      </c>
      <c r="B2" s="905"/>
      <c r="C2" s="905"/>
      <c r="D2" s="905"/>
      <c r="E2" s="905"/>
      <c r="F2" s="905"/>
      <c r="G2" s="905"/>
    </row>
    <row r="3" spans="1:7" ht="16.5" x14ac:dyDescent="0.25">
      <c r="A3" s="906" t="s">
        <v>758</v>
      </c>
      <c r="B3" s="906"/>
      <c r="C3" s="906"/>
      <c r="D3" s="906"/>
      <c r="E3" s="906"/>
      <c r="F3" s="906"/>
      <c r="G3" s="906"/>
    </row>
    <row r="4" spans="1:7" ht="16.5" x14ac:dyDescent="0.25">
      <c r="A4" s="906" t="s">
        <v>647</v>
      </c>
      <c r="B4" s="906"/>
      <c r="C4" s="906"/>
      <c r="D4" s="906"/>
      <c r="E4" s="906"/>
      <c r="F4" s="906"/>
      <c r="G4" s="906"/>
    </row>
    <row r="5" spans="1:7" ht="17.25" thickBot="1" x14ac:dyDescent="0.3">
      <c r="A5" s="473"/>
      <c r="B5" s="818" t="s">
        <v>78</v>
      </c>
      <c r="C5" s="818"/>
      <c r="D5" s="818"/>
      <c r="E5" s="227"/>
      <c r="F5" s="74" t="s">
        <v>786</v>
      </c>
      <c r="G5" s="673"/>
    </row>
    <row r="6" spans="1:7" ht="38.25" x14ac:dyDescent="0.25">
      <c r="A6" s="875" t="s">
        <v>199</v>
      </c>
      <c r="B6" s="281" t="s">
        <v>330</v>
      </c>
      <c r="C6" s="281" t="s">
        <v>331</v>
      </c>
      <c r="D6" s="281" t="s">
        <v>332</v>
      </c>
      <c r="E6" s="282" t="s">
        <v>530</v>
      </c>
      <c r="F6" s="282" t="s">
        <v>531</v>
      </c>
      <c r="G6" s="281" t="s">
        <v>335</v>
      </c>
    </row>
    <row r="7" spans="1:7" ht="15.75" thickBot="1" x14ac:dyDescent="0.3">
      <c r="A7" s="876"/>
      <c r="B7" s="390" t="s">
        <v>280</v>
      </c>
      <c r="C7" s="390" t="s">
        <v>281</v>
      </c>
      <c r="D7" s="390" t="s">
        <v>336</v>
      </c>
      <c r="E7" s="474" t="s">
        <v>283</v>
      </c>
      <c r="F7" s="474" t="s">
        <v>284</v>
      </c>
      <c r="G7" s="390" t="s">
        <v>337</v>
      </c>
    </row>
    <row r="8" spans="1:7" ht="16.5" x14ac:dyDescent="0.25">
      <c r="A8" s="483"/>
      <c r="B8" s="475"/>
      <c r="C8" s="475"/>
      <c r="D8" s="475"/>
      <c r="E8" s="475"/>
      <c r="F8" s="475"/>
      <c r="G8" s="475"/>
    </row>
    <row r="9" spans="1:7" s="478" customFormat="1" x14ac:dyDescent="0.25">
      <c r="A9" s="476" t="s">
        <v>532</v>
      </c>
      <c r="B9" s="477"/>
      <c r="C9" s="477"/>
      <c r="D9" s="477"/>
      <c r="E9" s="477"/>
      <c r="F9" s="477"/>
      <c r="G9" s="477"/>
    </row>
    <row r="10" spans="1:7" s="480" customFormat="1" x14ac:dyDescent="0.25">
      <c r="A10" s="479" t="s">
        <v>533</v>
      </c>
      <c r="B10" s="590">
        <f>B11+B12+B13</f>
        <v>0</v>
      </c>
      <c r="C10" s="590">
        <f>C11+C12+C13</f>
        <v>0</v>
      </c>
      <c r="D10" s="590">
        <f>SUM(D11:D13)</f>
        <v>0</v>
      </c>
      <c r="E10" s="590">
        <f>E11+E12+E13</f>
        <v>0</v>
      </c>
      <c r="F10" s="590">
        <f>F11+F12+F13</f>
        <v>0</v>
      </c>
      <c r="G10" s="590">
        <f>SUM(G11:G13)</f>
        <v>0</v>
      </c>
    </row>
    <row r="11" spans="1:7" s="481" customFormat="1" x14ac:dyDescent="0.25">
      <c r="A11" s="484" t="s">
        <v>534</v>
      </c>
      <c r="B11" s="591"/>
      <c r="C11" s="591"/>
      <c r="D11" s="592">
        <f t="shared" ref="D11:D13" si="0">B11+C11</f>
        <v>0</v>
      </c>
      <c r="E11" s="591"/>
      <c r="F11" s="591"/>
      <c r="G11" s="592">
        <f>D11-E11</f>
        <v>0</v>
      </c>
    </row>
    <row r="12" spans="1:7" s="481" customFormat="1" x14ac:dyDescent="0.25">
      <c r="A12" s="484" t="s">
        <v>535</v>
      </c>
      <c r="B12" s="591"/>
      <c r="C12" s="591"/>
      <c r="D12" s="592">
        <f t="shared" si="0"/>
        <v>0</v>
      </c>
      <c r="E12" s="591"/>
      <c r="F12" s="591"/>
      <c r="G12" s="592">
        <f t="shared" ref="G12:G13" si="1">D12-E12</f>
        <v>0</v>
      </c>
    </row>
    <row r="13" spans="1:7" s="481" customFormat="1" x14ac:dyDescent="0.25">
      <c r="A13" s="484" t="s">
        <v>536</v>
      </c>
      <c r="B13" s="591"/>
      <c r="C13" s="591"/>
      <c r="D13" s="592">
        <f t="shared" si="0"/>
        <v>0</v>
      </c>
      <c r="E13" s="591"/>
      <c r="F13" s="591"/>
      <c r="G13" s="592">
        <f t="shared" si="1"/>
        <v>0</v>
      </c>
    </row>
    <row r="14" spans="1:7" s="480" customFormat="1" x14ac:dyDescent="0.25">
      <c r="A14" s="479" t="s">
        <v>537</v>
      </c>
      <c r="B14" s="590">
        <f t="shared" ref="B14:G14" si="2">SUM(B15:B22)</f>
        <v>15323938</v>
      </c>
      <c r="C14" s="590">
        <f t="shared" si="2"/>
        <v>3126196</v>
      </c>
      <c r="D14" s="590">
        <f t="shared" si="2"/>
        <v>18450134</v>
      </c>
      <c r="E14" s="590">
        <f t="shared" si="2"/>
        <v>9598800</v>
      </c>
      <c r="F14" s="590">
        <f t="shared" si="2"/>
        <v>9598800</v>
      </c>
      <c r="G14" s="590">
        <f t="shared" si="2"/>
        <v>8851334</v>
      </c>
    </row>
    <row r="15" spans="1:7" s="481" customFormat="1" x14ac:dyDescent="0.25">
      <c r="A15" s="484" t="s">
        <v>538</v>
      </c>
      <c r="B15" s="591">
        <f>+'ETCA-II-11 '!B81</f>
        <v>15323938</v>
      </c>
      <c r="C15" s="591">
        <f>+'ETCA-II-11 '!C81</f>
        <v>3126196</v>
      </c>
      <c r="D15" s="592">
        <f t="shared" ref="D15:D22" si="3">B15+C15</f>
        <v>18450134</v>
      </c>
      <c r="E15" s="591">
        <f>+'ETCA-II-11 '!E81</f>
        <v>9598800</v>
      </c>
      <c r="F15" s="591">
        <f>+'ETCA-II-11 '!F81</f>
        <v>9598800</v>
      </c>
      <c r="G15" s="592">
        <f>D15-E15</f>
        <v>8851334</v>
      </c>
    </row>
    <row r="16" spans="1:7" s="481" customFormat="1" x14ac:dyDescent="0.25">
      <c r="A16" s="484" t="s">
        <v>539</v>
      </c>
      <c r="B16" s="591"/>
      <c r="C16" s="591"/>
      <c r="D16" s="592">
        <f t="shared" si="3"/>
        <v>0</v>
      </c>
      <c r="E16" s="591"/>
      <c r="F16" s="591"/>
      <c r="G16" s="592">
        <f t="shared" ref="G16:G39" si="4">D16-E16</f>
        <v>0</v>
      </c>
    </row>
    <row r="17" spans="1:7" s="481" customFormat="1" x14ac:dyDescent="0.25">
      <c r="A17" s="484" t="s">
        <v>540</v>
      </c>
      <c r="B17" s="591"/>
      <c r="C17" s="591"/>
      <c r="D17" s="592">
        <f t="shared" si="3"/>
        <v>0</v>
      </c>
      <c r="E17" s="591"/>
      <c r="F17" s="591"/>
      <c r="G17" s="592">
        <f t="shared" si="4"/>
        <v>0</v>
      </c>
    </row>
    <row r="18" spans="1:7" s="481" customFormat="1" x14ac:dyDescent="0.25">
      <c r="A18" s="484" t="s">
        <v>541</v>
      </c>
      <c r="B18" s="591"/>
      <c r="C18" s="591"/>
      <c r="D18" s="592">
        <f t="shared" si="3"/>
        <v>0</v>
      </c>
      <c r="E18" s="591"/>
      <c r="F18" s="591"/>
      <c r="G18" s="592">
        <f t="shared" si="4"/>
        <v>0</v>
      </c>
    </row>
    <row r="19" spans="1:7" s="481" customFormat="1" x14ac:dyDescent="0.25">
      <c r="A19" s="484" t="s">
        <v>542</v>
      </c>
      <c r="B19" s="591"/>
      <c r="C19" s="591"/>
      <c r="D19" s="592">
        <f t="shared" si="3"/>
        <v>0</v>
      </c>
      <c r="E19" s="591"/>
      <c r="F19" s="591"/>
      <c r="G19" s="592">
        <f t="shared" si="4"/>
        <v>0</v>
      </c>
    </row>
    <row r="20" spans="1:7" s="481" customFormat="1" ht="27" x14ac:dyDescent="0.25">
      <c r="A20" s="484" t="s">
        <v>543</v>
      </c>
      <c r="B20" s="591"/>
      <c r="C20" s="591"/>
      <c r="D20" s="592">
        <f t="shared" si="3"/>
        <v>0</v>
      </c>
      <c r="E20" s="591"/>
      <c r="F20" s="591"/>
      <c r="G20" s="592">
        <f t="shared" si="4"/>
        <v>0</v>
      </c>
    </row>
    <row r="21" spans="1:7" s="481" customFormat="1" x14ac:dyDescent="0.25">
      <c r="A21" s="484" t="s">
        <v>544</v>
      </c>
      <c r="B21" s="591"/>
      <c r="C21" s="591"/>
      <c r="D21" s="592">
        <f t="shared" si="3"/>
        <v>0</v>
      </c>
      <c r="E21" s="591"/>
      <c r="F21" s="591"/>
      <c r="G21" s="592">
        <f t="shared" si="4"/>
        <v>0</v>
      </c>
    </row>
    <row r="22" spans="1:7" s="481" customFormat="1" x14ac:dyDescent="0.25">
      <c r="A22" s="484" t="s">
        <v>545</v>
      </c>
      <c r="B22" s="591"/>
      <c r="C22" s="591"/>
      <c r="D22" s="592">
        <f t="shared" si="3"/>
        <v>0</v>
      </c>
      <c r="E22" s="591"/>
      <c r="F22" s="591"/>
      <c r="G22" s="592">
        <f t="shared" si="4"/>
        <v>0</v>
      </c>
    </row>
    <row r="23" spans="1:7" s="480" customFormat="1" x14ac:dyDescent="0.25">
      <c r="A23" s="479" t="s">
        <v>546</v>
      </c>
      <c r="B23" s="590">
        <f t="shared" ref="B23:G23" si="5">SUM(B24:B26)</f>
        <v>0</v>
      </c>
      <c r="C23" s="590">
        <f t="shared" si="5"/>
        <v>0</v>
      </c>
      <c r="D23" s="590">
        <f t="shared" si="5"/>
        <v>0</v>
      </c>
      <c r="E23" s="590">
        <f t="shared" si="5"/>
        <v>0</v>
      </c>
      <c r="F23" s="590">
        <f t="shared" si="5"/>
        <v>0</v>
      </c>
      <c r="G23" s="590">
        <f t="shared" si="5"/>
        <v>0</v>
      </c>
    </row>
    <row r="24" spans="1:7" s="481" customFormat="1" ht="27" x14ac:dyDescent="0.25">
      <c r="A24" s="484" t="s">
        <v>547</v>
      </c>
      <c r="B24" s="591"/>
      <c r="C24" s="591"/>
      <c r="D24" s="592">
        <f t="shared" ref="D24:D26" si="6">B24+C24</f>
        <v>0</v>
      </c>
      <c r="E24" s="591"/>
      <c r="F24" s="591"/>
      <c r="G24" s="592">
        <f t="shared" si="4"/>
        <v>0</v>
      </c>
    </row>
    <row r="25" spans="1:7" s="481" customFormat="1" x14ac:dyDescent="0.25">
      <c r="A25" s="484" t="s">
        <v>548</v>
      </c>
      <c r="B25" s="591"/>
      <c r="C25" s="591"/>
      <c r="D25" s="592">
        <f t="shared" si="6"/>
        <v>0</v>
      </c>
      <c r="E25" s="591"/>
      <c r="F25" s="591"/>
      <c r="G25" s="592">
        <f t="shared" si="4"/>
        <v>0</v>
      </c>
    </row>
    <row r="26" spans="1:7" s="481" customFormat="1" x14ac:dyDescent="0.25">
      <c r="A26" s="484" t="s">
        <v>549</v>
      </c>
      <c r="B26" s="591"/>
      <c r="C26" s="591"/>
      <c r="D26" s="592">
        <f t="shared" si="6"/>
        <v>0</v>
      </c>
      <c r="E26" s="591"/>
      <c r="F26" s="591"/>
      <c r="G26" s="592">
        <f t="shared" si="4"/>
        <v>0</v>
      </c>
    </row>
    <row r="27" spans="1:7" s="480" customFormat="1" x14ac:dyDescent="0.25">
      <c r="A27" s="479" t="s">
        <v>550</v>
      </c>
      <c r="B27" s="590">
        <f>B28+B29</f>
        <v>0</v>
      </c>
      <c r="C27" s="590">
        <f>C28+C29</f>
        <v>0</v>
      </c>
      <c r="D27" s="590">
        <f>SUM(D28:D29)</f>
        <v>0</v>
      </c>
      <c r="E27" s="590">
        <f>E28+E29</f>
        <v>0</v>
      </c>
      <c r="F27" s="590">
        <f>F28+F29</f>
        <v>0</v>
      </c>
      <c r="G27" s="590">
        <f>SUM(G28:G29)</f>
        <v>0</v>
      </c>
    </row>
    <row r="28" spans="1:7" s="481" customFormat="1" x14ac:dyDescent="0.25">
      <c r="A28" s="484" t="s">
        <v>551</v>
      </c>
      <c r="B28" s="591"/>
      <c r="C28" s="591"/>
      <c r="D28" s="592">
        <f t="shared" ref="D28:D29" si="7">B28+C28</f>
        <v>0</v>
      </c>
      <c r="E28" s="591"/>
      <c r="F28" s="591"/>
      <c r="G28" s="592">
        <f t="shared" si="4"/>
        <v>0</v>
      </c>
    </row>
    <row r="29" spans="1:7" s="481" customFormat="1" x14ac:dyDescent="0.25">
      <c r="A29" s="484" t="s">
        <v>552</v>
      </c>
      <c r="B29" s="591"/>
      <c r="C29" s="591"/>
      <c r="D29" s="592">
        <f t="shared" si="7"/>
        <v>0</v>
      </c>
      <c r="E29" s="591"/>
      <c r="F29" s="591"/>
      <c r="G29" s="592">
        <f t="shared" si="4"/>
        <v>0</v>
      </c>
    </row>
    <row r="30" spans="1:7" s="480" customFormat="1" x14ac:dyDescent="0.25">
      <c r="A30" s="479" t="s">
        <v>553</v>
      </c>
      <c r="B30" s="590">
        <f>B31+B32+B33+B34</f>
        <v>0</v>
      </c>
      <c r="C30" s="590">
        <f>C31+C32+C33+C34</f>
        <v>0</v>
      </c>
      <c r="D30" s="590">
        <f>SUM(D31:D34)</f>
        <v>0</v>
      </c>
      <c r="E30" s="590">
        <f>E31+E32+E33+E34</f>
        <v>0</v>
      </c>
      <c r="F30" s="590">
        <f>F31+F32+F33+F34</f>
        <v>0</v>
      </c>
      <c r="G30" s="590">
        <f>SUM(G31:G34)</f>
        <v>0</v>
      </c>
    </row>
    <row r="31" spans="1:7" s="481" customFormat="1" x14ac:dyDescent="0.25">
      <c r="A31" s="484" t="s">
        <v>171</v>
      </c>
      <c r="B31" s="591"/>
      <c r="C31" s="591"/>
      <c r="D31" s="592">
        <f t="shared" ref="D31:D33" si="8">B31+C31</f>
        <v>0</v>
      </c>
      <c r="E31" s="591"/>
      <c r="F31" s="591"/>
      <c r="G31" s="592">
        <f t="shared" si="4"/>
        <v>0</v>
      </c>
    </row>
    <row r="32" spans="1:7" s="481" customFormat="1" x14ac:dyDescent="0.25">
      <c r="A32" s="484" t="s">
        <v>554</v>
      </c>
      <c r="B32" s="591"/>
      <c r="C32" s="591"/>
      <c r="D32" s="592">
        <f t="shared" si="8"/>
        <v>0</v>
      </c>
      <c r="E32" s="591"/>
      <c r="F32" s="591"/>
      <c r="G32" s="592">
        <f t="shared" si="4"/>
        <v>0</v>
      </c>
    </row>
    <row r="33" spans="1:8" s="481" customFormat="1" x14ac:dyDescent="0.25">
      <c r="A33" s="484" t="s">
        <v>555</v>
      </c>
      <c r="B33" s="591"/>
      <c r="C33" s="591"/>
      <c r="D33" s="592">
        <f t="shared" si="8"/>
        <v>0</v>
      </c>
      <c r="E33" s="591"/>
      <c r="F33" s="591"/>
      <c r="G33" s="592">
        <f t="shared" si="4"/>
        <v>0</v>
      </c>
    </row>
    <row r="34" spans="1:8" s="481" customFormat="1" x14ac:dyDescent="0.25">
      <c r="A34" s="484" t="s">
        <v>556</v>
      </c>
      <c r="B34" s="591"/>
      <c r="C34" s="591"/>
      <c r="D34" s="592">
        <f>B34+C34</f>
        <v>0</v>
      </c>
      <c r="E34" s="591"/>
      <c r="F34" s="591"/>
      <c r="G34" s="592">
        <f t="shared" si="4"/>
        <v>0</v>
      </c>
    </row>
    <row r="35" spans="1:8" s="480" customFormat="1" x14ac:dyDescent="0.25">
      <c r="A35" s="479" t="s">
        <v>557</v>
      </c>
      <c r="B35" s="590">
        <f t="shared" ref="B35:G35" si="9">B36</f>
        <v>0</v>
      </c>
      <c r="C35" s="590">
        <f t="shared" si="9"/>
        <v>0</v>
      </c>
      <c r="D35" s="590">
        <f t="shared" si="9"/>
        <v>0</v>
      </c>
      <c r="E35" s="590">
        <f t="shared" si="9"/>
        <v>0</v>
      </c>
      <c r="F35" s="590">
        <f t="shared" si="9"/>
        <v>0</v>
      </c>
      <c r="G35" s="590">
        <f t="shared" si="9"/>
        <v>0</v>
      </c>
    </row>
    <row r="36" spans="1:8" s="481" customFormat="1" x14ac:dyDescent="0.25">
      <c r="A36" s="484" t="s">
        <v>558</v>
      </c>
      <c r="B36" s="591"/>
      <c r="C36" s="591"/>
      <c r="D36" s="592">
        <f>B36+C36</f>
        <v>0</v>
      </c>
      <c r="E36" s="591"/>
      <c r="F36" s="591"/>
      <c r="G36" s="592">
        <f t="shared" si="4"/>
        <v>0</v>
      </c>
    </row>
    <row r="37" spans="1:8" s="480" customFormat="1" x14ac:dyDescent="0.25">
      <c r="A37" s="479" t="s">
        <v>559</v>
      </c>
      <c r="B37" s="593"/>
      <c r="C37" s="593"/>
      <c r="D37" s="590">
        <f>B37+C37</f>
        <v>0</v>
      </c>
      <c r="E37" s="593"/>
      <c r="F37" s="593"/>
      <c r="G37" s="590">
        <f t="shared" si="4"/>
        <v>0</v>
      </c>
    </row>
    <row r="38" spans="1:8" s="480" customFormat="1" ht="27" x14ac:dyDescent="0.25">
      <c r="A38" s="479" t="s">
        <v>560</v>
      </c>
      <c r="B38" s="593"/>
      <c r="C38" s="593"/>
      <c r="D38" s="590">
        <f>B38+C38</f>
        <v>0</v>
      </c>
      <c r="E38" s="593"/>
      <c r="F38" s="593"/>
      <c r="G38" s="590">
        <f t="shared" si="4"/>
        <v>0</v>
      </c>
    </row>
    <row r="39" spans="1:8" s="480" customFormat="1" ht="15.75" thickBot="1" x14ac:dyDescent="0.3">
      <c r="A39" s="479" t="s">
        <v>561</v>
      </c>
      <c r="B39" s="593"/>
      <c r="C39" s="593"/>
      <c r="D39" s="590">
        <f>B39+C39</f>
        <v>0</v>
      </c>
      <c r="E39" s="593"/>
      <c r="F39" s="593"/>
      <c r="G39" s="590">
        <f t="shared" si="4"/>
        <v>0</v>
      </c>
    </row>
    <row r="40" spans="1:8" ht="32.25" customHeight="1" thickBot="1" x14ac:dyDescent="0.3">
      <c r="A40" s="485" t="s">
        <v>387</v>
      </c>
      <c r="B40" s="594">
        <f t="shared" ref="B40:G40" si="10">SUM(B$10,B$14,B$23,B$27,B$30,B$35,B$37,B$38,B$39)</f>
        <v>15323938</v>
      </c>
      <c r="C40" s="594">
        <f t="shared" si="10"/>
        <v>3126196</v>
      </c>
      <c r="D40" s="594">
        <f t="shared" si="10"/>
        <v>18450134</v>
      </c>
      <c r="E40" s="594">
        <f t="shared" si="10"/>
        <v>9598800</v>
      </c>
      <c r="F40" s="594">
        <f t="shared" si="10"/>
        <v>9598800</v>
      </c>
      <c r="G40" s="594">
        <f t="shared" si="10"/>
        <v>8851334</v>
      </c>
      <c r="H40" s="671" t="str">
        <f>IF(B40&lt;&gt;'ETCA-II-11 '!B81,"ERROR!!!!! EL MONTO NO COINCIDE CON LO REPORTADO EN EL FORMATO ETCA-II-11 EN EL TOTAL APROBADO ANUAL DEL ANALÍTICO DE EGRESOS","")</f>
        <v/>
      </c>
    </row>
    <row r="41" spans="1:8" ht="18" customHeight="1" x14ac:dyDescent="0.25">
      <c r="A41" s="669"/>
      <c r="B41" s="672"/>
      <c r="C41" s="672"/>
      <c r="D41" s="672"/>
      <c r="E41" s="672"/>
      <c r="F41" s="672"/>
      <c r="G41" s="672"/>
      <c r="H41" s="671" t="str">
        <f>IF(C40&lt;&gt;'ETCA-II-11 '!C81,"ERROR!!!!! EL MONTO NO COINCIDE CON LO REPORTADO EN EL FORMATO ETCA-II-11 EN EL TOTAL DE AMPLIACIONES/REDUCCIONES PRESENTADO EN EL ANALÍTICO DE EGRESOS","")</f>
        <v/>
      </c>
    </row>
    <row r="42" spans="1:8" ht="18" customHeight="1" x14ac:dyDescent="0.25">
      <c r="A42" s="669"/>
      <c r="B42" s="672"/>
      <c r="C42" s="672"/>
      <c r="D42" s="672"/>
      <c r="E42" s="672"/>
      <c r="F42" s="672"/>
      <c r="G42" s="672"/>
      <c r="H42" s="671" t="str">
        <f>IF(D40&lt;&gt;'ETCA-II-11 '!D81,"ERROR!!!!! EL MONTO NO COINCIDE CON LO REPORTADO EN EL FORMATO ETCA-II-11 EN EL TOTAL MODIFICADO ANUAL PRESENTADO EN EL ANALÍTICO DE EGRESOS","")</f>
        <v/>
      </c>
    </row>
    <row r="43" spans="1:8" ht="18" customHeight="1" x14ac:dyDescent="0.25">
      <c r="A43" s="669"/>
      <c r="B43" s="672"/>
      <c r="C43" s="672"/>
      <c r="D43" s="672"/>
      <c r="E43" s="672"/>
      <c r="F43" s="672"/>
      <c r="G43" s="672"/>
      <c r="H43" s="671" t="str">
        <f>IF(E40&lt;&gt;'ETCA-II-11 '!E40,"ERROR!!!!! EL MONTO NO COINCIDE CON LO REPORTADO EN EL FORMATO ETCA-II-11 EN EL TOTAL DEVENGADO ANUAL PRESENTADO EN EL ANALÍTICO DE EGRESOS","")</f>
        <v>ERROR!!!!! EL MONTO NO COINCIDE CON LO REPORTADO EN EL FORMATO ETCA-II-11 EN EL TOTAL DEVENGADO ANUAL PRESENTADO EN EL ANALÍTICO DE EGRESOS</v>
      </c>
    </row>
    <row r="44" spans="1:8" ht="18" customHeight="1" x14ac:dyDescent="0.25">
      <c r="A44" s="669"/>
      <c r="B44" s="672"/>
      <c r="C44" s="672"/>
      <c r="D44" s="672"/>
      <c r="E44" s="672"/>
      <c r="F44" s="672"/>
      <c r="G44" s="672"/>
      <c r="H44" s="671" t="str">
        <f>IF(F40&lt;&gt;'ETCA-II-11 '!F81,"ERROR!!!!! EL MONTO NO COINCIDE CON LO REPORTADO EN EL FORMATO ETCA-II-11 EN EL TOTAL PAGADO ANUAL PRESENTADO EN EL ANALÍTICO DE EGRESOS","")</f>
        <v/>
      </c>
    </row>
    <row r="45" spans="1:8" ht="18" customHeight="1" x14ac:dyDescent="0.25">
      <c r="H45" s="671" t="str">
        <f>IF(G40&lt;&gt;'ETCA-II-11 '!G81,"ERROR!!!!! EL MONTO NO COINCIDE CON LO REPORTADO EN EL FORMATO ETCA-II-11 EN EL TOTAL SUBEJERCICIO PRESENTADO EN EL ANALÍTICO DE EGRESOS","")</f>
        <v/>
      </c>
    </row>
  </sheetData>
  <sheetProtection algorithmName="SHA-512" hashValue="4RpKYV91vlBL0d37zX+mcqKlp0O+Udu1o9ug2uKnAD/OZnbBeQ1Wd/BAZhgItpy+YjCHCt0VPsjp8vRt96WhyA==" saltValue="twqu92OG72KJImkCiNARGg==" spinCount="100000" sheet="1" objects="1" scenarios="1"/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9:G50"/>
  <sheetViews>
    <sheetView topLeftCell="A4" workbookViewId="0">
      <selection activeCell="J28" sqref="J28"/>
    </sheetView>
  </sheetViews>
  <sheetFormatPr baseColWidth="10" defaultRowHeight="15" x14ac:dyDescent="0.25"/>
  <sheetData>
    <row r="49" spans="1:7" ht="16.5" x14ac:dyDescent="0.3">
      <c r="A49" s="72" t="s">
        <v>801</v>
      </c>
      <c r="B49" s="162"/>
      <c r="C49" s="162"/>
      <c r="D49" s="162"/>
      <c r="E49" s="72" t="s">
        <v>802</v>
      </c>
      <c r="F49" s="162"/>
      <c r="G49" s="162"/>
    </row>
    <row r="50" spans="1:7" ht="16.5" x14ac:dyDescent="0.3">
      <c r="A50" s="72" t="s">
        <v>803</v>
      </c>
      <c r="B50" s="162"/>
      <c r="C50" s="162"/>
      <c r="D50" s="162"/>
      <c r="E50" s="72" t="s">
        <v>804</v>
      </c>
      <c r="F50" s="162"/>
      <c r="G50" s="162"/>
    </row>
  </sheetData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ColWidth="11.42578125" defaultRowHeight="15" x14ac:dyDescent="0.25"/>
  <sheetData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7"/>
  <sheetViews>
    <sheetView showRuler="0" zoomScale="120" zoomScaleNormal="120" zoomScalePageLayoutView="120" workbookViewId="0">
      <selection activeCell="A38" sqref="A38"/>
    </sheetView>
  </sheetViews>
  <sheetFormatPr baseColWidth="10" defaultColWidth="11.42578125" defaultRowHeight="15" x14ac:dyDescent="0.25"/>
  <cols>
    <col min="1" max="1" width="3.7109375" style="685" customWidth="1"/>
    <col min="2" max="7" width="2.85546875" style="685" customWidth="1"/>
    <col min="8" max="8" width="20.7109375" style="706" customWidth="1"/>
    <col min="9" max="9" width="7.42578125" customWidth="1"/>
    <col min="10" max="10" width="7.5703125" customWidth="1"/>
    <col min="11" max="11" width="6.42578125" customWidth="1"/>
    <col min="12" max="23" width="5.85546875" customWidth="1"/>
    <col min="24" max="24" width="6.7109375" customWidth="1"/>
    <col min="25" max="25" width="6.5703125" customWidth="1"/>
  </cols>
  <sheetData>
    <row r="1" spans="1:25" ht="24" customHeight="1" thickBot="1" x14ac:dyDescent="0.3">
      <c r="A1" s="677" t="s">
        <v>562</v>
      </c>
      <c r="B1" s="678"/>
      <c r="C1" s="679"/>
      <c r="D1" s="680"/>
      <c r="E1" s="681"/>
      <c r="F1" s="681"/>
      <c r="G1" s="682"/>
      <c r="H1" s="910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2"/>
      <c r="W1" s="683" t="s">
        <v>563</v>
      </c>
      <c r="X1" s="684"/>
      <c r="Y1" s="683" t="s">
        <v>564</v>
      </c>
    </row>
    <row r="2" spans="1:25" x14ac:dyDescent="0.25">
      <c r="A2" s="685" t="s">
        <v>565</v>
      </c>
      <c r="B2" s="686"/>
      <c r="C2" s="686"/>
      <c r="D2" s="686"/>
      <c r="E2" s="686"/>
      <c r="F2" s="686"/>
      <c r="G2" s="686"/>
      <c r="H2" s="686"/>
      <c r="K2" s="687"/>
      <c r="L2" s="687"/>
      <c r="M2" s="687"/>
      <c r="N2" s="687"/>
      <c r="T2" s="687"/>
      <c r="U2" s="687"/>
      <c r="V2" s="687"/>
      <c r="W2" s="687"/>
      <c r="X2" s="688"/>
      <c r="Y2" s="688"/>
    </row>
    <row r="3" spans="1:25" ht="16.5" customHeight="1" x14ac:dyDescent="0.25">
      <c r="A3" s="908" t="s">
        <v>566</v>
      </c>
      <c r="B3" s="908" t="s">
        <v>567</v>
      </c>
      <c r="C3" s="913" t="s">
        <v>568</v>
      </c>
      <c r="D3" s="913" t="s">
        <v>569</v>
      </c>
      <c r="E3" s="908" t="s">
        <v>570</v>
      </c>
      <c r="F3" s="913" t="s">
        <v>571</v>
      </c>
      <c r="G3" s="913" t="s">
        <v>572</v>
      </c>
      <c r="H3" s="914" t="s">
        <v>9</v>
      </c>
      <c r="I3" s="908" t="s">
        <v>573</v>
      </c>
      <c r="J3" s="908" t="s">
        <v>574</v>
      </c>
      <c r="K3" s="907" t="s">
        <v>575</v>
      </c>
      <c r="L3" s="907"/>
      <c r="M3" s="907"/>
      <c r="N3" s="907"/>
      <c r="O3" s="907"/>
      <c r="P3" s="919" t="s">
        <v>576</v>
      </c>
      <c r="Q3" s="920"/>
      <c r="R3" s="920"/>
      <c r="S3" s="921"/>
      <c r="T3" s="907" t="s">
        <v>577</v>
      </c>
      <c r="U3" s="907"/>
      <c r="V3" s="907"/>
      <c r="W3" s="907"/>
      <c r="X3" s="908" t="s">
        <v>578</v>
      </c>
      <c r="Y3" s="908" t="s">
        <v>488</v>
      </c>
    </row>
    <row r="4" spans="1:25" s="687" customFormat="1" ht="36" customHeight="1" x14ac:dyDescent="0.25">
      <c r="A4" s="908"/>
      <c r="B4" s="908"/>
      <c r="C4" s="913"/>
      <c r="D4" s="913"/>
      <c r="E4" s="908"/>
      <c r="F4" s="913"/>
      <c r="G4" s="913"/>
      <c r="H4" s="914"/>
      <c r="I4" s="908"/>
      <c r="J4" s="908"/>
      <c r="K4" s="730" t="s">
        <v>579</v>
      </c>
      <c r="L4" s="729" t="s">
        <v>580</v>
      </c>
      <c r="M4" s="729" t="s">
        <v>581</v>
      </c>
      <c r="N4" s="729" t="s">
        <v>582</v>
      </c>
      <c r="O4" s="729" t="s">
        <v>583</v>
      </c>
      <c r="P4" s="729" t="s">
        <v>580</v>
      </c>
      <c r="Q4" s="729" t="s">
        <v>581</v>
      </c>
      <c r="R4" s="729" t="s">
        <v>582</v>
      </c>
      <c r="S4" s="729" t="s">
        <v>583</v>
      </c>
      <c r="T4" s="729" t="s">
        <v>580</v>
      </c>
      <c r="U4" s="729" t="s">
        <v>581</v>
      </c>
      <c r="V4" s="729" t="s">
        <v>582</v>
      </c>
      <c r="W4" s="729" t="s">
        <v>583</v>
      </c>
      <c r="X4" s="909"/>
      <c r="Y4" s="909"/>
    </row>
    <row r="5" spans="1:25" s="685" customFormat="1" ht="11.25" x14ac:dyDescent="0.2">
      <c r="A5" s="689"/>
      <c r="B5" s="689"/>
      <c r="C5" s="689"/>
      <c r="D5" s="689"/>
      <c r="E5" s="689"/>
      <c r="F5" s="689"/>
      <c r="G5" s="689"/>
      <c r="H5" s="690"/>
      <c r="I5" s="691"/>
      <c r="J5" s="691"/>
      <c r="K5" s="689">
        <f>L5+M5+N5+O5</f>
        <v>0</v>
      </c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92"/>
      <c r="X5" s="689">
        <f>T5+U5+V5+W5</f>
        <v>0</v>
      </c>
      <c r="Y5" s="693" t="str">
        <f>IF(K5=0,"",(T5+U5+V5+W5)/K5)</f>
        <v/>
      </c>
    </row>
    <row r="6" spans="1:25" s="685" customFormat="1" ht="11.25" x14ac:dyDescent="0.2">
      <c r="A6" s="694"/>
      <c r="B6" s="694"/>
      <c r="C6" s="694"/>
      <c r="D6" s="694"/>
      <c r="E6" s="694"/>
      <c r="F6" s="694"/>
      <c r="G6" s="694"/>
      <c r="H6" s="695"/>
      <c r="I6" s="695"/>
      <c r="J6" s="695"/>
      <c r="K6" s="694">
        <f t="shared" ref="K6:K34" si="0">L6+M6+N6+O6</f>
        <v>0</v>
      </c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6"/>
      <c r="X6" s="694">
        <f t="shared" ref="X6:X34" si="1">T6+U6+V6+W6</f>
        <v>0</v>
      </c>
      <c r="Y6" s="697" t="str">
        <f t="shared" ref="Y6:Y34" si="2">IF(K6=0,"",(T6+U6+V6+W6)/K6)</f>
        <v/>
      </c>
    </row>
    <row r="7" spans="1:25" s="685" customFormat="1" ht="11.25" x14ac:dyDescent="0.2">
      <c r="A7" s="694"/>
      <c r="B7" s="694"/>
      <c r="C7" s="694"/>
      <c r="D7" s="694"/>
      <c r="E7" s="694"/>
      <c r="F7" s="694"/>
      <c r="G7" s="694"/>
      <c r="H7" s="695"/>
      <c r="I7" s="695"/>
      <c r="J7" s="695"/>
      <c r="K7" s="694">
        <f t="shared" si="0"/>
        <v>0</v>
      </c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6"/>
      <c r="X7" s="694">
        <f t="shared" si="1"/>
        <v>0</v>
      </c>
      <c r="Y7" s="697" t="str">
        <f t="shared" si="2"/>
        <v/>
      </c>
    </row>
    <row r="8" spans="1:25" s="685" customFormat="1" ht="11.25" x14ac:dyDescent="0.2">
      <c r="A8" s="694"/>
      <c r="B8" s="694"/>
      <c r="C8" s="694"/>
      <c r="D8" s="694"/>
      <c r="E8" s="698"/>
      <c r="F8" s="694"/>
      <c r="G8" s="694"/>
      <c r="H8" s="695"/>
      <c r="I8" s="694"/>
      <c r="J8" s="694"/>
      <c r="K8" s="694">
        <f t="shared" si="0"/>
        <v>0</v>
      </c>
      <c r="L8" s="694"/>
      <c r="M8" s="694"/>
      <c r="N8" s="694"/>
      <c r="O8" s="694"/>
      <c r="P8" s="694"/>
      <c r="Q8" s="694"/>
      <c r="R8" s="694"/>
      <c r="S8" s="694"/>
      <c r="T8" s="694"/>
      <c r="U8" s="694"/>
      <c r="V8" s="694"/>
      <c r="W8" s="696"/>
      <c r="X8" s="694">
        <f t="shared" si="1"/>
        <v>0</v>
      </c>
      <c r="Y8" s="697" t="str">
        <f t="shared" si="2"/>
        <v/>
      </c>
    </row>
    <row r="9" spans="1:25" s="685" customFormat="1" ht="11.25" x14ac:dyDescent="0.2">
      <c r="A9" s="694"/>
      <c r="B9" s="694"/>
      <c r="C9" s="694"/>
      <c r="D9" s="694"/>
      <c r="E9" s="694"/>
      <c r="F9" s="694"/>
      <c r="G9" s="694"/>
      <c r="H9" s="695"/>
      <c r="I9" s="694"/>
      <c r="J9" s="694"/>
      <c r="K9" s="694">
        <f t="shared" si="0"/>
        <v>0</v>
      </c>
      <c r="L9" s="694"/>
      <c r="M9" s="694"/>
      <c r="N9" s="694"/>
      <c r="O9" s="694"/>
      <c r="P9" s="694"/>
      <c r="Q9" s="694"/>
      <c r="R9" s="694"/>
      <c r="S9" s="694"/>
      <c r="T9" s="694"/>
      <c r="U9" s="694"/>
      <c r="V9" s="694"/>
      <c r="W9" s="696"/>
      <c r="X9" s="694">
        <f t="shared" si="1"/>
        <v>0</v>
      </c>
      <c r="Y9" s="697" t="str">
        <f t="shared" si="2"/>
        <v/>
      </c>
    </row>
    <row r="10" spans="1:25" s="685" customFormat="1" ht="11.25" x14ac:dyDescent="0.2">
      <c r="A10" s="694"/>
      <c r="B10" s="694"/>
      <c r="C10" s="694"/>
      <c r="D10" s="694"/>
      <c r="E10" s="694"/>
      <c r="F10" s="694"/>
      <c r="G10" s="694"/>
      <c r="H10" s="695"/>
      <c r="I10" s="694"/>
      <c r="J10" s="694"/>
      <c r="K10" s="694">
        <f t="shared" si="0"/>
        <v>0</v>
      </c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6"/>
      <c r="X10" s="694">
        <f t="shared" si="1"/>
        <v>0</v>
      </c>
      <c r="Y10" s="697" t="str">
        <f t="shared" si="2"/>
        <v/>
      </c>
    </row>
    <row r="11" spans="1:25" s="685" customFormat="1" ht="11.25" x14ac:dyDescent="0.2">
      <c r="A11" s="694"/>
      <c r="B11" s="694"/>
      <c r="C11" s="694"/>
      <c r="D11" s="694"/>
      <c r="E11" s="694"/>
      <c r="F11" s="694"/>
      <c r="G11" s="694"/>
      <c r="H11" s="695"/>
      <c r="I11" s="694"/>
      <c r="J11" s="694"/>
      <c r="K11" s="694">
        <f t="shared" si="0"/>
        <v>0</v>
      </c>
      <c r="L11" s="694"/>
      <c r="M11" s="694"/>
      <c r="N11" s="694"/>
      <c r="O11" s="694"/>
      <c r="P11" s="694"/>
      <c r="Q11" s="694"/>
      <c r="R11" s="694"/>
      <c r="S11" s="694"/>
      <c r="T11" s="699"/>
      <c r="U11" s="694"/>
      <c r="V11" s="694"/>
      <c r="W11" s="696"/>
      <c r="X11" s="694">
        <f t="shared" si="1"/>
        <v>0</v>
      </c>
      <c r="Y11" s="697" t="str">
        <f t="shared" si="2"/>
        <v/>
      </c>
    </row>
    <row r="12" spans="1:25" s="685" customFormat="1" ht="11.25" x14ac:dyDescent="0.2">
      <c r="A12" s="694"/>
      <c r="B12" s="694"/>
      <c r="C12" s="694"/>
      <c r="D12" s="694"/>
      <c r="E12" s="694"/>
      <c r="F12" s="694"/>
      <c r="G12" s="694"/>
      <c r="H12" s="695"/>
      <c r="I12" s="694"/>
      <c r="J12" s="694"/>
      <c r="K12" s="694">
        <f t="shared" si="0"/>
        <v>0</v>
      </c>
      <c r="L12" s="694"/>
      <c r="M12" s="694"/>
      <c r="N12" s="694"/>
      <c r="O12" s="694"/>
      <c r="P12" s="694"/>
      <c r="Q12" s="694"/>
      <c r="R12" s="694"/>
      <c r="S12" s="694"/>
      <c r="T12" s="694"/>
      <c r="U12" s="694"/>
      <c r="V12" s="694"/>
      <c r="W12" s="696"/>
      <c r="X12" s="694">
        <f t="shared" si="1"/>
        <v>0</v>
      </c>
      <c r="Y12" s="697" t="str">
        <f t="shared" si="2"/>
        <v/>
      </c>
    </row>
    <row r="13" spans="1:25" s="685" customFormat="1" ht="11.25" x14ac:dyDescent="0.2">
      <c r="A13" s="694"/>
      <c r="B13" s="700"/>
      <c r="C13" s="700"/>
      <c r="D13" s="700"/>
      <c r="E13" s="700"/>
      <c r="F13" s="700"/>
      <c r="G13" s="700"/>
      <c r="H13" s="701"/>
      <c r="I13" s="694"/>
      <c r="J13" s="694"/>
      <c r="K13" s="694">
        <f t="shared" si="0"/>
        <v>0</v>
      </c>
      <c r="L13" s="694"/>
      <c r="M13" s="694"/>
      <c r="N13" s="694"/>
      <c r="O13" s="694"/>
      <c r="P13" s="694"/>
      <c r="Q13" s="694"/>
      <c r="R13" s="694"/>
      <c r="S13" s="694"/>
      <c r="T13" s="694"/>
      <c r="U13" s="694"/>
      <c r="V13" s="694"/>
      <c r="W13" s="696"/>
      <c r="X13" s="694">
        <f t="shared" si="1"/>
        <v>0</v>
      </c>
      <c r="Y13" s="697" t="str">
        <f t="shared" si="2"/>
        <v/>
      </c>
    </row>
    <row r="14" spans="1:25" s="685" customFormat="1" ht="11.25" x14ac:dyDescent="0.2">
      <c r="A14" s="694"/>
      <c r="B14" s="700"/>
      <c r="C14" s="700"/>
      <c r="D14" s="700"/>
      <c r="E14" s="700"/>
      <c r="F14" s="700"/>
      <c r="G14" s="700"/>
      <c r="H14" s="701"/>
      <c r="I14" s="694"/>
      <c r="J14" s="694"/>
      <c r="K14" s="694">
        <f t="shared" si="0"/>
        <v>0</v>
      </c>
      <c r="L14" s="694"/>
      <c r="M14" s="694"/>
      <c r="N14" s="694"/>
      <c r="O14" s="694"/>
      <c r="P14" s="694"/>
      <c r="Q14" s="694"/>
      <c r="R14" s="694"/>
      <c r="S14" s="694"/>
      <c r="T14" s="694"/>
      <c r="U14" s="694"/>
      <c r="V14" s="694"/>
      <c r="W14" s="696"/>
      <c r="X14" s="694">
        <f t="shared" si="1"/>
        <v>0</v>
      </c>
      <c r="Y14" s="697" t="str">
        <f t="shared" si="2"/>
        <v/>
      </c>
    </row>
    <row r="15" spans="1:25" s="685" customFormat="1" ht="11.25" x14ac:dyDescent="0.2">
      <c r="A15" s="694"/>
      <c r="B15" s="700"/>
      <c r="C15" s="700"/>
      <c r="D15" s="700"/>
      <c r="E15" s="700"/>
      <c r="F15" s="700"/>
      <c r="G15" s="700"/>
      <c r="H15" s="701"/>
      <c r="I15" s="694"/>
      <c r="J15" s="694"/>
      <c r="K15" s="694">
        <f t="shared" si="0"/>
        <v>0</v>
      </c>
      <c r="L15" s="694"/>
      <c r="M15" s="694"/>
      <c r="N15" s="694"/>
      <c r="O15" s="694"/>
      <c r="P15" s="694"/>
      <c r="Q15" s="694"/>
      <c r="R15" s="694"/>
      <c r="S15" s="694"/>
      <c r="T15" s="694"/>
      <c r="U15" s="694"/>
      <c r="V15" s="694"/>
      <c r="W15" s="696"/>
      <c r="X15" s="694">
        <f t="shared" si="1"/>
        <v>0</v>
      </c>
      <c r="Y15" s="697" t="str">
        <f t="shared" si="2"/>
        <v/>
      </c>
    </row>
    <row r="16" spans="1:25" s="685" customFormat="1" ht="11.25" x14ac:dyDescent="0.2">
      <c r="A16" s="694"/>
      <c r="B16" s="700"/>
      <c r="C16" s="700"/>
      <c r="D16" s="700"/>
      <c r="E16" s="694"/>
      <c r="F16" s="694"/>
      <c r="G16" s="694"/>
      <c r="H16" s="695"/>
      <c r="I16" s="694"/>
      <c r="J16" s="694"/>
      <c r="K16" s="694">
        <f t="shared" si="0"/>
        <v>0</v>
      </c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6"/>
      <c r="X16" s="694">
        <f t="shared" si="1"/>
        <v>0</v>
      </c>
      <c r="Y16" s="697" t="str">
        <f t="shared" si="2"/>
        <v/>
      </c>
    </row>
    <row r="17" spans="1:25" s="685" customFormat="1" ht="11.25" x14ac:dyDescent="0.2">
      <c r="A17" s="694"/>
      <c r="B17" s="694"/>
      <c r="C17" s="694"/>
      <c r="D17" s="694"/>
      <c r="E17" s="694"/>
      <c r="F17" s="694"/>
      <c r="G17" s="694"/>
      <c r="H17" s="695"/>
      <c r="I17" s="694"/>
      <c r="J17" s="694"/>
      <c r="K17" s="694">
        <f t="shared" si="0"/>
        <v>0</v>
      </c>
      <c r="L17" s="694"/>
      <c r="M17" s="694"/>
      <c r="N17" s="694"/>
      <c r="O17" s="694"/>
      <c r="P17" s="694"/>
      <c r="Q17" s="694"/>
      <c r="R17" s="694"/>
      <c r="S17" s="694"/>
      <c r="T17" s="694"/>
      <c r="U17" s="694"/>
      <c r="V17" s="694"/>
      <c r="W17" s="696"/>
      <c r="X17" s="694">
        <f t="shared" si="1"/>
        <v>0</v>
      </c>
      <c r="Y17" s="697" t="str">
        <f t="shared" si="2"/>
        <v/>
      </c>
    </row>
    <row r="18" spans="1:25" s="685" customFormat="1" ht="11.25" x14ac:dyDescent="0.2">
      <c r="A18" s="694"/>
      <c r="B18" s="694"/>
      <c r="C18" s="694"/>
      <c r="D18" s="694"/>
      <c r="E18" s="694"/>
      <c r="F18" s="694"/>
      <c r="G18" s="694"/>
      <c r="H18" s="695"/>
      <c r="I18" s="694"/>
      <c r="J18" s="694"/>
      <c r="K18" s="694">
        <f t="shared" si="0"/>
        <v>0</v>
      </c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6"/>
      <c r="X18" s="694">
        <f t="shared" si="1"/>
        <v>0</v>
      </c>
      <c r="Y18" s="697" t="str">
        <f t="shared" si="2"/>
        <v/>
      </c>
    </row>
    <row r="19" spans="1:25" s="685" customFormat="1" ht="11.25" x14ac:dyDescent="0.2">
      <c r="A19" s="694"/>
      <c r="B19" s="694"/>
      <c r="C19" s="694"/>
      <c r="D19" s="694"/>
      <c r="E19" s="694"/>
      <c r="F19" s="694"/>
      <c r="G19" s="694"/>
      <c r="H19" s="695"/>
      <c r="I19" s="694"/>
      <c r="J19" s="694"/>
      <c r="K19" s="694">
        <f t="shared" si="0"/>
        <v>0</v>
      </c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6"/>
      <c r="X19" s="694">
        <f t="shared" si="1"/>
        <v>0</v>
      </c>
      <c r="Y19" s="697" t="str">
        <f t="shared" si="2"/>
        <v/>
      </c>
    </row>
    <row r="20" spans="1:25" s="685" customFormat="1" ht="11.25" x14ac:dyDescent="0.2">
      <c r="A20" s="694"/>
      <c r="B20" s="694"/>
      <c r="C20" s="694"/>
      <c r="D20" s="694"/>
      <c r="E20" s="694"/>
      <c r="F20" s="694"/>
      <c r="G20" s="694"/>
      <c r="H20" s="695"/>
      <c r="I20" s="694"/>
      <c r="J20" s="694"/>
      <c r="K20" s="694">
        <f t="shared" si="0"/>
        <v>0</v>
      </c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6"/>
      <c r="X20" s="694">
        <f t="shared" si="1"/>
        <v>0</v>
      </c>
      <c r="Y20" s="697" t="str">
        <f t="shared" si="2"/>
        <v/>
      </c>
    </row>
    <row r="21" spans="1:25" s="685" customFormat="1" ht="11.25" x14ac:dyDescent="0.2">
      <c r="A21" s="694"/>
      <c r="B21" s="694"/>
      <c r="C21" s="694"/>
      <c r="D21" s="694"/>
      <c r="E21" s="694"/>
      <c r="F21" s="694"/>
      <c r="G21" s="694"/>
      <c r="H21" s="695"/>
      <c r="I21" s="694"/>
      <c r="J21" s="694"/>
      <c r="K21" s="694">
        <f t="shared" si="0"/>
        <v>0</v>
      </c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6"/>
      <c r="X21" s="694">
        <f t="shared" si="1"/>
        <v>0</v>
      </c>
      <c r="Y21" s="697" t="str">
        <f t="shared" si="2"/>
        <v/>
      </c>
    </row>
    <row r="22" spans="1:25" s="685" customFormat="1" ht="11.25" x14ac:dyDescent="0.2">
      <c r="A22" s="694"/>
      <c r="B22" s="694"/>
      <c r="C22" s="694"/>
      <c r="D22" s="694"/>
      <c r="E22" s="694"/>
      <c r="F22" s="694"/>
      <c r="G22" s="694"/>
      <c r="H22" s="695"/>
      <c r="I22" s="694"/>
      <c r="J22" s="694"/>
      <c r="K22" s="694">
        <f t="shared" si="0"/>
        <v>0</v>
      </c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6"/>
      <c r="X22" s="694">
        <f t="shared" si="1"/>
        <v>0</v>
      </c>
      <c r="Y22" s="697" t="str">
        <f t="shared" si="2"/>
        <v/>
      </c>
    </row>
    <row r="23" spans="1:25" s="685" customFormat="1" ht="11.25" x14ac:dyDescent="0.2">
      <c r="A23" s="694"/>
      <c r="B23" s="694"/>
      <c r="C23" s="694"/>
      <c r="D23" s="694"/>
      <c r="E23" s="694"/>
      <c r="F23" s="694"/>
      <c r="G23" s="694"/>
      <c r="H23" s="695"/>
      <c r="I23" s="694"/>
      <c r="J23" s="694"/>
      <c r="K23" s="694">
        <f t="shared" si="0"/>
        <v>0</v>
      </c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6"/>
      <c r="X23" s="694">
        <f t="shared" si="1"/>
        <v>0</v>
      </c>
      <c r="Y23" s="697" t="str">
        <f t="shared" si="2"/>
        <v/>
      </c>
    </row>
    <row r="24" spans="1:25" s="685" customFormat="1" ht="11.25" x14ac:dyDescent="0.2">
      <c r="A24" s="694"/>
      <c r="B24" s="694"/>
      <c r="C24" s="694"/>
      <c r="D24" s="694"/>
      <c r="E24" s="694"/>
      <c r="F24" s="694"/>
      <c r="G24" s="694"/>
      <c r="H24" s="695"/>
      <c r="I24" s="694"/>
      <c r="J24" s="694"/>
      <c r="K24" s="694">
        <f t="shared" si="0"/>
        <v>0</v>
      </c>
      <c r="L24" s="694"/>
      <c r="M24" s="694"/>
      <c r="N24" s="694"/>
      <c r="O24" s="694"/>
      <c r="P24" s="694"/>
      <c r="Q24" s="694"/>
      <c r="R24" s="694"/>
      <c r="S24" s="694"/>
      <c r="T24" s="694"/>
      <c r="U24" s="694"/>
      <c r="V24" s="694"/>
      <c r="W24" s="696"/>
      <c r="X24" s="694">
        <f t="shared" si="1"/>
        <v>0</v>
      </c>
      <c r="Y24" s="697" t="str">
        <f t="shared" si="2"/>
        <v/>
      </c>
    </row>
    <row r="25" spans="1:25" s="685" customFormat="1" ht="11.25" x14ac:dyDescent="0.2">
      <c r="A25" s="694"/>
      <c r="B25" s="694"/>
      <c r="C25" s="694"/>
      <c r="D25" s="694"/>
      <c r="E25" s="694"/>
      <c r="F25" s="694"/>
      <c r="G25" s="694"/>
      <c r="H25" s="695"/>
      <c r="I25" s="694"/>
      <c r="J25" s="694"/>
      <c r="K25" s="694">
        <f t="shared" si="0"/>
        <v>0</v>
      </c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6"/>
      <c r="X25" s="694">
        <f t="shared" si="1"/>
        <v>0</v>
      </c>
      <c r="Y25" s="697" t="str">
        <f t="shared" si="2"/>
        <v/>
      </c>
    </row>
    <row r="26" spans="1:25" s="685" customFormat="1" ht="11.25" x14ac:dyDescent="0.2">
      <c r="A26" s="694"/>
      <c r="B26" s="694"/>
      <c r="C26" s="694"/>
      <c r="D26" s="694"/>
      <c r="E26" s="694"/>
      <c r="F26" s="694"/>
      <c r="G26" s="694"/>
      <c r="H26" s="695"/>
      <c r="I26" s="694"/>
      <c r="J26" s="694"/>
      <c r="K26" s="694">
        <f t="shared" si="0"/>
        <v>0</v>
      </c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4"/>
      <c r="W26" s="696"/>
      <c r="X26" s="694">
        <f t="shared" si="1"/>
        <v>0</v>
      </c>
      <c r="Y26" s="697" t="str">
        <f t="shared" si="2"/>
        <v/>
      </c>
    </row>
    <row r="27" spans="1:25" s="685" customFormat="1" ht="11.25" x14ac:dyDescent="0.2">
      <c r="A27" s="694"/>
      <c r="B27" s="694"/>
      <c r="C27" s="694"/>
      <c r="D27" s="694"/>
      <c r="E27" s="694"/>
      <c r="F27" s="694"/>
      <c r="G27" s="694"/>
      <c r="H27" s="695"/>
      <c r="I27" s="694"/>
      <c r="J27" s="694"/>
      <c r="K27" s="694">
        <f t="shared" si="0"/>
        <v>0</v>
      </c>
      <c r="L27" s="694"/>
      <c r="M27" s="694"/>
      <c r="N27" s="694"/>
      <c r="O27" s="694"/>
      <c r="P27" s="694"/>
      <c r="Q27" s="694"/>
      <c r="R27" s="694"/>
      <c r="S27" s="694"/>
      <c r="T27" s="694"/>
      <c r="U27" s="694"/>
      <c r="V27" s="694"/>
      <c r="W27" s="696"/>
      <c r="X27" s="694">
        <f t="shared" si="1"/>
        <v>0</v>
      </c>
      <c r="Y27" s="697" t="str">
        <f t="shared" si="2"/>
        <v/>
      </c>
    </row>
    <row r="28" spans="1:25" s="685" customFormat="1" ht="11.25" x14ac:dyDescent="0.2">
      <c r="A28" s="694"/>
      <c r="B28" s="694"/>
      <c r="C28" s="694"/>
      <c r="D28" s="694"/>
      <c r="E28" s="694"/>
      <c r="F28" s="694"/>
      <c r="G28" s="694"/>
      <c r="H28" s="695"/>
      <c r="I28" s="694"/>
      <c r="J28" s="694"/>
      <c r="K28" s="694">
        <f t="shared" si="0"/>
        <v>0</v>
      </c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6"/>
      <c r="X28" s="694">
        <f t="shared" si="1"/>
        <v>0</v>
      </c>
      <c r="Y28" s="697" t="str">
        <f t="shared" si="2"/>
        <v/>
      </c>
    </row>
    <row r="29" spans="1:25" s="685" customFormat="1" ht="11.25" x14ac:dyDescent="0.2">
      <c r="A29" s="694"/>
      <c r="B29" s="694"/>
      <c r="C29" s="694"/>
      <c r="D29" s="694"/>
      <c r="E29" s="694"/>
      <c r="F29" s="694"/>
      <c r="G29" s="694"/>
      <c r="H29" s="695"/>
      <c r="I29" s="694"/>
      <c r="J29" s="694"/>
      <c r="K29" s="694">
        <f t="shared" si="0"/>
        <v>0</v>
      </c>
      <c r="L29" s="694"/>
      <c r="M29" s="694"/>
      <c r="N29" s="694"/>
      <c r="O29" s="694"/>
      <c r="P29" s="694"/>
      <c r="Q29" s="694"/>
      <c r="R29" s="694"/>
      <c r="S29" s="694"/>
      <c r="T29" s="694"/>
      <c r="U29" s="694"/>
      <c r="V29" s="694"/>
      <c r="W29" s="696"/>
      <c r="X29" s="694">
        <f t="shared" si="1"/>
        <v>0</v>
      </c>
      <c r="Y29" s="697" t="str">
        <f t="shared" si="2"/>
        <v/>
      </c>
    </row>
    <row r="30" spans="1:25" s="685" customFormat="1" ht="11.25" x14ac:dyDescent="0.2">
      <c r="A30" s="694"/>
      <c r="B30" s="694"/>
      <c r="C30" s="694"/>
      <c r="D30" s="694"/>
      <c r="E30" s="694"/>
      <c r="F30" s="694"/>
      <c r="G30" s="694"/>
      <c r="H30" s="695"/>
      <c r="I30" s="694"/>
      <c r="J30" s="694"/>
      <c r="K30" s="694">
        <f t="shared" si="0"/>
        <v>0</v>
      </c>
      <c r="L30" s="694"/>
      <c r="M30" s="694"/>
      <c r="N30" s="694"/>
      <c r="O30" s="694"/>
      <c r="P30" s="694"/>
      <c r="Q30" s="694"/>
      <c r="R30" s="694"/>
      <c r="S30" s="694"/>
      <c r="T30" s="695"/>
      <c r="U30" s="694"/>
      <c r="V30" s="694"/>
      <c r="W30" s="696"/>
      <c r="X30" s="694">
        <f t="shared" si="1"/>
        <v>0</v>
      </c>
      <c r="Y30" s="697" t="str">
        <f t="shared" si="2"/>
        <v/>
      </c>
    </row>
    <row r="31" spans="1:25" s="685" customFormat="1" ht="11.25" x14ac:dyDescent="0.2">
      <c r="A31" s="694"/>
      <c r="B31" s="694"/>
      <c r="C31" s="694"/>
      <c r="D31" s="694"/>
      <c r="E31" s="694"/>
      <c r="F31" s="694"/>
      <c r="G31" s="694"/>
      <c r="H31" s="695"/>
      <c r="I31" s="694"/>
      <c r="J31" s="694"/>
      <c r="K31" s="694">
        <f t="shared" si="0"/>
        <v>0</v>
      </c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6"/>
      <c r="X31" s="694">
        <f t="shared" si="1"/>
        <v>0</v>
      </c>
      <c r="Y31" s="697" t="str">
        <f t="shared" si="2"/>
        <v/>
      </c>
    </row>
    <row r="32" spans="1:25" s="685" customFormat="1" ht="11.25" x14ac:dyDescent="0.2">
      <c r="A32" s="694"/>
      <c r="B32" s="694"/>
      <c r="C32" s="694"/>
      <c r="D32" s="694"/>
      <c r="E32" s="694"/>
      <c r="F32" s="694"/>
      <c r="G32" s="694"/>
      <c r="H32" s="695"/>
      <c r="I32" s="694"/>
      <c r="J32" s="694"/>
      <c r="K32" s="694">
        <f t="shared" si="0"/>
        <v>0</v>
      </c>
      <c r="L32" s="694"/>
      <c r="M32" s="694"/>
      <c r="N32" s="694"/>
      <c r="O32" s="694"/>
      <c r="P32" s="694"/>
      <c r="Q32" s="694"/>
      <c r="R32" s="694"/>
      <c r="S32" s="694"/>
      <c r="T32" s="694"/>
      <c r="U32" s="694"/>
      <c r="V32" s="694"/>
      <c r="W32" s="696"/>
      <c r="X32" s="694">
        <f t="shared" si="1"/>
        <v>0</v>
      </c>
      <c r="Y32" s="697" t="str">
        <f t="shared" si="2"/>
        <v/>
      </c>
    </row>
    <row r="33" spans="1:25" s="685" customFormat="1" ht="11.25" x14ac:dyDescent="0.2">
      <c r="A33" s="694"/>
      <c r="B33" s="694"/>
      <c r="C33" s="694"/>
      <c r="D33" s="700"/>
      <c r="E33" s="700"/>
      <c r="F33" s="700"/>
      <c r="G33" s="700"/>
      <c r="H33" s="701"/>
      <c r="I33" s="694"/>
      <c r="J33" s="694"/>
      <c r="K33" s="694">
        <f t="shared" si="0"/>
        <v>0</v>
      </c>
      <c r="L33" s="694"/>
      <c r="M33" s="694"/>
      <c r="N33" s="694"/>
      <c r="O33" s="694"/>
      <c r="P33" s="694"/>
      <c r="Q33" s="694"/>
      <c r="R33" s="694"/>
      <c r="S33" s="694"/>
      <c r="T33" s="694"/>
      <c r="U33" s="694"/>
      <c r="V33" s="694"/>
      <c r="W33" s="696"/>
      <c r="X33" s="694">
        <f t="shared" si="1"/>
        <v>0</v>
      </c>
      <c r="Y33" s="697" t="str">
        <f t="shared" si="2"/>
        <v/>
      </c>
    </row>
    <row r="34" spans="1:25" s="685" customFormat="1" ht="11.25" x14ac:dyDescent="0.2">
      <c r="A34" s="702"/>
      <c r="B34" s="702"/>
      <c r="C34" s="702"/>
      <c r="D34" s="702"/>
      <c r="E34" s="702"/>
      <c r="F34" s="702"/>
      <c r="G34" s="702"/>
      <c r="H34" s="703"/>
      <c r="I34" s="702"/>
      <c r="J34" s="702"/>
      <c r="K34" s="702">
        <f t="shared" si="0"/>
        <v>0</v>
      </c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4"/>
      <c r="X34" s="702">
        <f t="shared" si="1"/>
        <v>0</v>
      </c>
      <c r="Y34" s="705" t="str">
        <f t="shared" si="2"/>
        <v/>
      </c>
    </row>
    <row r="35" spans="1:25" ht="15" customHeight="1" x14ac:dyDescent="0.25">
      <c r="D35" s="915" t="s">
        <v>584</v>
      </c>
      <c r="E35" s="915"/>
      <c r="F35" s="915"/>
      <c r="G35" s="917">
        <f>(COUNT(G5:G34))</f>
        <v>0</v>
      </c>
    </row>
    <row r="36" spans="1:25" x14ac:dyDescent="0.25">
      <c r="D36" s="916"/>
      <c r="E36" s="916"/>
      <c r="F36" s="916"/>
      <c r="G36" s="918"/>
    </row>
    <row r="37" spans="1:25" x14ac:dyDescent="0.25">
      <c r="A37" s="685" t="s">
        <v>585</v>
      </c>
    </row>
  </sheetData>
  <sheetProtection selectLockedCells="1"/>
  <mergeCells count="18">
    <mergeCell ref="D35:F36"/>
    <mergeCell ref="G35:G36"/>
    <mergeCell ref="J3:J4"/>
    <mergeCell ref="K3:O3"/>
    <mergeCell ref="P3:S3"/>
    <mergeCell ref="T3:W3"/>
    <mergeCell ref="X3:X4"/>
    <mergeCell ref="Y3:Y4"/>
    <mergeCell ref="H1:V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3.937007874015748E-2" right="0.23622047244094491" top="0.74803149606299213" bottom="0.74803149606299213" header="0.31496062992125984" footer="0.31496062992125984"/>
  <pageSetup scale="92" fitToHeight="10" orientation="landscape" r:id="rId1"/>
  <headerFooter scaleWithDoc="0" alignWithMargins="0">
    <oddHeader>&amp;C&amp;"-,Negrita"&amp;13SISTEMA ESTATAL DE EVALUACIÓN
&amp;12PROGRAMA OPERATIVO ANUAL 2016&amp;R&amp;"-,Negrita"ETCA III-15-A
POA - 2016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6"/>
  <sheetViews>
    <sheetView view="pageBreakPreview" zoomScale="90" zoomScaleNormal="100" zoomScaleSheetLayoutView="90" workbookViewId="0">
      <selection activeCell="E15" sqref="E15"/>
    </sheetView>
  </sheetViews>
  <sheetFormatPr baseColWidth="10" defaultColWidth="11.42578125" defaultRowHeight="16.5" x14ac:dyDescent="0.3"/>
  <cols>
    <col min="1" max="1" width="1.85546875" style="488" customWidth="1"/>
    <col min="2" max="2" width="34.7109375" style="47" customWidth="1"/>
    <col min="3" max="3" width="20.85546875" style="47" customWidth="1"/>
    <col min="4" max="4" width="25.5703125" style="47" customWidth="1"/>
    <col min="5" max="5" width="19.85546875" style="47" customWidth="1"/>
    <col min="6" max="16384" width="11.42578125" style="47"/>
  </cols>
  <sheetData>
    <row r="1" spans="1:7" ht="16.5" customHeight="1" x14ac:dyDescent="0.3">
      <c r="A1" s="922" t="s">
        <v>586</v>
      </c>
      <c r="B1" s="922"/>
      <c r="C1" s="922"/>
      <c r="D1" s="922"/>
      <c r="E1" s="922"/>
    </row>
    <row r="2" spans="1:7" x14ac:dyDescent="0.3">
      <c r="A2" s="923" t="s">
        <v>587</v>
      </c>
      <c r="B2" s="923"/>
      <c r="C2" s="923"/>
      <c r="D2" s="923"/>
      <c r="E2" s="923"/>
    </row>
    <row r="3" spans="1:7" x14ac:dyDescent="0.3">
      <c r="A3" s="841" t="s">
        <v>642</v>
      </c>
      <c r="B3" s="841"/>
      <c r="C3" s="841"/>
      <c r="D3" s="841"/>
      <c r="E3" s="841"/>
      <c r="G3" s="486"/>
    </row>
    <row r="4" spans="1:7" x14ac:dyDescent="0.3">
      <c r="A4" s="923" t="s">
        <v>647</v>
      </c>
      <c r="B4" s="923"/>
      <c r="C4" s="923"/>
      <c r="D4" s="923"/>
      <c r="E4" s="923"/>
    </row>
    <row r="5" spans="1:7" x14ac:dyDescent="0.3">
      <c r="A5" s="731"/>
      <c r="B5" s="731"/>
      <c r="C5" s="731" t="s">
        <v>588</v>
      </c>
      <c r="D5" s="4" t="s">
        <v>79</v>
      </c>
      <c r="E5" s="487" t="s">
        <v>644</v>
      </c>
    </row>
    <row r="6" spans="1:7" ht="6.75" customHeight="1" thickBot="1" x14ac:dyDescent="0.35"/>
    <row r="7" spans="1:7" s="489" customFormat="1" ht="17.25" customHeight="1" x14ac:dyDescent="0.25">
      <c r="A7" s="924"/>
      <c r="B7" s="925"/>
      <c r="C7" s="732"/>
      <c r="D7" s="732"/>
      <c r="E7" s="503"/>
    </row>
    <row r="8" spans="1:7" s="489" customFormat="1" ht="20.25" customHeight="1" x14ac:dyDescent="0.25">
      <c r="A8" s="491"/>
      <c r="B8" s="490"/>
      <c r="C8" s="490"/>
      <c r="D8" s="490"/>
      <c r="E8" s="492"/>
      <c r="F8" s="493"/>
    </row>
    <row r="9" spans="1:7" s="489" customFormat="1" ht="20.25" customHeight="1" x14ac:dyDescent="0.25">
      <c r="A9" s="494"/>
      <c r="B9" s="502" t="s">
        <v>589</v>
      </c>
      <c r="C9" s="490"/>
      <c r="D9" s="490"/>
      <c r="E9" s="492"/>
      <c r="F9" s="493"/>
    </row>
    <row r="10" spans="1:7" s="489" customFormat="1" ht="20.25" customHeight="1" x14ac:dyDescent="0.25">
      <c r="A10" s="494"/>
      <c r="B10" s="502" t="s">
        <v>590</v>
      </c>
      <c r="C10" s="490"/>
      <c r="D10" s="490" t="s">
        <v>591</v>
      </c>
      <c r="E10" s="490" t="s">
        <v>592</v>
      </c>
      <c r="F10" s="493"/>
    </row>
    <row r="11" spans="1:7" s="489" customFormat="1" ht="20.25" customHeight="1" x14ac:dyDescent="0.25">
      <c r="A11" s="491"/>
      <c r="E11" s="492"/>
      <c r="F11" s="493"/>
    </row>
    <row r="12" spans="1:7" s="489" customFormat="1" ht="20.25" customHeight="1" x14ac:dyDescent="0.25">
      <c r="A12" s="494"/>
      <c r="E12" s="492"/>
      <c r="F12" s="493"/>
    </row>
    <row r="13" spans="1:7" ht="18.75" x14ac:dyDescent="0.3">
      <c r="A13" s="495"/>
      <c r="B13" s="797" t="s">
        <v>805</v>
      </c>
      <c r="C13" s="797"/>
      <c r="E13" s="496"/>
      <c r="F13" s="18"/>
    </row>
    <row r="14" spans="1:7" x14ac:dyDescent="0.3">
      <c r="A14" s="495"/>
      <c r="B14" s="18"/>
      <c r="C14" s="18"/>
      <c r="D14" s="18"/>
      <c r="E14" s="496"/>
      <c r="F14" s="18"/>
    </row>
    <row r="15" spans="1:7" x14ac:dyDescent="0.3">
      <c r="A15" s="495"/>
      <c r="B15" s="18"/>
      <c r="C15" s="18"/>
      <c r="D15" s="18"/>
      <c r="E15" s="496"/>
      <c r="F15" s="18"/>
    </row>
    <row r="16" spans="1:7" x14ac:dyDescent="0.3">
      <c r="A16" s="495"/>
      <c r="B16" s="18"/>
      <c r="C16" s="18"/>
      <c r="D16" s="18"/>
      <c r="E16" s="496"/>
      <c r="F16" s="18"/>
    </row>
    <row r="17" spans="1:6" x14ac:dyDescent="0.3">
      <c r="A17" s="495"/>
      <c r="B17" s="18"/>
      <c r="C17" s="18"/>
      <c r="D17" s="18"/>
      <c r="E17" s="496"/>
      <c r="F17" s="18"/>
    </row>
    <row r="18" spans="1:6" x14ac:dyDescent="0.3">
      <c r="A18" s="495"/>
      <c r="B18" s="18"/>
      <c r="C18" s="18"/>
      <c r="D18" s="18"/>
      <c r="E18" s="496"/>
      <c r="F18" s="18"/>
    </row>
    <row r="19" spans="1:6" x14ac:dyDescent="0.3">
      <c r="A19" s="495"/>
      <c r="B19" s="18"/>
      <c r="C19" s="18"/>
      <c r="D19" s="18"/>
      <c r="E19" s="496"/>
      <c r="F19" s="18"/>
    </row>
    <row r="20" spans="1:6" x14ac:dyDescent="0.3">
      <c r="A20" s="495"/>
      <c r="B20" s="18"/>
      <c r="C20" s="18"/>
      <c r="D20" s="18"/>
      <c r="E20" s="496"/>
      <c r="F20" s="18"/>
    </row>
    <row r="21" spans="1:6" x14ac:dyDescent="0.3">
      <c r="A21" s="495"/>
      <c r="B21" s="18"/>
      <c r="C21" s="18"/>
      <c r="D21" s="18"/>
      <c r="E21" s="496"/>
      <c r="F21" s="18"/>
    </row>
    <row r="22" spans="1:6" x14ac:dyDescent="0.3">
      <c r="A22" s="495"/>
      <c r="B22" s="18"/>
      <c r="C22" s="18"/>
      <c r="D22" s="18"/>
      <c r="E22" s="496"/>
      <c r="F22" s="18"/>
    </row>
    <row r="23" spans="1:6" x14ac:dyDescent="0.3">
      <c r="A23" s="495"/>
      <c r="B23" s="18"/>
      <c r="C23" s="18"/>
      <c r="D23" s="18"/>
      <c r="E23" s="496"/>
      <c r="F23" s="18"/>
    </row>
    <row r="24" spans="1:6" x14ac:dyDescent="0.3">
      <c r="A24" s="495"/>
      <c r="B24" s="18"/>
      <c r="C24" s="18"/>
      <c r="D24" s="18"/>
      <c r="E24" s="496"/>
      <c r="F24" s="18"/>
    </row>
    <row r="25" spans="1:6" x14ac:dyDescent="0.3">
      <c r="A25" s="495"/>
      <c r="B25" s="18"/>
      <c r="C25" s="18"/>
      <c r="D25" s="18"/>
      <c r="E25" s="496"/>
      <c r="F25" s="18"/>
    </row>
    <row r="26" spans="1:6" x14ac:dyDescent="0.3">
      <c r="A26" s="495"/>
      <c r="B26" s="18"/>
      <c r="C26" s="18"/>
      <c r="D26" s="18"/>
      <c r="E26" s="496"/>
      <c r="F26" s="18"/>
    </row>
    <row r="27" spans="1:6" x14ac:dyDescent="0.3">
      <c r="A27" s="495"/>
      <c r="B27" s="18"/>
      <c r="C27" s="18"/>
      <c r="D27" s="18"/>
      <c r="E27" s="496"/>
      <c r="F27" s="18"/>
    </row>
    <row r="28" spans="1:6" x14ac:dyDescent="0.3">
      <c r="A28" s="495"/>
      <c r="B28" s="18"/>
      <c r="C28" s="18"/>
      <c r="D28" s="18"/>
      <c r="E28" s="496"/>
      <c r="F28" s="18"/>
    </row>
    <row r="29" spans="1:6" x14ac:dyDescent="0.3">
      <c r="A29" s="495"/>
      <c r="B29" s="18"/>
      <c r="C29" s="18"/>
      <c r="D29" s="18"/>
      <c r="E29" s="496"/>
      <c r="F29" s="18"/>
    </row>
    <row r="30" spans="1:6" x14ac:dyDescent="0.3">
      <c r="A30" s="495"/>
      <c r="B30" s="18"/>
      <c r="C30" s="18"/>
      <c r="D30" s="18"/>
      <c r="E30" s="496"/>
      <c r="F30" s="18"/>
    </row>
    <row r="31" spans="1:6" x14ac:dyDescent="0.3">
      <c r="A31" s="495"/>
      <c r="B31" s="18"/>
      <c r="C31" s="18"/>
      <c r="D31" s="18"/>
      <c r="E31" s="496"/>
      <c r="F31" s="18"/>
    </row>
    <row r="32" spans="1:6" x14ac:dyDescent="0.3">
      <c r="A32" s="495"/>
      <c r="B32" s="18"/>
      <c r="C32" s="18"/>
      <c r="D32" s="18"/>
      <c r="E32" s="496"/>
      <c r="F32" s="18"/>
    </row>
    <row r="33" spans="1:6" x14ac:dyDescent="0.3">
      <c r="A33" s="495"/>
      <c r="B33" s="18"/>
      <c r="C33" s="18"/>
      <c r="D33" s="18"/>
      <c r="E33" s="496"/>
      <c r="F33" s="18"/>
    </row>
    <row r="34" spans="1:6" x14ac:dyDescent="0.3">
      <c r="A34" s="495"/>
      <c r="B34" s="18"/>
      <c r="C34" s="18"/>
      <c r="D34" s="18"/>
      <c r="E34" s="496"/>
      <c r="F34" s="18"/>
    </row>
    <row r="35" spans="1:6" x14ac:dyDescent="0.3">
      <c r="A35" s="495"/>
      <c r="B35" s="18"/>
      <c r="C35" s="18"/>
      <c r="D35" s="18"/>
      <c r="E35" s="496"/>
      <c r="F35" s="18"/>
    </row>
    <row r="36" spans="1:6" x14ac:dyDescent="0.3">
      <c r="A36" s="495"/>
      <c r="B36" s="18"/>
      <c r="C36" s="18"/>
      <c r="D36" s="18"/>
      <c r="E36" s="496"/>
      <c r="F36" s="18"/>
    </row>
    <row r="37" spans="1:6" x14ac:dyDescent="0.3">
      <c r="A37" s="495"/>
      <c r="B37" s="18"/>
      <c r="C37" s="18"/>
      <c r="D37" s="18"/>
      <c r="E37" s="496"/>
      <c r="F37" s="18"/>
    </row>
    <row r="38" spans="1:6" x14ac:dyDescent="0.3">
      <c r="A38" s="495"/>
      <c r="B38" s="501"/>
      <c r="C38" s="501"/>
      <c r="D38" s="501"/>
      <c r="E38" s="496"/>
      <c r="F38" s="18"/>
    </row>
    <row r="39" spans="1:6" x14ac:dyDescent="0.3">
      <c r="A39" s="495"/>
      <c r="B39" s="501"/>
      <c r="C39" s="501"/>
      <c r="D39" s="501"/>
      <c r="E39" s="496"/>
    </row>
    <row r="40" spans="1:6" x14ac:dyDescent="0.3">
      <c r="A40" s="495"/>
      <c r="B40" s="501"/>
      <c r="C40" s="501"/>
      <c r="D40" s="501"/>
      <c r="E40" s="496"/>
    </row>
    <row r="41" spans="1:6" x14ac:dyDescent="0.3">
      <c r="A41" s="495"/>
      <c r="B41" s="18"/>
      <c r="C41" s="18"/>
      <c r="D41" s="18"/>
      <c r="E41" s="496"/>
    </row>
    <row r="42" spans="1:6" ht="17.25" thickBot="1" x14ac:dyDescent="0.35">
      <c r="A42" s="497"/>
      <c r="B42" s="498"/>
      <c r="C42" s="498"/>
      <c r="D42" s="498"/>
      <c r="E42" s="499"/>
    </row>
    <row r="43" spans="1:6" x14ac:dyDescent="0.3">
      <c r="A43" s="589" t="s">
        <v>138</v>
      </c>
    </row>
    <row r="45" spans="1:6" ht="25.5" x14ac:dyDescent="0.35">
      <c r="A45" s="500" t="s">
        <v>593</v>
      </c>
      <c r="B45" s="47" t="s">
        <v>594</v>
      </c>
    </row>
    <row r="46" spans="1:6" x14ac:dyDescent="0.3">
      <c r="B46" s="47" t="s">
        <v>595</v>
      </c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FFF00"/>
  </sheetPr>
  <dimension ref="A1:J38"/>
  <sheetViews>
    <sheetView view="pageBreakPreview" topLeftCell="A10" zoomScaleNormal="100" zoomScaleSheetLayoutView="100" workbookViewId="0">
      <selection activeCell="H19" sqref="H19"/>
    </sheetView>
  </sheetViews>
  <sheetFormatPr baseColWidth="10" defaultColWidth="11.42578125" defaultRowHeight="16.5" x14ac:dyDescent="0.3"/>
  <cols>
    <col min="1" max="1" width="4.28515625" style="164" customWidth="1"/>
    <col min="2" max="2" width="41" style="132" customWidth="1"/>
    <col min="3" max="5" width="15.7109375" style="132" customWidth="1"/>
    <col min="6" max="16384" width="11.42578125" style="132"/>
  </cols>
  <sheetData>
    <row r="1" spans="1:7" x14ac:dyDescent="0.3">
      <c r="B1" s="926" t="s">
        <v>76</v>
      </c>
      <c r="C1" s="926"/>
      <c r="D1" s="926"/>
      <c r="E1" s="926"/>
    </row>
    <row r="2" spans="1:7" x14ac:dyDescent="0.3">
      <c r="A2" s="446"/>
      <c r="B2" s="893" t="s">
        <v>67</v>
      </c>
      <c r="C2" s="893"/>
      <c r="D2" s="893"/>
      <c r="E2" s="893"/>
    </row>
    <row r="3" spans="1:7" x14ac:dyDescent="0.3">
      <c r="B3" s="806" t="s">
        <v>759</v>
      </c>
      <c r="C3" s="806"/>
      <c r="D3" s="806"/>
      <c r="E3" s="806"/>
      <c r="G3" s="504"/>
    </row>
    <row r="4" spans="1:7" x14ac:dyDescent="0.3">
      <c r="B4" s="806" t="s">
        <v>647</v>
      </c>
      <c r="C4" s="806"/>
      <c r="D4" s="806"/>
      <c r="E4" s="806"/>
    </row>
    <row r="5" spans="1:7" x14ac:dyDescent="0.3">
      <c r="A5" s="723"/>
      <c r="B5" s="893" t="s">
        <v>596</v>
      </c>
      <c r="C5" s="893"/>
      <c r="D5" s="74" t="s">
        <v>79</v>
      </c>
      <c r="E5" s="446" t="s">
        <v>644</v>
      </c>
    </row>
    <row r="6" spans="1:7" ht="6.75" customHeight="1" thickBot="1" x14ac:dyDescent="0.35"/>
    <row r="7" spans="1:7" s="284" customFormat="1" x14ac:dyDescent="0.25">
      <c r="A7" s="928" t="s">
        <v>199</v>
      </c>
      <c r="B7" s="929"/>
      <c r="C7" s="932" t="s">
        <v>597</v>
      </c>
      <c r="D7" s="932" t="s">
        <v>525</v>
      </c>
      <c r="E7" s="936" t="s">
        <v>598</v>
      </c>
    </row>
    <row r="8" spans="1:7" s="284" customFormat="1" ht="17.25" thickBot="1" x14ac:dyDescent="0.3">
      <c r="A8" s="930"/>
      <c r="B8" s="931"/>
      <c r="C8" s="933"/>
      <c r="D8" s="933"/>
      <c r="E8" s="937"/>
    </row>
    <row r="9" spans="1:7" s="284" customFormat="1" ht="20.25" customHeight="1" x14ac:dyDescent="0.25">
      <c r="A9" s="505" t="s">
        <v>599</v>
      </c>
      <c r="B9" s="453"/>
      <c r="C9" s="463">
        <f>C10+C11</f>
        <v>15323938</v>
      </c>
      <c r="D9" s="463">
        <f>D10+D11</f>
        <v>8472893</v>
      </c>
      <c r="E9" s="513">
        <f>E10+E11</f>
        <v>8472893</v>
      </c>
      <c r="F9" s="558" t="str">
        <f>IF(C9&lt;&gt;'ETCA-II-10 '!C51,"ERROR!!!!! EL MONTO NO COINCIDE CON LO REPORTADO EN EL FORMATO ETCA-II-10 EN EL TOTAL DEVENGADO DEL ANALÍTICO DE INGRESOS","")</f>
        <v/>
      </c>
    </row>
    <row r="10" spans="1:7" s="284" customFormat="1" ht="20.25" customHeight="1" x14ac:dyDescent="0.25">
      <c r="A10" s="452"/>
      <c r="B10" s="507" t="s">
        <v>600</v>
      </c>
      <c r="C10" s="454"/>
      <c r="D10" s="454"/>
      <c r="E10" s="506"/>
    </row>
    <row r="11" spans="1:7" s="284" customFormat="1" ht="20.25" customHeight="1" x14ac:dyDescent="0.25">
      <c r="A11" s="452"/>
      <c r="B11" s="507" t="s">
        <v>601</v>
      </c>
      <c r="C11" s="454">
        <v>15323938</v>
      </c>
      <c r="D11" s="454">
        <v>8472893</v>
      </c>
      <c r="E11" s="506">
        <v>8472893</v>
      </c>
    </row>
    <row r="12" spans="1:7" s="284" customFormat="1" ht="20.25" customHeight="1" x14ac:dyDescent="0.25">
      <c r="A12" s="505" t="s">
        <v>602</v>
      </c>
      <c r="B12" s="507"/>
      <c r="C12" s="463">
        <f>C13+C14</f>
        <v>0</v>
      </c>
      <c r="D12" s="463">
        <f>D13+D14</f>
        <v>9598800</v>
      </c>
      <c r="E12" s="513">
        <f>E13+E14</f>
        <v>9598800</v>
      </c>
      <c r="F12" s="558" t="str">
        <f>IF(C12&lt;&gt;'ETCA-II-11 '!B81,"ERROR!!!!! EL MONTO NO COINCIDE CON LO REPORTADO EN EL FORMATO ETCA-II-10 EN EL TOTAL DEVENGADO DEL ANALÍTICO DE INGRESOS","")</f>
        <v>ERROR!!!!! EL MONTO NO COINCIDE CON LO REPORTADO EN EL FORMATO ETCA-II-10 EN EL TOTAL DEVENGADO DEL ANALÍTICO DE INGRESOS</v>
      </c>
    </row>
    <row r="13" spans="1:7" s="284" customFormat="1" ht="20.25" customHeight="1" x14ac:dyDescent="0.25">
      <c r="A13" s="452"/>
      <c r="B13" s="507" t="s">
        <v>603</v>
      </c>
      <c r="C13" s="454"/>
      <c r="D13" s="454"/>
      <c r="E13" s="506"/>
    </row>
    <row r="14" spans="1:7" s="284" customFormat="1" ht="20.25" customHeight="1" x14ac:dyDescent="0.25">
      <c r="A14" s="452"/>
      <c r="B14" s="507" t="s">
        <v>604</v>
      </c>
      <c r="C14" s="454"/>
      <c r="D14" s="454">
        <v>9598800</v>
      </c>
      <c r="E14" s="506">
        <v>9598800</v>
      </c>
    </row>
    <row r="15" spans="1:7" s="284" customFormat="1" ht="20.25" customHeight="1" x14ac:dyDescent="0.25">
      <c r="A15" s="505" t="s">
        <v>605</v>
      </c>
      <c r="B15" s="507"/>
      <c r="C15" s="463">
        <f>C9-C12</f>
        <v>15323938</v>
      </c>
      <c r="D15" s="463">
        <f>D9-D12</f>
        <v>-1125907</v>
      </c>
      <c r="E15" s="513">
        <f>E9-E12</f>
        <v>-1125907</v>
      </c>
    </row>
    <row r="16" spans="1:7" s="284" customFormat="1" ht="20.25" customHeight="1" thickBot="1" x14ac:dyDescent="0.3">
      <c r="A16" s="452"/>
      <c r="B16" s="453"/>
      <c r="C16" s="454"/>
      <c r="D16" s="454"/>
      <c r="E16" s="456"/>
    </row>
    <row r="17" spans="1:6" s="284" customFormat="1" x14ac:dyDescent="0.25">
      <c r="A17" s="928" t="s">
        <v>199</v>
      </c>
      <c r="B17" s="929"/>
      <c r="C17" s="932" t="s">
        <v>597</v>
      </c>
      <c r="D17" s="932" t="s">
        <v>525</v>
      </c>
      <c r="E17" s="934" t="s">
        <v>598</v>
      </c>
    </row>
    <row r="18" spans="1:6" s="284" customFormat="1" ht="12" customHeight="1" thickBot="1" x14ac:dyDescent="0.3">
      <c r="A18" s="930"/>
      <c r="B18" s="931"/>
      <c r="C18" s="933"/>
      <c r="D18" s="933"/>
      <c r="E18" s="935"/>
    </row>
    <row r="19" spans="1:6" s="284" customFormat="1" ht="20.25" customHeight="1" x14ac:dyDescent="0.25">
      <c r="A19" s="505" t="s">
        <v>606</v>
      </c>
      <c r="B19" s="453"/>
      <c r="C19" s="463">
        <f>C15</f>
        <v>15323938</v>
      </c>
      <c r="D19" s="463">
        <f t="shared" ref="D19:E19" si="0">D15</f>
        <v>-1125907</v>
      </c>
      <c r="E19" s="463">
        <f t="shared" si="0"/>
        <v>-1125907</v>
      </c>
    </row>
    <row r="20" spans="1:6" s="284" customFormat="1" ht="20.25" customHeight="1" x14ac:dyDescent="0.25">
      <c r="A20" s="505" t="s">
        <v>607</v>
      </c>
      <c r="B20" s="453"/>
      <c r="C20" s="454"/>
      <c r="D20" s="454"/>
      <c r="E20" s="456"/>
      <c r="F20" s="558" t="str">
        <f>IF(D20&lt;&gt;'ETCA-I-02'!C48,"ERROR!!!!! EL MONTO NO COINCIDE CON LO REPORTADO EN EL FORMATO ETCA-I-02 POR CONCEPTO DE INTERESES, COMISIONES Y GASTOS DE LA DEUDA","")</f>
        <v/>
      </c>
    </row>
    <row r="21" spans="1:6" s="284" customFormat="1" ht="20.25" customHeight="1" x14ac:dyDescent="0.25">
      <c r="A21" s="505" t="s">
        <v>608</v>
      </c>
      <c r="B21" s="453"/>
      <c r="C21" s="463">
        <f>C19-C20</f>
        <v>15323938</v>
      </c>
      <c r="D21" s="463">
        <f>D19-D20</f>
        <v>-1125907</v>
      </c>
      <c r="E21" s="513">
        <f>E19-E20</f>
        <v>-1125907</v>
      </c>
    </row>
    <row r="22" spans="1:6" s="284" customFormat="1" ht="20.25" customHeight="1" thickBot="1" x14ac:dyDescent="0.3">
      <c r="A22" s="452"/>
      <c r="B22" s="453"/>
      <c r="C22" s="469"/>
      <c r="D22" s="469"/>
      <c r="E22" s="470"/>
    </row>
    <row r="23" spans="1:6" s="284" customFormat="1" ht="28.5" customHeight="1" x14ac:dyDescent="0.25">
      <c r="A23" s="928" t="s">
        <v>199</v>
      </c>
      <c r="B23" s="929"/>
      <c r="C23" s="932" t="s">
        <v>597</v>
      </c>
      <c r="D23" s="508" t="s">
        <v>525</v>
      </c>
      <c r="E23" s="934" t="s">
        <v>598</v>
      </c>
    </row>
    <row r="24" spans="1:6" s="284" customFormat="1" ht="0.75" customHeight="1" thickBot="1" x14ac:dyDescent="0.3">
      <c r="A24" s="930"/>
      <c r="B24" s="931"/>
      <c r="C24" s="933"/>
      <c r="D24" s="509"/>
      <c r="E24" s="935"/>
    </row>
    <row r="25" spans="1:6" s="284" customFormat="1" ht="20.25" customHeight="1" x14ac:dyDescent="0.25">
      <c r="A25" s="505" t="s">
        <v>609</v>
      </c>
      <c r="B25" s="453"/>
      <c r="C25" s="454"/>
      <c r="D25" s="454"/>
      <c r="E25" s="456"/>
    </row>
    <row r="26" spans="1:6" s="284" customFormat="1" ht="20.25" customHeight="1" x14ac:dyDescent="0.25">
      <c r="A26" s="505" t="s">
        <v>610</v>
      </c>
      <c r="B26" s="453"/>
      <c r="C26" s="454"/>
      <c r="D26" s="454"/>
      <c r="E26" s="456"/>
    </row>
    <row r="27" spans="1:6" s="284" customFormat="1" ht="20.25" customHeight="1" x14ac:dyDescent="0.25">
      <c r="A27" s="505" t="s">
        <v>611</v>
      </c>
      <c r="B27" s="453"/>
      <c r="C27" s="463">
        <f>C25-C26</f>
        <v>0</v>
      </c>
      <c r="D27" s="463">
        <f>D25-D26</f>
        <v>0</v>
      </c>
      <c r="E27" s="513">
        <f>E25-E26</f>
        <v>0</v>
      </c>
    </row>
    <row r="28" spans="1:6" s="284" customFormat="1" ht="20.25" customHeight="1" thickBot="1" x14ac:dyDescent="0.3">
      <c r="A28" s="724"/>
      <c r="B28" s="725"/>
      <c r="C28" s="727"/>
      <c r="D28" s="727"/>
      <c r="E28" s="510"/>
    </row>
    <row r="29" spans="1:6" s="284" customFormat="1" ht="18" customHeight="1" x14ac:dyDescent="0.25">
      <c r="A29" s="586" t="s">
        <v>138</v>
      </c>
      <c r="B29" s="512"/>
      <c r="C29" s="512"/>
      <c r="D29" s="512"/>
      <c r="E29" s="512"/>
    </row>
    <row r="30" spans="1:6" s="284" customFormat="1" ht="18" customHeight="1" x14ac:dyDescent="0.25">
      <c r="A30" s="664"/>
      <c r="B30" s="664"/>
      <c r="C30" s="664"/>
      <c r="D30" s="664"/>
      <c r="E30" s="664"/>
    </row>
    <row r="31" spans="1:6" s="284" customFormat="1" ht="18" customHeight="1" x14ac:dyDescent="0.25">
      <c r="A31" s="664"/>
      <c r="B31" s="664"/>
      <c r="C31" s="664"/>
      <c r="D31" s="664"/>
      <c r="E31" s="664"/>
    </row>
    <row r="32" spans="1:6" s="284" customFormat="1" ht="18" customHeight="1" x14ac:dyDescent="0.25">
      <c r="A32" s="664"/>
      <c r="B32" s="664"/>
      <c r="C32" s="664"/>
      <c r="D32" s="664"/>
      <c r="E32" s="664"/>
    </row>
    <row r="33" spans="1:10" ht="18" customHeight="1" x14ac:dyDescent="0.3">
      <c r="A33" s="586" t="s">
        <v>144</v>
      </c>
      <c r="B33" s="512"/>
      <c r="C33" s="512"/>
      <c r="D33" s="512"/>
      <c r="E33" s="512"/>
      <c r="J33" s="462"/>
    </row>
    <row r="34" spans="1:10" ht="49.5" customHeight="1" x14ac:dyDescent="0.3">
      <c r="A34" s="927" t="s">
        <v>612</v>
      </c>
      <c r="B34" s="927"/>
      <c r="C34" s="927"/>
      <c r="D34" s="927"/>
      <c r="E34" s="927"/>
    </row>
    <row r="35" spans="1:10" x14ac:dyDescent="0.3">
      <c r="A35" s="511"/>
      <c r="B35" s="512"/>
      <c r="C35" s="512"/>
      <c r="D35" s="512"/>
      <c r="E35" s="512"/>
    </row>
    <row r="36" spans="1:10" ht="75" customHeight="1" x14ac:dyDescent="0.3">
      <c r="A36" s="927" t="s">
        <v>613</v>
      </c>
      <c r="B36" s="927"/>
      <c r="C36" s="927"/>
      <c r="D36" s="927"/>
      <c r="E36" s="927"/>
    </row>
    <row r="37" spans="1:10" x14ac:dyDescent="0.3">
      <c r="A37" s="511"/>
      <c r="B37" s="512"/>
      <c r="C37" s="512"/>
      <c r="D37" s="512"/>
      <c r="E37" s="512"/>
    </row>
    <row r="38" spans="1:10" ht="44.25" customHeight="1" x14ac:dyDescent="0.3">
      <c r="A38" s="927" t="s">
        <v>614</v>
      </c>
      <c r="B38" s="927"/>
      <c r="C38" s="927"/>
      <c r="D38" s="927"/>
      <c r="E38" s="927"/>
    </row>
  </sheetData>
  <sheetProtection algorithmName="SHA-512" hashValue="xAXoD8+swDkrQIFGuA0Xo8aXSRbJmpA4XMWUAoAkHcqYB9pSau1knz6pgYpeXFoweJSIUr1kzDc1lVbjh3iRPw==" saltValue="E86eYNq0LHSdF1KyvQJn5Q==" spinCount="100000" sheet="1" objects="1" scenarios="1"/>
  <mergeCells count="19">
    <mergeCell ref="A7:B8"/>
    <mergeCell ref="C7:C8"/>
    <mergeCell ref="E7:E8"/>
    <mergeCell ref="C17:C18"/>
    <mergeCell ref="E17:E18"/>
    <mergeCell ref="A17:B18"/>
    <mergeCell ref="D7:D8"/>
    <mergeCell ref="D17:D18"/>
    <mergeCell ref="A34:E34"/>
    <mergeCell ref="A36:E36"/>
    <mergeCell ref="A38:E38"/>
    <mergeCell ref="A23:B24"/>
    <mergeCell ref="C23:C24"/>
    <mergeCell ref="E23:E24"/>
    <mergeCell ref="B1:E1"/>
    <mergeCell ref="B2:E2"/>
    <mergeCell ref="B3:E3"/>
    <mergeCell ref="B4:E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7"/>
  </sheetPr>
  <dimension ref="A1:D27"/>
  <sheetViews>
    <sheetView view="pageBreakPreview" topLeftCell="A16" zoomScale="90" zoomScaleNormal="100" zoomScaleSheetLayoutView="90" workbookViewId="0">
      <selection activeCell="D9" sqref="D9"/>
    </sheetView>
  </sheetViews>
  <sheetFormatPr baseColWidth="10" defaultColWidth="11.42578125" defaultRowHeight="16.5" x14ac:dyDescent="0.3"/>
  <cols>
    <col min="1" max="1" width="2.85546875" style="7" customWidth="1"/>
    <col min="2" max="2" width="40.28515625" style="3" customWidth="1"/>
    <col min="3" max="3" width="31.5703125" style="3" customWidth="1"/>
    <col min="4" max="4" width="23" style="3" customWidth="1"/>
    <col min="5" max="16384" width="11.42578125" style="3"/>
  </cols>
  <sheetData>
    <row r="1" spans="1:4" x14ac:dyDescent="0.3">
      <c r="A1" s="800" t="s">
        <v>76</v>
      </c>
      <c r="B1" s="800"/>
      <c r="C1" s="800"/>
      <c r="D1" s="800"/>
    </row>
    <row r="2" spans="1:4" x14ac:dyDescent="0.3">
      <c r="A2" s="942" t="s">
        <v>69</v>
      </c>
      <c r="B2" s="942"/>
      <c r="C2" s="942"/>
      <c r="D2" s="942"/>
    </row>
    <row r="3" spans="1:4" x14ac:dyDescent="0.3">
      <c r="A3" s="801" t="s">
        <v>642</v>
      </c>
      <c r="B3" s="801"/>
      <c r="C3" s="801"/>
      <c r="D3" s="801"/>
    </row>
    <row r="4" spans="1:4" x14ac:dyDescent="0.3">
      <c r="A4" s="942" t="s">
        <v>647</v>
      </c>
      <c r="B4" s="942"/>
      <c r="C4" s="942"/>
      <c r="D4" s="942"/>
    </row>
    <row r="5" spans="1:4" x14ac:dyDescent="0.3">
      <c r="A5" s="30"/>
      <c r="B5" s="942" t="s">
        <v>615</v>
      </c>
      <c r="C5" s="942"/>
      <c r="D5" s="66" t="s">
        <v>653</v>
      </c>
    </row>
    <row r="6" spans="1:4" ht="6.75" customHeight="1" thickBot="1" x14ac:dyDescent="0.35"/>
    <row r="7" spans="1:4" s="22" customFormat="1" ht="30" customHeight="1" x14ac:dyDescent="0.25">
      <c r="A7" s="945" t="s">
        <v>616</v>
      </c>
      <c r="B7" s="946"/>
      <c r="C7" s="943" t="s">
        <v>617</v>
      </c>
      <c r="D7" s="944"/>
    </row>
    <row r="8" spans="1:4" s="22" customFormat="1" ht="32.25" customHeight="1" thickBot="1" x14ac:dyDescent="0.3">
      <c r="A8" s="947"/>
      <c r="B8" s="948"/>
      <c r="C8" s="31" t="s">
        <v>618</v>
      </c>
      <c r="D8" s="32" t="s">
        <v>619</v>
      </c>
    </row>
    <row r="9" spans="1:4" s="22" customFormat="1" ht="31.5" customHeight="1" x14ac:dyDescent="0.25">
      <c r="A9" s="26">
        <v>1</v>
      </c>
      <c r="B9" s="43" t="s">
        <v>760</v>
      </c>
      <c r="C9" s="27" t="s">
        <v>771</v>
      </c>
      <c r="D9" s="28">
        <v>7438149</v>
      </c>
    </row>
    <row r="10" spans="1:4" s="22" customFormat="1" ht="31.5" customHeight="1" x14ac:dyDescent="0.25">
      <c r="A10" s="26">
        <v>2</v>
      </c>
      <c r="B10" s="43" t="s">
        <v>761</v>
      </c>
      <c r="C10" s="27" t="s">
        <v>771</v>
      </c>
      <c r="D10" s="28">
        <v>2817395</v>
      </c>
    </row>
    <row r="11" spans="1:4" s="22" customFormat="1" ht="31.5" customHeight="1" x14ac:dyDescent="0.25">
      <c r="A11" s="26">
        <v>3</v>
      </c>
      <c r="B11" s="43" t="s">
        <v>762</v>
      </c>
      <c r="C11" s="27" t="s">
        <v>771</v>
      </c>
      <c r="D11" s="28">
        <v>7662334445</v>
      </c>
    </row>
    <row r="12" spans="1:4" s="22" customFormat="1" ht="31.5" customHeight="1" x14ac:dyDescent="0.25">
      <c r="A12" s="26">
        <v>4</v>
      </c>
      <c r="B12" s="43" t="s">
        <v>763</v>
      </c>
      <c r="C12" s="27" t="s">
        <v>771</v>
      </c>
      <c r="D12" s="28">
        <v>5915150</v>
      </c>
    </row>
    <row r="13" spans="1:4" s="22" customFormat="1" ht="31.5" customHeight="1" x14ac:dyDescent="0.25">
      <c r="A13" s="26">
        <v>5</v>
      </c>
      <c r="B13" s="43" t="s">
        <v>761</v>
      </c>
      <c r="C13" s="27" t="s">
        <v>772</v>
      </c>
      <c r="D13" s="28">
        <v>50025344947</v>
      </c>
    </row>
    <row r="14" spans="1:4" s="22" customFormat="1" ht="31.5" customHeight="1" x14ac:dyDescent="0.25">
      <c r="A14" s="26">
        <v>6</v>
      </c>
      <c r="B14" s="43" t="s">
        <v>764</v>
      </c>
      <c r="C14" s="27" t="s">
        <v>772</v>
      </c>
      <c r="D14" s="28">
        <v>50026369457</v>
      </c>
    </row>
    <row r="15" spans="1:4" s="22" customFormat="1" ht="31.5" customHeight="1" x14ac:dyDescent="0.25">
      <c r="A15" s="26">
        <v>7</v>
      </c>
      <c r="B15" s="43" t="s">
        <v>765</v>
      </c>
      <c r="C15" s="27" t="s">
        <v>772</v>
      </c>
      <c r="D15" s="28" t="s">
        <v>774</v>
      </c>
    </row>
    <row r="16" spans="1:4" s="22" customFormat="1" ht="31.5" customHeight="1" x14ac:dyDescent="0.25">
      <c r="A16" s="26">
        <v>8</v>
      </c>
      <c r="B16" s="43" t="s">
        <v>766</v>
      </c>
      <c r="C16" s="27" t="s">
        <v>772</v>
      </c>
      <c r="D16" s="28">
        <v>50026369457</v>
      </c>
    </row>
    <row r="17" spans="1:4" s="22" customFormat="1" ht="31.5" customHeight="1" x14ac:dyDescent="0.25">
      <c r="A17" s="26">
        <v>9</v>
      </c>
      <c r="B17" s="43" t="s">
        <v>767</v>
      </c>
      <c r="C17" s="27" t="s">
        <v>772</v>
      </c>
      <c r="D17" s="28">
        <v>50027829174</v>
      </c>
    </row>
    <row r="18" spans="1:4" s="22" customFormat="1" ht="31.5" customHeight="1" x14ac:dyDescent="0.25">
      <c r="A18" s="26"/>
      <c r="B18" s="43" t="s">
        <v>768</v>
      </c>
      <c r="C18" s="27" t="s">
        <v>772</v>
      </c>
      <c r="D18" s="28">
        <v>50028103433</v>
      </c>
    </row>
    <row r="19" spans="1:4" s="22" customFormat="1" ht="31.5" customHeight="1" x14ac:dyDescent="0.25">
      <c r="A19" s="26"/>
      <c r="B19" s="43" t="s">
        <v>769</v>
      </c>
      <c r="C19" s="27" t="s">
        <v>772</v>
      </c>
      <c r="D19" s="28">
        <v>50027893285</v>
      </c>
    </row>
    <row r="20" spans="1:4" s="22" customFormat="1" ht="31.5" customHeight="1" x14ac:dyDescent="0.25">
      <c r="A20" s="26"/>
      <c r="B20" s="43" t="s">
        <v>770</v>
      </c>
      <c r="C20" s="27" t="s">
        <v>773</v>
      </c>
      <c r="D20" s="28">
        <v>100986291</v>
      </c>
    </row>
    <row r="21" spans="1:4" s="22" customFormat="1" ht="31.5" customHeight="1" x14ac:dyDescent="0.25">
      <c r="A21" s="26"/>
      <c r="B21" s="43"/>
      <c r="C21" s="27"/>
      <c r="D21" s="28"/>
    </row>
    <row r="22" spans="1:4" s="22" customFormat="1" ht="31.5" customHeight="1" x14ac:dyDescent="0.25">
      <c r="A22" s="26"/>
      <c r="B22" s="43"/>
      <c r="C22" s="27"/>
      <c r="D22" s="28"/>
    </row>
    <row r="23" spans="1:4" s="22" customFormat="1" ht="31.5" customHeight="1" x14ac:dyDescent="0.25">
      <c r="A23" s="26"/>
      <c r="B23" s="43"/>
      <c r="C23" s="27"/>
      <c r="D23" s="28"/>
    </row>
    <row r="24" spans="1:4" s="22" customFormat="1" ht="31.5" customHeight="1" x14ac:dyDescent="0.25">
      <c r="A24" s="26">
        <v>10</v>
      </c>
      <c r="B24" s="43"/>
      <c r="C24" s="27"/>
      <c r="D24" s="28"/>
    </row>
    <row r="25" spans="1:4" s="22" customFormat="1" ht="31.5" customHeight="1" x14ac:dyDescent="0.25">
      <c r="A25" s="938"/>
      <c r="B25" s="939"/>
      <c r="C25" s="940"/>
      <c r="D25" s="941"/>
    </row>
    <row r="26" spans="1:4" x14ac:dyDescent="0.3">
      <c r="A26" s="589" t="s">
        <v>138</v>
      </c>
      <c r="B26" s="47"/>
    </row>
    <row r="27" spans="1:4" ht="18.75" x14ac:dyDescent="0.3">
      <c r="B27" s="514" t="s">
        <v>620</v>
      </c>
    </row>
  </sheetData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7"/>
    <pageSetUpPr fitToPage="1"/>
  </sheetPr>
  <dimension ref="A1:G73"/>
  <sheetViews>
    <sheetView view="pageBreakPreview" topLeftCell="A34" zoomScale="75" zoomScaleNormal="100" zoomScaleSheetLayoutView="75" workbookViewId="0">
      <selection activeCell="C64" sqref="C64"/>
    </sheetView>
  </sheetViews>
  <sheetFormatPr baseColWidth="10" defaultColWidth="11.42578125" defaultRowHeight="16.5" x14ac:dyDescent="0.3"/>
  <cols>
    <col min="1" max="1" width="1.5703125" style="134" customWidth="1"/>
    <col min="2" max="2" width="101.7109375" style="134" bestFit="1" customWidth="1"/>
    <col min="3" max="3" width="18.42578125" style="134" customWidth="1"/>
    <col min="4" max="4" width="18" style="577" customWidth="1"/>
    <col min="5" max="5" width="59.42578125" style="133" customWidth="1"/>
    <col min="6" max="6" width="22.7109375" style="133" customWidth="1"/>
    <col min="7" max="16384" width="11.42578125" style="133"/>
  </cols>
  <sheetData>
    <row r="1" spans="1:7" s="132" customFormat="1" ht="20.25" x14ac:dyDescent="0.3">
      <c r="A1" s="808" t="s">
        <v>76</v>
      </c>
      <c r="B1" s="808"/>
      <c r="C1" s="808"/>
      <c r="D1" s="808"/>
      <c r="E1" s="562"/>
      <c r="G1" s="74"/>
    </row>
    <row r="2" spans="1:7" ht="15.75" x14ac:dyDescent="0.25">
      <c r="A2" s="807" t="s">
        <v>14</v>
      </c>
      <c r="B2" s="807"/>
      <c r="C2" s="807"/>
      <c r="D2" s="807"/>
    </row>
    <row r="3" spans="1:7" x14ac:dyDescent="0.25">
      <c r="A3" s="806" t="s">
        <v>642</v>
      </c>
      <c r="B3" s="806"/>
      <c r="C3" s="806"/>
      <c r="D3" s="806"/>
    </row>
    <row r="4" spans="1:7" x14ac:dyDescent="0.25">
      <c r="A4" s="806" t="s">
        <v>645</v>
      </c>
      <c r="B4" s="806"/>
      <c r="C4" s="806"/>
      <c r="D4" s="806"/>
    </row>
    <row r="5" spans="1:7" s="134" customFormat="1" ht="17.25" thickBot="1" x14ac:dyDescent="0.35">
      <c r="A5" s="809" t="s">
        <v>140</v>
      </c>
      <c r="B5" s="809"/>
      <c r="C5" s="74" t="s">
        <v>787</v>
      </c>
      <c r="D5" s="571" t="s">
        <v>644</v>
      </c>
    </row>
    <row r="6" spans="1:7" ht="27.75" customHeight="1" thickBot="1" x14ac:dyDescent="0.3">
      <c r="A6" s="804"/>
      <c r="B6" s="805"/>
      <c r="C6" s="159">
        <v>2016</v>
      </c>
      <c r="D6" s="572">
        <v>2015</v>
      </c>
    </row>
    <row r="7" spans="1:7" ht="17.25" thickTop="1" x14ac:dyDescent="0.25">
      <c r="A7" s="135" t="s">
        <v>141</v>
      </c>
      <c r="B7" s="136"/>
      <c r="C7" s="137"/>
      <c r="D7" s="573"/>
    </row>
    <row r="8" spans="1:7" x14ac:dyDescent="0.25">
      <c r="A8" s="138" t="s">
        <v>142</v>
      </c>
      <c r="B8" s="139"/>
      <c r="C8" s="149">
        <f>SUM(C9:C16)</f>
        <v>428044</v>
      </c>
      <c r="D8" s="150">
        <f>SUM(D9:D16)</f>
        <v>340130</v>
      </c>
    </row>
    <row r="9" spans="1:7" x14ac:dyDescent="0.25">
      <c r="A9" s="140"/>
      <c r="B9" s="141" t="s">
        <v>143</v>
      </c>
      <c r="C9" s="142" t="s">
        <v>144</v>
      </c>
      <c r="D9" s="143" t="s">
        <v>144</v>
      </c>
    </row>
    <row r="10" spans="1:7" x14ac:dyDescent="0.25">
      <c r="A10" s="140"/>
      <c r="B10" s="141" t="s">
        <v>145</v>
      </c>
      <c r="C10" s="142"/>
      <c r="D10" s="143"/>
    </row>
    <row r="11" spans="1:7" x14ac:dyDescent="0.25">
      <c r="A11" s="140"/>
      <c r="B11" s="141" t="s">
        <v>146</v>
      </c>
      <c r="C11" s="142"/>
      <c r="D11" s="143"/>
    </row>
    <row r="12" spans="1:7" x14ac:dyDescent="0.25">
      <c r="A12" s="140"/>
      <c r="B12" s="141" t="s">
        <v>147</v>
      </c>
      <c r="C12" s="142"/>
      <c r="D12" s="143"/>
    </row>
    <row r="13" spans="1:7" ht="18.75" x14ac:dyDescent="0.25">
      <c r="A13" s="140"/>
      <c r="B13" s="141" t="s">
        <v>148</v>
      </c>
      <c r="C13" s="142"/>
      <c r="D13" s="143"/>
    </row>
    <row r="14" spans="1:7" x14ac:dyDescent="0.25">
      <c r="A14" s="140"/>
      <c r="B14" s="141" t="s">
        <v>149</v>
      </c>
      <c r="C14" s="142"/>
      <c r="D14" s="143"/>
    </row>
    <row r="15" spans="1:7" x14ac:dyDescent="0.25">
      <c r="A15" s="140"/>
      <c r="B15" s="141" t="s">
        <v>150</v>
      </c>
      <c r="C15" s="142">
        <v>428044</v>
      </c>
      <c r="D15" s="143">
        <v>340130</v>
      </c>
    </row>
    <row r="16" spans="1:7" x14ac:dyDescent="0.25">
      <c r="A16" s="140"/>
      <c r="B16" s="141" t="s">
        <v>151</v>
      </c>
      <c r="C16" s="142"/>
      <c r="D16" s="143"/>
    </row>
    <row r="17" spans="1:4" x14ac:dyDescent="0.25">
      <c r="A17" s="138" t="s">
        <v>152</v>
      </c>
      <c r="B17" s="139"/>
      <c r="C17" s="149">
        <f>SUM(C18:C19)</f>
        <v>8044849</v>
      </c>
      <c r="D17" s="150">
        <f>SUM(D18:D19)</f>
        <v>6669697</v>
      </c>
    </row>
    <row r="18" spans="1:4" x14ac:dyDescent="0.25">
      <c r="A18" s="140"/>
      <c r="B18" s="141" t="s">
        <v>153</v>
      </c>
      <c r="C18" s="142">
        <v>8044849</v>
      </c>
      <c r="D18" s="143">
        <v>6669697</v>
      </c>
    </row>
    <row r="19" spans="1:4" x14ac:dyDescent="0.25">
      <c r="A19" s="140"/>
      <c r="B19" s="141" t="s">
        <v>154</v>
      </c>
      <c r="C19" s="142" t="s">
        <v>144</v>
      </c>
      <c r="D19" s="143" t="s">
        <v>144</v>
      </c>
    </row>
    <row r="20" spans="1:4" x14ac:dyDescent="0.25">
      <c r="A20" s="138" t="s">
        <v>155</v>
      </c>
      <c r="B20" s="139"/>
      <c r="C20" s="151">
        <f>SUM(C21:C25)</f>
        <v>85492</v>
      </c>
      <c r="D20" s="150">
        <f>SUM(D21:D25)</f>
        <v>82174</v>
      </c>
    </row>
    <row r="21" spans="1:4" x14ac:dyDescent="0.25">
      <c r="A21" s="140"/>
      <c r="B21" s="141" t="s">
        <v>156</v>
      </c>
      <c r="C21" s="142">
        <v>85492</v>
      </c>
      <c r="D21" s="143">
        <v>82175</v>
      </c>
    </row>
    <row r="22" spans="1:4" x14ac:dyDescent="0.25">
      <c r="A22" s="140"/>
      <c r="B22" s="141" t="s">
        <v>157</v>
      </c>
      <c r="C22" s="142"/>
      <c r="D22" s="143"/>
    </row>
    <row r="23" spans="1:4" x14ac:dyDescent="0.25">
      <c r="A23" s="140"/>
      <c r="B23" s="141" t="s">
        <v>158</v>
      </c>
      <c r="C23" s="142"/>
      <c r="D23" s="143"/>
    </row>
    <row r="24" spans="1:4" x14ac:dyDescent="0.25">
      <c r="A24" s="140"/>
      <c r="B24" s="141" t="s">
        <v>159</v>
      </c>
      <c r="C24" s="142"/>
      <c r="D24" s="143"/>
    </row>
    <row r="25" spans="1:4" x14ac:dyDescent="0.25">
      <c r="A25" s="140"/>
      <c r="B25" s="141" t="s">
        <v>160</v>
      </c>
      <c r="C25" s="142"/>
      <c r="D25" s="143">
        <v>-1</v>
      </c>
    </row>
    <row r="26" spans="1:4" x14ac:dyDescent="0.25">
      <c r="A26" s="140"/>
      <c r="B26" s="137"/>
      <c r="C26" s="142" t="s">
        <v>144</v>
      </c>
      <c r="D26" s="143"/>
    </row>
    <row r="27" spans="1:4" x14ac:dyDescent="0.25">
      <c r="A27" s="144" t="s">
        <v>161</v>
      </c>
      <c r="B27" s="145"/>
      <c r="C27" s="152">
        <f>C20+C17+C8</f>
        <v>8558385</v>
      </c>
      <c r="D27" s="153">
        <f>D20+D17+D8</f>
        <v>7092001</v>
      </c>
    </row>
    <row r="28" spans="1:4" x14ac:dyDescent="0.25">
      <c r="A28" s="140"/>
      <c r="B28" s="137"/>
      <c r="C28" s="142"/>
      <c r="D28" s="143"/>
    </row>
    <row r="29" spans="1:4" x14ac:dyDescent="0.25">
      <c r="A29" s="135" t="s">
        <v>162</v>
      </c>
      <c r="B29" s="136"/>
      <c r="C29" s="142"/>
      <c r="D29" s="143"/>
    </row>
    <row r="30" spans="1:4" x14ac:dyDescent="0.25">
      <c r="A30" s="138" t="s">
        <v>163</v>
      </c>
      <c r="B30" s="139"/>
      <c r="C30" s="149">
        <f>SUM(C31:C33)</f>
        <v>9598800</v>
      </c>
      <c r="D30" s="150">
        <f>SUM(D31:D33)</f>
        <v>6386357</v>
      </c>
    </row>
    <row r="31" spans="1:4" x14ac:dyDescent="0.25">
      <c r="A31" s="140"/>
      <c r="B31" s="141" t="s">
        <v>164</v>
      </c>
      <c r="C31" s="142">
        <v>6467383</v>
      </c>
      <c r="D31" s="143">
        <v>5028401</v>
      </c>
    </row>
    <row r="32" spans="1:4" x14ac:dyDescent="0.25">
      <c r="A32" s="140"/>
      <c r="B32" s="141" t="s">
        <v>165</v>
      </c>
      <c r="C32" s="142">
        <v>1009260</v>
      </c>
      <c r="D32" s="143">
        <v>316496</v>
      </c>
    </row>
    <row r="33" spans="1:4" x14ac:dyDescent="0.25">
      <c r="A33" s="140"/>
      <c r="B33" s="141" t="s">
        <v>166</v>
      </c>
      <c r="C33" s="142">
        <v>2122157</v>
      </c>
      <c r="D33" s="143">
        <v>1041460</v>
      </c>
    </row>
    <row r="34" spans="1:4" x14ac:dyDescent="0.25">
      <c r="A34" s="138" t="s">
        <v>154</v>
      </c>
      <c r="B34" s="139"/>
      <c r="C34" s="151">
        <f>SUM(C35:C43)</f>
        <v>0</v>
      </c>
      <c r="D34" s="154">
        <f>SUM(D35:D43)</f>
        <v>0</v>
      </c>
    </row>
    <row r="35" spans="1:4" x14ac:dyDescent="0.25">
      <c r="A35" s="140"/>
      <c r="B35" s="141" t="s">
        <v>167</v>
      </c>
      <c r="C35" s="142"/>
      <c r="D35" s="143"/>
    </row>
    <row r="36" spans="1:4" x14ac:dyDescent="0.25">
      <c r="A36" s="140"/>
      <c r="B36" s="141" t="s">
        <v>168</v>
      </c>
      <c r="C36" s="142"/>
      <c r="D36" s="143"/>
    </row>
    <row r="37" spans="1:4" x14ac:dyDescent="0.25">
      <c r="A37" s="140"/>
      <c r="B37" s="141" t="s">
        <v>169</v>
      </c>
      <c r="C37" s="142"/>
      <c r="D37" s="143"/>
    </row>
    <row r="38" spans="1:4" x14ac:dyDescent="0.25">
      <c r="A38" s="140"/>
      <c r="B38" s="141" t="s">
        <v>170</v>
      </c>
      <c r="C38" s="142"/>
      <c r="D38" s="143"/>
    </row>
    <row r="39" spans="1:4" x14ac:dyDescent="0.25">
      <c r="A39" s="140"/>
      <c r="B39" s="141" t="s">
        <v>171</v>
      </c>
      <c r="C39" s="142"/>
      <c r="D39" s="143"/>
    </row>
    <row r="40" spans="1:4" x14ac:dyDescent="0.25">
      <c r="A40" s="140"/>
      <c r="B40" s="141" t="s">
        <v>172</v>
      </c>
      <c r="C40" s="142"/>
      <c r="D40" s="143"/>
    </row>
    <row r="41" spans="1:4" x14ac:dyDescent="0.25">
      <c r="A41" s="140"/>
      <c r="B41" s="141" t="s">
        <v>173</v>
      </c>
      <c r="C41" s="142"/>
      <c r="D41" s="143"/>
    </row>
    <row r="42" spans="1:4" x14ac:dyDescent="0.25">
      <c r="A42" s="140"/>
      <c r="B42" s="141" t="s">
        <v>174</v>
      </c>
      <c r="C42" s="142"/>
      <c r="D42" s="143"/>
    </row>
    <row r="43" spans="1:4" x14ac:dyDescent="0.25">
      <c r="A43" s="140"/>
      <c r="B43" s="141" t="s">
        <v>175</v>
      </c>
      <c r="C43" s="142"/>
      <c r="D43" s="143"/>
    </row>
    <row r="44" spans="1:4" x14ac:dyDescent="0.25">
      <c r="A44" s="138" t="s">
        <v>176</v>
      </c>
      <c r="B44" s="139"/>
      <c r="C44" s="151">
        <f>SUM(C45:C47)</f>
        <v>0</v>
      </c>
      <c r="D44" s="154">
        <f>SUM(D45:D47)</f>
        <v>0</v>
      </c>
    </row>
    <row r="45" spans="1:4" x14ac:dyDescent="0.25">
      <c r="A45" s="140"/>
      <c r="B45" s="141" t="s">
        <v>177</v>
      </c>
      <c r="C45" s="142"/>
      <c r="D45" s="143"/>
    </row>
    <row r="46" spans="1:4" x14ac:dyDescent="0.25">
      <c r="A46" s="140"/>
      <c r="B46" s="141" t="s">
        <v>124</v>
      </c>
      <c r="C46" s="142"/>
      <c r="D46" s="143"/>
    </row>
    <row r="47" spans="1:4" x14ac:dyDescent="0.25">
      <c r="A47" s="140"/>
      <c r="B47" s="141" t="s">
        <v>178</v>
      </c>
      <c r="C47" s="142"/>
      <c r="D47" s="143"/>
    </row>
    <row r="48" spans="1:4" x14ac:dyDescent="0.25">
      <c r="A48" s="138" t="s">
        <v>179</v>
      </c>
      <c r="B48" s="139"/>
      <c r="C48" s="151">
        <f>SUM(C49:C53)</f>
        <v>0</v>
      </c>
      <c r="D48" s="154">
        <f>SUM(D49:D53)</f>
        <v>0</v>
      </c>
    </row>
    <row r="49" spans="1:4" x14ac:dyDescent="0.25">
      <c r="A49" s="140"/>
      <c r="B49" s="141" t="s">
        <v>180</v>
      </c>
      <c r="C49" s="142"/>
      <c r="D49" s="143"/>
    </row>
    <row r="50" spans="1:4" x14ac:dyDescent="0.25">
      <c r="A50" s="140"/>
      <c r="B50" s="141" t="s">
        <v>181</v>
      </c>
      <c r="C50" s="142"/>
      <c r="D50" s="143"/>
    </row>
    <row r="51" spans="1:4" x14ac:dyDescent="0.25">
      <c r="A51" s="140"/>
      <c r="B51" s="141" t="s">
        <v>182</v>
      </c>
      <c r="C51" s="142"/>
      <c r="D51" s="143"/>
    </row>
    <row r="52" spans="1:4" x14ac:dyDescent="0.25">
      <c r="A52" s="140"/>
      <c r="B52" s="141" t="s">
        <v>183</v>
      </c>
      <c r="C52" s="142"/>
      <c r="D52" s="143"/>
    </row>
    <row r="53" spans="1:4" x14ac:dyDescent="0.25">
      <c r="A53" s="140"/>
      <c r="B53" s="141" t="s">
        <v>184</v>
      </c>
      <c r="C53" s="142"/>
      <c r="D53" s="143"/>
    </row>
    <row r="54" spans="1:4" x14ac:dyDescent="0.25">
      <c r="A54" s="138" t="s">
        <v>185</v>
      </c>
      <c r="B54" s="139"/>
      <c r="C54" s="155">
        <f>SUM(C55:C60)</f>
        <v>275159</v>
      </c>
      <c r="D54" s="156">
        <f>SUM(D55:D60)</f>
        <v>276502</v>
      </c>
    </row>
    <row r="55" spans="1:4" x14ac:dyDescent="0.25">
      <c r="A55" s="140"/>
      <c r="B55" s="141" t="s">
        <v>186</v>
      </c>
      <c r="C55" s="142">
        <v>270373</v>
      </c>
      <c r="D55" s="143">
        <v>274326</v>
      </c>
    </row>
    <row r="56" spans="1:4" x14ac:dyDescent="0.25">
      <c r="A56" s="140"/>
      <c r="B56" s="141" t="s">
        <v>187</v>
      </c>
      <c r="C56" s="142"/>
      <c r="D56" s="143"/>
    </row>
    <row r="57" spans="1:4" x14ac:dyDescent="0.25">
      <c r="A57" s="140"/>
      <c r="B57" s="141" t="s">
        <v>188</v>
      </c>
      <c r="C57" s="142"/>
      <c r="D57" s="143"/>
    </row>
    <row r="58" spans="1:4" x14ac:dyDescent="0.25">
      <c r="A58" s="140"/>
      <c r="B58" s="141" t="s">
        <v>189</v>
      </c>
      <c r="C58" s="142"/>
      <c r="D58" s="143"/>
    </row>
    <row r="59" spans="1:4" x14ac:dyDescent="0.25">
      <c r="A59" s="140"/>
      <c r="B59" s="141" t="s">
        <v>190</v>
      </c>
      <c r="C59" s="142"/>
      <c r="D59" s="143"/>
    </row>
    <row r="60" spans="1:4" x14ac:dyDescent="0.25">
      <c r="A60" s="140"/>
      <c r="B60" s="141" t="s">
        <v>191</v>
      </c>
      <c r="C60" s="142">
        <v>4786</v>
      </c>
      <c r="D60" s="143">
        <v>2176</v>
      </c>
    </row>
    <row r="61" spans="1:4" x14ac:dyDescent="0.25">
      <c r="A61" s="138" t="s">
        <v>192</v>
      </c>
      <c r="B61" s="139"/>
      <c r="C61" s="155">
        <f>C62</f>
        <v>0</v>
      </c>
      <c r="D61" s="156">
        <f>D62</f>
        <v>0</v>
      </c>
    </row>
    <row r="62" spans="1:4" x14ac:dyDescent="0.25">
      <c r="A62" s="140"/>
      <c r="B62" s="141" t="s">
        <v>193</v>
      </c>
      <c r="C62" s="142"/>
      <c r="D62" s="143"/>
    </row>
    <row r="63" spans="1:4" x14ac:dyDescent="0.25">
      <c r="A63" s="140"/>
      <c r="B63" s="146"/>
      <c r="C63" s="142"/>
      <c r="D63" s="143"/>
    </row>
    <row r="64" spans="1:4" x14ac:dyDescent="0.25">
      <c r="A64" s="138" t="s">
        <v>194</v>
      </c>
      <c r="B64" s="139"/>
      <c r="C64" s="152">
        <f>C61+C54+C48+C34+C30+C44</f>
        <v>9873959</v>
      </c>
      <c r="D64" s="153">
        <f>D61+D54+D48+D34+D30+D44</f>
        <v>6662859</v>
      </c>
    </row>
    <row r="65" spans="1:5" x14ac:dyDescent="0.25">
      <c r="A65" s="140"/>
      <c r="B65" s="146"/>
      <c r="C65" s="142"/>
      <c r="D65" s="143"/>
    </row>
    <row r="66" spans="1:5" ht="20.25" x14ac:dyDescent="0.3">
      <c r="A66" s="138" t="s">
        <v>195</v>
      </c>
      <c r="B66" s="139"/>
      <c r="C66" s="152">
        <f>C27-C64</f>
        <v>-1315574</v>
      </c>
      <c r="D66" s="153">
        <f>D27-D64</f>
        <v>429142</v>
      </c>
      <c r="E66" s="578" t="str">
        <f>IF(C66&lt;&gt;'ETCA-I-01'!E41,"ERROR!!!, NO COINCIDEN LOS MONTOS CON LO REPORTADO EN EL FORMATO ETCA-I-01 EN EL EJERCICIO 2016","")</f>
        <v/>
      </c>
    </row>
    <row r="67" spans="1:5" ht="21" thickBot="1" x14ac:dyDescent="0.35">
      <c r="A67" s="147"/>
      <c r="B67" s="148"/>
      <c r="C67" s="148"/>
      <c r="D67" s="574"/>
      <c r="E67" s="578"/>
    </row>
    <row r="68" spans="1:5" s="564" customFormat="1" ht="16.5" customHeight="1" x14ac:dyDescent="0.25">
      <c r="A68" s="146"/>
      <c r="B68" s="647" t="s">
        <v>196</v>
      </c>
      <c r="C68" s="146"/>
      <c r="D68" s="648"/>
    </row>
    <row r="69" spans="1:5" s="564" customFormat="1" ht="16.5" customHeight="1" x14ac:dyDescent="0.25">
      <c r="A69" s="146"/>
      <c r="B69" s="146"/>
      <c r="C69" s="146" t="s">
        <v>144</v>
      </c>
      <c r="D69" s="648"/>
    </row>
    <row r="70" spans="1:5" s="564" customFormat="1" ht="16.5" customHeight="1" x14ac:dyDescent="0.25">
      <c r="A70" s="146"/>
      <c r="B70" s="146" t="s">
        <v>144</v>
      </c>
      <c r="C70" s="146" t="s">
        <v>144</v>
      </c>
      <c r="D70" s="648"/>
    </row>
    <row r="71" spans="1:5" s="564" customFormat="1" ht="16.5" customHeight="1" x14ac:dyDescent="0.25">
      <c r="A71" s="146"/>
      <c r="B71" s="146"/>
      <c r="C71" s="146"/>
      <c r="D71" s="648"/>
    </row>
    <row r="72" spans="1:5" s="564" customFormat="1" ht="16.5" customHeight="1" x14ac:dyDescent="0.3">
      <c r="A72" s="563"/>
      <c r="B72" s="72" t="s">
        <v>144</v>
      </c>
      <c r="C72" s="563"/>
      <c r="D72" s="575"/>
    </row>
    <row r="73" spans="1:5" x14ac:dyDescent="0.3">
      <c r="C73" s="126"/>
      <c r="D73" s="576" t="s">
        <v>139</v>
      </c>
    </row>
  </sheetData>
  <sheetProtection algorithmName="SHA-512" hashValue="Z+Pz8BSrrqwDYcPrlms9O1wA8Rf1RnTpuW6rTG6VnLUD07NeY1qHj2SqoLOVD7EHhVGQsd6mwd2bblb9hjZZRg==" saltValue="BLE7KK/2p3Kl9w4WwUEc+Q==" spinCount="100000" sheet="1" objects="1" scenarios="1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60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7"/>
  </sheetPr>
  <dimension ref="A1:D30"/>
  <sheetViews>
    <sheetView view="pageBreakPreview" topLeftCell="A13" zoomScaleNormal="100" zoomScaleSheetLayoutView="100" workbookViewId="0">
      <selection activeCell="H16" sqref="H16"/>
    </sheetView>
  </sheetViews>
  <sheetFormatPr baseColWidth="10" defaultColWidth="11.42578125" defaultRowHeight="16.5" x14ac:dyDescent="0.3"/>
  <cols>
    <col min="1" max="1" width="2.7109375" style="7" bestFit="1" customWidth="1"/>
    <col min="2" max="2" width="37" style="3" customWidth="1"/>
    <col min="3" max="3" width="36.42578125" style="3" customWidth="1"/>
    <col min="4" max="4" width="21.42578125" style="3" customWidth="1"/>
    <col min="5" max="16384" width="11.42578125" style="3"/>
  </cols>
  <sheetData>
    <row r="1" spans="1:4" x14ac:dyDescent="0.3">
      <c r="A1" s="800" t="s">
        <v>76</v>
      </c>
      <c r="B1" s="800"/>
      <c r="C1" s="800"/>
      <c r="D1" s="800"/>
    </row>
    <row r="2" spans="1:4" x14ac:dyDescent="0.3">
      <c r="A2" s="942" t="s">
        <v>621</v>
      </c>
      <c r="B2" s="942"/>
      <c r="C2" s="942"/>
      <c r="D2" s="942"/>
    </row>
    <row r="3" spans="1:4" x14ac:dyDescent="0.3">
      <c r="A3" s="801" t="s">
        <v>642</v>
      </c>
      <c r="B3" s="801"/>
      <c r="C3" s="801"/>
      <c r="D3" s="801"/>
    </row>
    <row r="4" spans="1:4" x14ac:dyDescent="0.3">
      <c r="A4" s="942" t="s">
        <v>651</v>
      </c>
      <c r="B4" s="942"/>
      <c r="C4" s="942"/>
      <c r="D4" s="942"/>
    </row>
    <row r="5" spans="1:4" x14ac:dyDescent="0.3">
      <c r="A5" s="30"/>
      <c r="B5" s="942" t="s">
        <v>622</v>
      </c>
      <c r="C5" s="942"/>
      <c r="D5" s="66" t="s">
        <v>653</v>
      </c>
    </row>
    <row r="6" spans="1:4" ht="6.75" customHeight="1" x14ac:dyDescent="0.3"/>
    <row r="7" spans="1:4" s="22" customFormat="1" ht="30" customHeight="1" x14ac:dyDescent="0.25">
      <c r="A7" s="950" t="s">
        <v>623</v>
      </c>
      <c r="B7" s="950"/>
      <c r="C7" s="950" t="s">
        <v>624</v>
      </c>
      <c r="D7" s="950" t="s">
        <v>625</v>
      </c>
    </row>
    <row r="8" spans="1:4" s="22" customFormat="1" ht="32.25" customHeight="1" x14ac:dyDescent="0.25">
      <c r="A8" s="951"/>
      <c r="B8" s="951"/>
      <c r="C8" s="951"/>
      <c r="D8" s="951"/>
    </row>
    <row r="9" spans="1:4" s="22" customFormat="1" ht="24" customHeight="1" x14ac:dyDescent="0.25">
      <c r="A9" s="34"/>
      <c r="B9" s="46" t="s">
        <v>626</v>
      </c>
      <c r="C9" s="35"/>
      <c r="D9" s="36"/>
    </row>
    <row r="10" spans="1:4" s="22" customFormat="1" ht="54" customHeight="1" x14ac:dyDescent="0.2">
      <c r="A10" s="33">
        <v>1</v>
      </c>
      <c r="B10" s="44" t="s">
        <v>775</v>
      </c>
      <c r="C10" s="766" t="s">
        <v>776</v>
      </c>
      <c r="D10" s="768">
        <v>426529.41</v>
      </c>
    </row>
    <row r="11" spans="1:4" s="22" customFormat="1" ht="15.75" customHeight="1" x14ac:dyDescent="0.25">
      <c r="A11" s="27">
        <v>2</v>
      </c>
      <c r="B11" s="45"/>
      <c r="C11" s="27"/>
      <c r="D11" s="769"/>
    </row>
    <row r="12" spans="1:4" s="22" customFormat="1" ht="30" customHeight="1" x14ac:dyDescent="0.25">
      <c r="A12" s="27">
        <v>3</v>
      </c>
      <c r="B12" s="45" t="s">
        <v>777</v>
      </c>
      <c r="C12" s="27" t="s">
        <v>778</v>
      </c>
      <c r="D12" s="769">
        <v>25012.560000000001</v>
      </c>
    </row>
    <row r="13" spans="1:4" s="22" customFormat="1" ht="14.25" customHeight="1" x14ac:dyDescent="0.25">
      <c r="A13" s="27">
        <v>4</v>
      </c>
      <c r="B13" s="45"/>
      <c r="C13" s="27"/>
      <c r="D13" s="769"/>
    </row>
    <row r="14" spans="1:4" s="22" customFormat="1" ht="30" customHeight="1" x14ac:dyDescent="0.25">
      <c r="A14" s="27">
        <v>5</v>
      </c>
      <c r="B14" s="45" t="s">
        <v>779</v>
      </c>
      <c r="C14" s="767" t="s">
        <v>780</v>
      </c>
      <c r="D14" s="769">
        <v>753680.43</v>
      </c>
    </row>
    <row r="15" spans="1:4" s="22" customFormat="1" ht="13.5" customHeight="1" x14ac:dyDescent="0.25">
      <c r="A15" s="27">
        <v>6</v>
      </c>
      <c r="B15" s="45"/>
      <c r="C15" s="27"/>
      <c r="D15" s="769"/>
    </row>
    <row r="16" spans="1:4" s="22" customFormat="1" ht="30" customHeight="1" x14ac:dyDescent="0.25">
      <c r="A16" s="27">
        <v>7</v>
      </c>
      <c r="B16" s="45" t="s">
        <v>781</v>
      </c>
      <c r="C16" s="767" t="s">
        <v>782</v>
      </c>
      <c r="D16" s="769">
        <v>13096</v>
      </c>
    </row>
    <row r="17" spans="1:4" s="22" customFormat="1" ht="13.5" customHeight="1" x14ac:dyDescent="0.25">
      <c r="A17" s="27"/>
      <c r="B17" s="45"/>
      <c r="C17" s="767"/>
      <c r="D17" s="769"/>
    </row>
    <row r="18" spans="1:4" s="22" customFormat="1" ht="30" customHeight="1" x14ac:dyDescent="0.25">
      <c r="A18" s="27">
        <v>8</v>
      </c>
      <c r="B18" s="45" t="s">
        <v>783</v>
      </c>
      <c r="C18" s="767" t="s">
        <v>784</v>
      </c>
      <c r="D18" s="769">
        <v>1378800</v>
      </c>
    </row>
    <row r="19" spans="1:4" s="22" customFormat="1" ht="30" customHeight="1" x14ac:dyDescent="0.25">
      <c r="A19" s="516">
        <v>9</v>
      </c>
      <c r="B19" s="45"/>
      <c r="C19" s="27"/>
      <c r="D19" s="769"/>
    </row>
    <row r="20" spans="1:4" s="22" customFormat="1" ht="22.5" customHeight="1" x14ac:dyDescent="0.25">
      <c r="A20" s="34"/>
      <c r="B20" s="46" t="s">
        <v>627</v>
      </c>
      <c r="C20" s="35"/>
      <c r="D20" s="770"/>
    </row>
    <row r="21" spans="1:4" s="22" customFormat="1" ht="39.75" customHeight="1" x14ac:dyDescent="0.25">
      <c r="A21" s="27"/>
      <c r="B21" s="45" t="s">
        <v>628</v>
      </c>
      <c r="C21" s="767" t="s">
        <v>785</v>
      </c>
      <c r="D21" s="769">
        <v>21502500</v>
      </c>
    </row>
    <row r="22" spans="1:4" s="22" customFormat="1" ht="30" customHeight="1" x14ac:dyDescent="0.25">
      <c r="A22" s="27">
        <v>10</v>
      </c>
      <c r="B22" s="45"/>
      <c r="C22" s="27"/>
      <c r="D22" s="769"/>
    </row>
    <row r="23" spans="1:4" s="22" customFormat="1" ht="30" customHeight="1" x14ac:dyDescent="0.25">
      <c r="A23" s="27">
        <v>11</v>
      </c>
      <c r="B23" s="45"/>
      <c r="C23" s="27"/>
      <c r="D23" s="769"/>
    </row>
    <row r="24" spans="1:4" s="22" customFormat="1" ht="30" customHeight="1" x14ac:dyDescent="0.25">
      <c r="A24" s="27"/>
      <c r="B24" s="45" t="s">
        <v>629</v>
      </c>
      <c r="C24" s="27"/>
      <c r="D24" s="769"/>
    </row>
    <row r="25" spans="1:4" s="22" customFormat="1" ht="30" customHeight="1" x14ac:dyDescent="0.25">
      <c r="A25" s="27">
        <v>12</v>
      </c>
      <c r="B25" s="45"/>
      <c r="C25" s="27"/>
      <c r="D25" s="29"/>
    </row>
    <row r="26" spans="1:4" s="22" customFormat="1" ht="30" customHeight="1" x14ac:dyDescent="0.25">
      <c r="A26" s="27">
        <v>13</v>
      </c>
      <c r="B26" s="45"/>
      <c r="C26" s="27"/>
      <c r="D26" s="29"/>
    </row>
    <row r="27" spans="1:4" s="22" customFormat="1" ht="30" customHeight="1" x14ac:dyDescent="0.25">
      <c r="A27" s="27"/>
      <c r="B27" s="45" t="s">
        <v>630</v>
      </c>
      <c r="C27" s="27"/>
      <c r="D27" s="29"/>
    </row>
    <row r="28" spans="1:4" s="22" customFormat="1" x14ac:dyDescent="0.25">
      <c r="A28" s="949"/>
      <c r="B28" s="949"/>
      <c r="C28" s="949"/>
      <c r="D28" s="949"/>
    </row>
    <row r="29" spans="1:4" x14ac:dyDescent="0.3">
      <c r="A29" s="589" t="s">
        <v>138</v>
      </c>
    </row>
    <row r="30" spans="1:4" ht="23.25" x14ac:dyDescent="0.35">
      <c r="B30" s="515" t="s">
        <v>631</v>
      </c>
    </row>
  </sheetData>
  <mergeCells count="9">
    <mergeCell ref="A28:D28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view="pageBreakPreview" topLeftCell="A16" zoomScaleNormal="100" zoomScaleSheetLayoutView="100" workbookViewId="0">
      <selection activeCell="H15" sqref="H15"/>
    </sheetView>
  </sheetViews>
  <sheetFormatPr baseColWidth="10" defaultColWidth="11.42578125" defaultRowHeight="16.5" x14ac:dyDescent="0.3"/>
  <cols>
    <col min="1" max="1" width="3.7109375" style="164" customWidth="1"/>
    <col min="2" max="2" width="35.7109375" style="132" customWidth="1"/>
    <col min="3" max="3" width="26.7109375" style="132" customWidth="1"/>
    <col min="4" max="5" width="15.7109375" style="132" customWidth="1"/>
    <col min="6" max="16384" width="11.42578125" style="132"/>
  </cols>
  <sheetData>
    <row r="1" spans="1:5" x14ac:dyDescent="0.3">
      <c r="A1" s="468"/>
      <c r="B1" s="517"/>
      <c r="C1" s="518" t="s">
        <v>76</v>
      </c>
      <c r="D1" s="517"/>
      <c r="E1" s="445"/>
    </row>
    <row r="2" spans="1:5" x14ac:dyDescent="0.3">
      <c r="A2" s="893" t="s">
        <v>632</v>
      </c>
      <c r="B2" s="893"/>
      <c r="C2" s="893"/>
      <c r="D2" s="893"/>
      <c r="E2" s="893"/>
    </row>
    <row r="3" spans="1:5" x14ac:dyDescent="0.3">
      <c r="C3" s="714" t="s">
        <v>642</v>
      </c>
    </row>
    <row r="4" spans="1:5" x14ac:dyDescent="0.3">
      <c r="B4" s="723"/>
      <c r="C4" s="723" t="s">
        <v>647</v>
      </c>
      <c r="D4" s="723"/>
      <c r="E4" s="723"/>
    </row>
    <row r="5" spans="1:5" x14ac:dyDescent="0.3">
      <c r="A5" s="723"/>
      <c r="B5" s="723"/>
      <c r="C5" s="723" t="s">
        <v>588</v>
      </c>
      <c r="D5" s="74" t="s">
        <v>79</v>
      </c>
      <c r="E5" s="519" t="s">
        <v>644</v>
      </c>
    </row>
    <row r="6" spans="1:5" ht="6.75" customHeight="1" thickBot="1" x14ac:dyDescent="0.35"/>
    <row r="7" spans="1:5" s="284" customFormat="1" ht="30" customHeight="1" x14ac:dyDescent="0.25">
      <c r="A7" s="894" t="s">
        <v>633</v>
      </c>
      <c r="B7" s="895"/>
      <c r="C7" s="520" t="s">
        <v>634</v>
      </c>
      <c r="D7" s="726" t="s">
        <v>635</v>
      </c>
      <c r="E7" s="728" t="s">
        <v>636</v>
      </c>
    </row>
    <row r="8" spans="1:5" s="284" customFormat="1" ht="30" customHeight="1" thickBot="1" x14ac:dyDescent="0.3">
      <c r="A8" s="896"/>
      <c r="B8" s="897"/>
      <c r="C8" s="450" t="s">
        <v>515</v>
      </c>
      <c r="D8" s="450" t="s">
        <v>516</v>
      </c>
      <c r="E8" s="451" t="s">
        <v>637</v>
      </c>
    </row>
    <row r="9" spans="1:5" s="284" customFormat="1" ht="12.75" customHeight="1" x14ac:dyDescent="0.25">
      <c r="A9" s="898"/>
      <c r="B9" s="952"/>
      <c r="C9" s="899"/>
      <c r="D9" s="899"/>
      <c r="E9" s="953"/>
    </row>
    <row r="10" spans="1:5" s="284" customFormat="1" ht="20.25" customHeight="1" x14ac:dyDescent="0.25">
      <c r="A10" s="452">
        <v>1</v>
      </c>
      <c r="B10" s="521" t="s">
        <v>771</v>
      </c>
      <c r="C10" s="454">
        <v>1258199.49</v>
      </c>
      <c r="D10" s="455">
        <v>19981.419999999998</v>
      </c>
      <c r="E10" s="465">
        <f>IF(B10&lt;&gt;"",C10+D10,"")</f>
        <v>1278180.9099999999</v>
      </c>
    </row>
    <row r="11" spans="1:5" s="284" customFormat="1" ht="20.25" customHeight="1" x14ac:dyDescent="0.25">
      <c r="A11" s="452">
        <v>2</v>
      </c>
      <c r="B11" s="521" t="s">
        <v>772</v>
      </c>
      <c r="C11" s="454">
        <v>1504827.88</v>
      </c>
      <c r="D11" s="455">
        <v>55458.2</v>
      </c>
      <c r="E11" s="465">
        <f t="shared" ref="E11:E19" si="0">IF(B11&lt;&gt;"",C11+D11,"")</f>
        <v>1560286.0799999998</v>
      </c>
    </row>
    <row r="12" spans="1:5" s="284" customFormat="1" ht="20.25" customHeight="1" x14ac:dyDescent="0.25">
      <c r="A12" s="452">
        <v>3</v>
      </c>
      <c r="B12" s="521" t="s">
        <v>773</v>
      </c>
      <c r="C12" s="454">
        <v>361914.66</v>
      </c>
      <c r="D12" s="455">
        <v>3739.14</v>
      </c>
      <c r="E12" s="465">
        <f t="shared" si="0"/>
        <v>365653.8</v>
      </c>
    </row>
    <row r="13" spans="1:5" s="284" customFormat="1" ht="20.25" customHeight="1" x14ac:dyDescent="0.25">
      <c r="A13" s="452">
        <v>4</v>
      </c>
      <c r="B13" s="521"/>
      <c r="C13" s="454"/>
      <c r="D13" s="455"/>
      <c r="E13" s="465" t="str">
        <f t="shared" si="0"/>
        <v/>
      </c>
    </row>
    <row r="14" spans="1:5" s="284" customFormat="1" ht="20.25" customHeight="1" x14ac:dyDescent="0.25">
      <c r="A14" s="452">
        <v>5</v>
      </c>
      <c r="B14" s="521"/>
      <c r="C14" s="454"/>
      <c r="D14" s="455"/>
      <c r="E14" s="465" t="str">
        <f t="shared" si="0"/>
        <v/>
      </c>
    </row>
    <row r="15" spans="1:5" s="284" customFormat="1" ht="20.25" customHeight="1" x14ac:dyDescent="0.25">
      <c r="A15" s="452">
        <v>6</v>
      </c>
      <c r="B15" s="521"/>
      <c r="C15" s="454"/>
      <c r="D15" s="455"/>
      <c r="E15" s="465" t="str">
        <f t="shared" si="0"/>
        <v/>
      </c>
    </row>
    <row r="16" spans="1:5" s="284" customFormat="1" ht="20.25" customHeight="1" x14ac:dyDescent="0.25">
      <c r="A16" s="452">
        <v>7</v>
      </c>
      <c r="B16" s="521"/>
      <c r="C16" s="454"/>
      <c r="D16" s="455"/>
      <c r="E16" s="465" t="str">
        <f t="shared" si="0"/>
        <v/>
      </c>
    </row>
    <row r="17" spans="1:7" s="284" customFormat="1" ht="20.25" customHeight="1" x14ac:dyDescent="0.25">
      <c r="A17" s="452">
        <v>8</v>
      </c>
      <c r="B17" s="521"/>
      <c r="C17" s="454"/>
      <c r="D17" s="455"/>
      <c r="E17" s="465" t="str">
        <f t="shared" si="0"/>
        <v/>
      </c>
    </row>
    <row r="18" spans="1:7" s="284" customFormat="1" ht="20.25" customHeight="1" x14ac:dyDescent="0.25">
      <c r="A18" s="452">
        <v>9</v>
      </c>
      <c r="B18" s="521"/>
      <c r="C18" s="454"/>
      <c r="D18" s="455"/>
      <c r="E18" s="465" t="str">
        <f t="shared" si="0"/>
        <v/>
      </c>
    </row>
    <row r="19" spans="1:7" s="284" customFormat="1" ht="20.25" customHeight="1" x14ac:dyDescent="0.25">
      <c r="A19" s="452">
        <v>10</v>
      </c>
      <c r="B19" s="521"/>
      <c r="C19" s="454"/>
      <c r="D19" s="455"/>
      <c r="E19" s="465" t="str">
        <f t="shared" si="0"/>
        <v/>
      </c>
    </row>
    <row r="20" spans="1:7" s="284" customFormat="1" ht="20.25" customHeight="1" x14ac:dyDescent="0.25">
      <c r="A20" s="452"/>
      <c r="B20" s="522" t="s">
        <v>638</v>
      </c>
      <c r="C20" s="463">
        <f>SUM(C10:C19)</f>
        <v>3124942.0300000003</v>
      </c>
      <c r="D20" s="463">
        <f>SUM(D10:D19)</f>
        <v>79178.759999999995</v>
      </c>
      <c r="E20" s="465">
        <f>C20+D20</f>
        <v>3204120.79</v>
      </c>
      <c r="G20" s="523"/>
    </row>
    <row r="21" spans="1:7" s="284" customFormat="1" ht="21" customHeight="1" x14ac:dyDescent="0.25">
      <c r="A21" s="890" t="s">
        <v>639</v>
      </c>
      <c r="B21" s="891"/>
      <c r="C21" s="891"/>
      <c r="D21" s="891"/>
      <c r="E21" s="892"/>
    </row>
    <row r="22" spans="1:7" s="284" customFormat="1" ht="20.25" customHeight="1" x14ac:dyDescent="0.25">
      <c r="A22" s="452">
        <v>1</v>
      </c>
      <c r="B22" s="453"/>
      <c r="C22" s="454"/>
      <c r="D22" s="455"/>
      <c r="E22" s="465" t="str">
        <f>IF(B22&lt;&gt;"",C22+D22,"")</f>
        <v/>
      </c>
    </row>
    <row r="23" spans="1:7" s="284" customFormat="1" ht="20.25" customHeight="1" x14ac:dyDescent="0.25">
      <c r="A23" s="452">
        <v>2</v>
      </c>
      <c r="B23" s="453"/>
      <c r="C23" s="454"/>
      <c r="D23" s="455"/>
      <c r="E23" s="465" t="str">
        <f t="shared" ref="E23:E31" si="1">IF(B23&lt;&gt;"",C23+D23,"")</f>
        <v/>
      </c>
    </row>
    <row r="24" spans="1:7" s="284" customFormat="1" ht="20.25" customHeight="1" x14ac:dyDescent="0.25">
      <c r="A24" s="452">
        <v>3</v>
      </c>
      <c r="B24" s="453"/>
      <c r="C24" s="454"/>
      <c r="D24" s="455"/>
      <c r="E24" s="465" t="str">
        <f t="shared" si="1"/>
        <v/>
      </c>
    </row>
    <row r="25" spans="1:7" s="284" customFormat="1" ht="20.25" customHeight="1" x14ac:dyDescent="0.25">
      <c r="A25" s="452">
        <v>4</v>
      </c>
      <c r="B25" s="453"/>
      <c r="C25" s="454"/>
      <c r="D25" s="455"/>
      <c r="E25" s="465" t="str">
        <f t="shared" si="1"/>
        <v/>
      </c>
    </row>
    <row r="26" spans="1:7" s="284" customFormat="1" ht="20.25" customHeight="1" x14ac:dyDescent="0.25">
      <c r="A26" s="452">
        <v>5</v>
      </c>
      <c r="B26" s="453"/>
      <c r="C26" s="454"/>
      <c r="D26" s="455"/>
      <c r="E26" s="465" t="str">
        <f t="shared" si="1"/>
        <v/>
      </c>
    </row>
    <row r="27" spans="1:7" s="284" customFormat="1" ht="20.25" customHeight="1" x14ac:dyDescent="0.25">
      <c r="A27" s="452">
        <v>6</v>
      </c>
      <c r="B27" s="453"/>
      <c r="C27" s="454"/>
      <c r="D27" s="455"/>
      <c r="E27" s="465" t="str">
        <f t="shared" si="1"/>
        <v/>
      </c>
    </row>
    <row r="28" spans="1:7" s="284" customFormat="1" ht="20.25" customHeight="1" x14ac:dyDescent="0.25">
      <c r="A28" s="452">
        <v>7</v>
      </c>
      <c r="B28" s="453"/>
      <c r="C28" s="454"/>
      <c r="D28" s="455"/>
      <c r="E28" s="465" t="str">
        <f t="shared" si="1"/>
        <v/>
      </c>
    </row>
    <row r="29" spans="1:7" s="284" customFormat="1" ht="20.25" customHeight="1" x14ac:dyDescent="0.25">
      <c r="A29" s="452">
        <v>8</v>
      </c>
      <c r="B29" s="453"/>
      <c r="C29" s="454"/>
      <c r="D29" s="455"/>
      <c r="E29" s="465" t="str">
        <f t="shared" si="1"/>
        <v/>
      </c>
    </row>
    <row r="30" spans="1:7" s="284" customFormat="1" ht="20.25" customHeight="1" x14ac:dyDescent="0.25">
      <c r="A30" s="452">
        <v>9</v>
      </c>
      <c r="B30" s="453"/>
      <c r="C30" s="454"/>
      <c r="D30" s="455"/>
      <c r="E30" s="465" t="str">
        <f t="shared" si="1"/>
        <v/>
      </c>
    </row>
    <row r="31" spans="1:7" s="284" customFormat="1" ht="20.25" customHeight="1" x14ac:dyDescent="0.25">
      <c r="A31" s="452">
        <v>10</v>
      </c>
      <c r="B31" s="453"/>
      <c r="C31" s="454"/>
      <c r="D31" s="455"/>
      <c r="E31" s="465" t="str">
        <f t="shared" si="1"/>
        <v/>
      </c>
    </row>
    <row r="32" spans="1:7" s="459" customFormat="1" ht="22.5" customHeight="1" thickBot="1" x14ac:dyDescent="0.35">
      <c r="A32" s="452"/>
      <c r="B32" s="458" t="s">
        <v>640</v>
      </c>
      <c r="C32" s="526">
        <f>SUM(C22:C31)</f>
        <v>0</v>
      </c>
      <c r="D32" s="527">
        <f>SUM(D22:D31)</f>
        <v>0</v>
      </c>
      <c r="E32" s="525">
        <f>C32+D32</f>
        <v>0</v>
      </c>
    </row>
    <row r="33" spans="1:10" ht="30" customHeight="1" thickBot="1" x14ac:dyDescent="0.35">
      <c r="A33" s="460"/>
      <c r="B33" s="461" t="s">
        <v>522</v>
      </c>
      <c r="C33" s="466">
        <f>SUM(C20,C32)</f>
        <v>3124942.0300000003</v>
      </c>
      <c r="D33" s="466">
        <f t="shared" ref="D33:E33" si="2">SUM(D20,D32)</f>
        <v>79178.759999999995</v>
      </c>
      <c r="E33" s="467">
        <f t="shared" si="2"/>
        <v>3204120.79</v>
      </c>
    </row>
    <row r="34" spans="1:10" ht="12.75" customHeight="1" x14ac:dyDescent="0.3">
      <c r="J34" s="462"/>
    </row>
    <row r="35" spans="1:10" ht="20.25" x14ac:dyDescent="0.3">
      <c r="B35" s="524" t="s">
        <v>641</v>
      </c>
    </row>
  </sheetData>
  <sheetProtection algorithmName="SHA-512" hashValue="gX2W7eBenEIBatghw2lzCFtkyYMcbISSam3sNjLyIxhZu3/+z/U3dspo3oRrP6ZOCK3QmIQun/8TOEnSrthZfA==" saltValue="vBBttIcYBr+ip+8gH26pQQ==" spinCount="100000" sheet="1" objects="1" scenarios="1"/>
  <mergeCells count="4">
    <mergeCell ref="A2:E2"/>
    <mergeCell ref="A7:B8"/>
    <mergeCell ref="A9:E9"/>
    <mergeCell ref="A21:E21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view="pageBreakPreview" zoomScale="60" zoomScaleNormal="100" workbookViewId="0">
      <selection activeCell="I40" sqref="I40"/>
    </sheetView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FFFF00"/>
    <pageSetUpPr fitToPage="1"/>
  </sheetPr>
  <dimension ref="A1:H49"/>
  <sheetViews>
    <sheetView view="pageBreakPreview" topLeftCell="A13" zoomScaleNormal="100" zoomScaleSheetLayoutView="100" workbookViewId="0">
      <selection activeCell="C39" sqref="C39"/>
    </sheetView>
  </sheetViews>
  <sheetFormatPr baseColWidth="10" defaultColWidth="11.42578125" defaultRowHeight="16.5" x14ac:dyDescent="0.3"/>
  <cols>
    <col min="1" max="1" width="47.5703125" style="132" customWidth="1"/>
    <col min="2" max="6" width="14.85546875" style="132" customWidth="1"/>
    <col min="7" max="7" width="73.28515625" style="207" customWidth="1"/>
    <col min="8" max="8" width="47.85546875" style="132" customWidth="1"/>
    <col min="9" max="16384" width="11.42578125" style="132"/>
  </cols>
  <sheetData>
    <row r="1" spans="1:7" ht="18.75" x14ac:dyDescent="0.3">
      <c r="A1" s="808" t="s">
        <v>76</v>
      </c>
      <c r="B1" s="808"/>
      <c r="C1" s="808"/>
      <c r="D1" s="808"/>
      <c r="E1" s="808"/>
      <c r="F1" s="808"/>
      <c r="G1" s="579"/>
    </row>
    <row r="2" spans="1:7" s="133" customFormat="1" ht="18" x14ac:dyDescent="0.25">
      <c r="A2" s="807" t="s">
        <v>197</v>
      </c>
      <c r="B2" s="807"/>
      <c r="C2" s="807"/>
      <c r="D2" s="807"/>
      <c r="E2" s="807"/>
      <c r="F2" s="807"/>
      <c r="G2" s="579"/>
    </row>
    <row r="3" spans="1:7" s="133" customFormat="1" ht="18" x14ac:dyDescent="0.25">
      <c r="A3" s="806" t="s">
        <v>642</v>
      </c>
      <c r="B3" s="806"/>
      <c r="C3" s="806"/>
      <c r="D3" s="806"/>
      <c r="E3" s="806"/>
      <c r="F3" s="806"/>
      <c r="G3" s="579"/>
    </row>
    <row r="4" spans="1:7" s="133" customFormat="1" ht="18" x14ac:dyDescent="0.25">
      <c r="A4" s="806" t="s">
        <v>646</v>
      </c>
      <c r="B4" s="806"/>
      <c r="C4" s="806"/>
      <c r="D4" s="806"/>
      <c r="E4" s="806"/>
      <c r="F4" s="806"/>
      <c r="G4" s="579"/>
    </row>
    <row r="5" spans="1:7" s="134" customFormat="1" ht="19.5" thickBot="1" x14ac:dyDescent="0.35">
      <c r="A5" s="809" t="s">
        <v>198</v>
      </c>
      <c r="B5" s="809"/>
      <c r="C5" s="809"/>
      <c r="D5" s="809"/>
      <c r="E5" s="74" t="s">
        <v>806</v>
      </c>
      <c r="F5" s="74" t="s">
        <v>644</v>
      </c>
      <c r="G5" s="579"/>
    </row>
    <row r="6" spans="1:7" s="161" customFormat="1" ht="64.5" thickBot="1" x14ac:dyDescent="0.3">
      <c r="A6" s="419" t="s">
        <v>199</v>
      </c>
      <c r="B6" s="253" t="s">
        <v>200</v>
      </c>
      <c r="C6" s="253" t="s">
        <v>201</v>
      </c>
      <c r="D6" s="253" t="s">
        <v>202</v>
      </c>
      <c r="E6" s="253" t="s">
        <v>203</v>
      </c>
      <c r="F6" s="420" t="s">
        <v>204</v>
      </c>
      <c r="G6" s="579"/>
    </row>
    <row r="7" spans="1:7" s="162" customFormat="1" ht="18" x14ac:dyDescent="0.25">
      <c r="A7" s="421"/>
      <c r="B7" s="422"/>
      <c r="C7" s="422"/>
      <c r="D7" s="422"/>
      <c r="E7" s="422"/>
      <c r="F7" s="423"/>
      <c r="G7" s="579"/>
    </row>
    <row r="8" spans="1:7" s="163" customFormat="1" ht="18" x14ac:dyDescent="0.25">
      <c r="A8" s="424" t="s">
        <v>132</v>
      </c>
      <c r="B8" s="425"/>
      <c r="C8" s="430"/>
      <c r="D8" s="430"/>
      <c r="E8" s="425"/>
      <c r="F8" s="430">
        <f>+D8-C8</f>
        <v>0</v>
      </c>
      <c r="G8" s="579"/>
    </row>
    <row r="9" spans="1:7" s="163" customFormat="1" ht="16.5" customHeight="1" x14ac:dyDescent="0.25">
      <c r="A9" s="424"/>
      <c r="B9" s="425"/>
      <c r="C9" s="425"/>
      <c r="D9" s="425"/>
      <c r="E9" s="425"/>
      <c r="F9" s="426"/>
      <c r="G9" s="579"/>
    </row>
    <row r="10" spans="1:7" s="163" customFormat="1" ht="16.5" customHeight="1" x14ac:dyDescent="0.25">
      <c r="A10" s="424" t="s">
        <v>205</v>
      </c>
      <c r="B10" s="427">
        <f>SUM(B11:B13)</f>
        <v>1364</v>
      </c>
      <c r="C10" s="427">
        <f t="shared" ref="C10:E10" si="0">SUM(C11:C13)</f>
        <v>0</v>
      </c>
      <c r="D10" s="427">
        <f>SUM(D11:D13)</f>
        <v>0</v>
      </c>
      <c r="E10" s="427">
        <f t="shared" si="0"/>
        <v>0</v>
      </c>
      <c r="F10" s="427">
        <f>SUM(B10:E10)</f>
        <v>1364</v>
      </c>
      <c r="G10" s="579"/>
    </row>
    <row r="11" spans="1:7" s="163" customFormat="1" ht="16.5" customHeight="1" x14ac:dyDescent="0.25">
      <c r="A11" s="429" t="s">
        <v>124</v>
      </c>
      <c r="B11" s="430">
        <v>1364</v>
      </c>
      <c r="C11" s="430"/>
      <c r="D11" s="430"/>
      <c r="E11" s="430"/>
      <c r="F11" s="430">
        <f>SUM(B11:E11)</f>
        <v>1364</v>
      </c>
      <c r="G11" s="579"/>
    </row>
    <row r="12" spans="1:7" s="163" customFormat="1" ht="16.5" customHeight="1" x14ac:dyDescent="0.25">
      <c r="A12" s="429" t="s">
        <v>125</v>
      </c>
      <c r="B12" s="430"/>
      <c r="C12" s="430"/>
      <c r="D12" s="430"/>
      <c r="E12" s="430"/>
      <c r="F12" s="430">
        <f t="shared" ref="F12:F13" si="1">SUM(B12:E12)</f>
        <v>0</v>
      </c>
      <c r="G12" s="579"/>
    </row>
    <row r="13" spans="1:7" s="163" customFormat="1" ht="16.5" customHeight="1" x14ac:dyDescent="0.25">
      <c r="A13" s="429" t="s">
        <v>126</v>
      </c>
      <c r="B13" s="430"/>
      <c r="C13" s="430"/>
      <c r="D13" s="430"/>
      <c r="E13" s="430"/>
      <c r="F13" s="430">
        <f t="shared" si="1"/>
        <v>0</v>
      </c>
      <c r="G13" s="579"/>
    </row>
    <row r="14" spans="1:7" s="163" customFormat="1" ht="16.5" customHeight="1" x14ac:dyDescent="0.25">
      <c r="A14" s="424"/>
      <c r="B14" s="430"/>
      <c r="C14" s="430"/>
      <c r="D14" s="430"/>
      <c r="E14" s="430"/>
      <c r="F14" s="432"/>
      <c r="G14" s="579"/>
    </row>
    <row r="15" spans="1:7" s="163" customFormat="1" ht="18" x14ac:dyDescent="0.25">
      <c r="A15" s="424" t="s">
        <v>206</v>
      </c>
      <c r="B15" s="427">
        <f>SUM(B16:B19)</f>
        <v>0</v>
      </c>
      <c r="C15" s="427">
        <f>SUM(C16:C19)+C8</f>
        <v>9468081</v>
      </c>
      <c r="D15" s="427">
        <f t="shared" ref="D15:F15" si="2">SUM(D16:D19)</f>
        <v>429042</v>
      </c>
      <c r="E15" s="427">
        <f t="shared" si="2"/>
        <v>0</v>
      </c>
      <c r="F15" s="428">
        <f t="shared" si="2"/>
        <v>9897123</v>
      </c>
      <c r="G15" s="579"/>
    </row>
    <row r="16" spans="1:7" s="163" customFormat="1" ht="16.5" customHeight="1" x14ac:dyDescent="0.25">
      <c r="A16" s="429" t="s">
        <v>195</v>
      </c>
      <c r="B16" s="430"/>
      <c r="C16" s="430" t="s">
        <v>144</v>
      </c>
      <c r="D16" s="430">
        <v>429042</v>
      </c>
      <c r="E16" s="430"/>
      <c r="F16" s="431">
        <f>SUM(B16:E16)</f>
        <v>429042</v>
      </c>
      <c r="G16" s="579"/>
    </row>
    <row r="17" spans="1:7" s="163" customFormat="1" ht="16.5" customHeight="1" x14ac:dyDescent="0.25">
      <c r="A17" s="429" t="s">
        <v>129</v>
      </c>
      <c r="B17" s="430"/>
      <c r="C17" s="430">
        <v>5551612</v>
      </c>
      <c r="D17" s="430" t="s">
        <v>144</v>
      </c>
      <c r="E17" s="430"/>
      <c r="F17" s="431">
        <f t="shared" ref="F17:F19" si="3">SUM(B17:E17)</f>
        <v>5551612</v>
      </c>
      <c r="G17" s="579"/>
    </row>
    <row r="18" spans="1:7" s="163" customFormat="1" ht="16.5" customHeight="1" x14ac:dyDescent="0.25">
      <c r="A18" s="429" t="s">
        <v>130</v>
      </c>
      <c r="B18" s="430"/>
      <c r="C18" s="430"/>
      <c r="D18" s="430"/>
      <c r="E18" s="430"/>
      <c r="F18" s="431">
        <f t="shared" si="3"/>
        <v>0</v>
      </c>
      <c r="G18" s="579"/>
    </row>
    <row r="19" spans="1:7" s="163" customFormat="1" ht="16.5" customHeight="1" x14ac:dyDescent="0.25">
      <c r="A19" s="429" t="s">
        <v>131</v>
      </c>
      <c r="B19" s="430" t="s">
        <v>144</v>
      </c>
      <c r="C19" s="430">
        <v>3916469</v>
      </c>
      <c r="D19" s="430"/>
      <c r="E19" s="430"/>
      <c r="F19" s="431">
        <f t="shared" si="3"/>
        <v>3916469</v>
      </c>
      <c r="G19" s="579"/>
    </row>
    <row r="20" spans="1:7" s="163" customFormat="1" ht="16.5" customHeight="1" x14ac:dyDescent="0.25">
      <c r="A20" s="424"/>
      <c r="B20" s="430"/>
      <c r="C20" s="430"/>
      <c r="D20" s="430"/>
      <c r="E20" s="430" t="s">
        <v>144</v>
      </c>
      <c r="F20" s="432"/>
      <c r="G20" s="579"/>
    </row>
    <row r="21" spans="1:7" s="163" customFormat="1" ht="18" x14ac:dyDescent="0.25">
      <c r="A21" s="424" t="s">
        <v>207</v>
      </c>
      <c r="B21" s="433">
        <f>B10</f>
        <v>1364</v>
      </c>
      <c r="C21" s="433">
        <f>C15</f>
        <v>9468081</v>
      </c>
      <c r="D21" s="433">
        <f>D15</f>
        <v>429042</v>
      </c>
      <c r="E21" s="433">
        <f>E15+E10</f>
        <v>0</v>
      </c>
      <c r="F21" s="428">
        <f t="shared" ref="F21" si="4">F15++F10</f>
        <v>9898487</v>
      </c>
      <c r="G21" s="579"/>
    </row>
    <row r="22" spans="1:7" s="163" customFormat="1" ht="16.5" customHeight="1" x14ac:dyDescent="0.25">
      <c r="A22" s="424"/>
      <c r="B22" s="430"/>
      <c r="C22" s="430"/>
      <c r="D22" s="430"/>
      <c r="E22" s="430"/>
      <c r="F22" s="432"/>
      <c r="G22" s="579"/>
    </row>
    <row r="23" spans="1:7" s="163" customFormat="1" ht="18" x14ac:dyDescent="0.25">
      <c r="A23" s="424" t="s">
        <v>208</v>
      </c>
      <c r="B23" s="427">
        <f>SUM(B24:B26)</f>
        <v>21568534</v>
      </c>
      <c r="C23" s="427">
        <f t="shared" ref="C23:F23" si="5">SUM(C24:C26)</f>
        <v>0</v>
      </c>
      <c r="D23" s="427">
        <f t="shared" si="5"/>
        <v>0</v>
      </c>
      <c r="E23" s="427">
        <f t="shared" si="5"/>
        <v>0</v>
      </c>
      <c r="F23" s="428">
        <f t="shared" si="5"/>
        <v>21568534</v>
      </c>
      <c r="G23" s="579"/>
    </row>
    <row r="24" spans="1:7" s="163" customFormat="1" ht="16.5" customHeight="1" x14ac:dyDescent="0.25">
      <c r="A24" s="429" t="s">
        <v>124</v>
      </c>
      <c r="B24" s="430"/>
      <c r="C24" s="430"/>
      <c r="D24" s="430"/>
      <c r="E24" s="430"/>
      <c r="F24" s="431">
        <f t="shared" ref="F24:F26" si="6">SUM(B24:E24)</f>
        <v>0</v>
      </c>
      <c r="G24" s="579"/>
    </row>
    <row r="25" spans="1:7" s="163" customFormat="1" ht="16.5" customHeight="1" x14ac:dyDescent="0.25">
      <c r="A25" s="429" t="s">
        <v>125</v>
      </c>
      <c r="B25" s="430">
        <v>21568534</v>
      </c>
      <c r="C25" s="430"/>
      <c r="D25" s="430"/>
      <c r="E25" s="430"/>
      <c r="F25" s="431">
        <f t="shared" si="6"/>
        <v>21568534</v>
      </c>
      <c r="G25" s="579"/>
    </row>
    <row r="26" spans="1:7" s="163" customFormat="1" ht="16.5" customHeight="1" x14ac:dyDescent="0.25">
      <c r="A26" s="429" t="s">
        <v>126</v>
      </c>
      <c r="B26" s="430"/>
      <c r="C26" s="430"/>
      <c r="D26" s="430"/>
      <c r="E26" s="430"/>
      <c r="F26" s="431">
        <f t="shared" si="6"/>
        <v>0</v>
      </c>
      <c r="G26" s="579"/>
    </row>
    <row r="27" spans="1:7" s="163" customFormat="1" ht="16.5" customHeight="1" x14ac:dyDescent="0.25">
      <c r="A27" s="424"/>
      <c r="B27" s="430"/>
      <c r="C27" s="430"/>
      <c r="D27" s="430"/>
      <c r="E27" s="430"/>
      <c r="F27" s="432"/>
      <c r="G27" s="579"/>
    </row>
    <row r="28" spans="1:7" s="163" customFormat="1" ht="18" x14ac:dyDescent="0.25">
      <c r="A28" s="424" t="s">
        <v>206</v>
      </c>
      <c r="B28" s="427">
        <f>SUM(B29:B32)</f>
        <v>0</v>
      </c>
      <c r="C28" s="427">
        <f>SUM(C30:C32)</f>
        <v>-358322</v>
      </c>
      <c r="D28" s="427">
        <f t="shared" ref="D28:F28" si="7">SUM(D29:D32)</f>
        <v>-1744616</v>
      </c>
      <c r="E28" s="427">
        <f t="shared" si="7"/>
        <v>0</v>
      </c>
      <c r="F28" s="428">
        <f t="shared" si="7"/>
        <v>-2102938</v>
      </c>
      <c r="G28" s="579"/>
    </row>
    <row r="29" spans="1:7" s="163" customFormat="1" ht="16.5" customHeight="1" x14ac:dyDescent="0.25">
      <c r="A29" s="429" t="s">
        <v>195</v>
      </c>
      <c r="B29" s="430"/>
      <c r="D29" s="430">
        <v>-1744616</v>
      </c>
      <c r="E29" s="430"/>
      <c r="F29" s="431">
        <f t="shared" ref="F29:F32" si="8">SUM(B29:E29)</f>
        <v>-1744616</v>
      </c>
      <c r="G29" s="579"/>
    </row>
    <row r="30" spans="1:7" s="163" customFormat="1" ht="16.5" customHeight="1" x14ac:dyDescent="0.25">
      <c r="A30" s="429" t="s">
        <v>129</v>
      </c>
      <c r="B30" s="430"/>
      <c r="C30" s="430">
        <v>-85012</v>
      </c>
      <c r="D30" s="430"/>
      <c r="E30" s="430"/>
      <c r="F30" s="431">
        <f t="shared" si="8"/>
        <v>-85012</v>
      </c>
      <c r="G30" s="579"/>
    </row>
    <row r="31" spans="1:7" s="163" customFormat="1" ht="16.5" customHeight="1" x14ac:dyDescent="0.25">
      <c r="A31" s="429" t="s">
        <v>130</v>
      </c>
      <c r="B31" s="430"/>
      <c r="C31" s="430"/>
      <c r="D31" s="430"/>
      <c r="E31" s="430"/>
      <c r="F31" s="431">
        <f t="shared" si="8"/>
        <v>0</v>
      </c>
      <c r="G31" s="579"/>
    </row>
    <row r="32" spans="1:7" s="163" customFormat="1" ht="16.5" customHeight="1" x14ac:dyDescent="0.25">
      <c r="A32" s="429" t="s">
        <v>131</v>
      </c>
      <c r="B32" s="430"/>
      <c r="C32" s="430">
        <v>-273310</v>
      </c>
      <c r="D32" s="430"/>
      <c r="E32" s="430"/>
      <c r="F32" s="431">
        <f t="shared" si="8"/>
        <v>-273310</v>
      </c>
      <c r="G32" s="579"/>
    </row>
    <row r="33" spans="1:8" s="163" customFormat="1" ht="16.5" customHeight="1" x14ac:dyDescent="0.25">
      <c r="A33" s="424"/>
      <c r="B33" s="434"/>
      <c r="C33" s="434"/>
      <c r="D33" s="434"/>
      <c r="E33" s="434"/>
      <c r="F33" s="435"/>
      <c r="G33" s="579"/>
    </row>
    <row r="34" spans="1:8" s="163" customFormat="1" ht="16.5" customHeight="1" x14ac:dyDescent="0.25">
      <c r="A34" s="424" t="s">
        <v>209</v>
      </c>
      <c r="B34" s="433">
        <f>B23+B21</f>
        <v>21569898</v>
      </c>
      <c r="C34" s="433">
        <f>C28+C21</f>
        <v>9109759</v>
      </c>
      <c r="D34" s="433">
        <f>D28+D21</f>
        <v>-1315574</v>
      </c>
      <c r="E34" s="433">
        <f t="shared" ref="E34" si="9">E28+E23+E21</f>
        <v>0</v>
      </c>
      <c r="F34" s="428">
        <f>F28+F23+F21+F8</f>
        <v>29364083</v>
      </c>
      <c r="G34" s="558" t="str">
        <f>IF((B34+C34+D34+E34)&lt;&gt;F34,"ERROR!!!!! LA SUMA DE LOS TOTALES DE LAS COLUMNAS DEL PATRIMONIO 2016, NO COINCIDE CON LO REPORTADO EN LA COLUMNA DEL TOTAL","")</f>
        <v/>
      </c>
    </row>
    <row r="35" spans="1:8" s="162" customFormat="1" ht="16.5" customHeight="1" thickBot="1" x14ac:dyDescent="0.25">
      <c r="A35" s="436"/>
      <c r="B35" s="437"/>
      <c r="C35" s="437"/>
      <c r="D35" s="437"/>
      <c r="E35" s="437"/>
      <c r="F35" s="438"/>
      <c r="G35" s="644" t="s">
        <v>144</v>
      </c>
      <c r="H35" s="644" t="str">
        <f>IF(C$34-'ETCA-I-01'!K35&gt;0.99,"ERROR!!!,NO CONCUERDA CON LO REPORTADO EN EL ETCA-I-01 EN EL MISMO RUBRO","")</f>
        <v>ERROR!!!,NO CONCUERDA CON LO REPORTADO EN EL ETCA-I-01 EN EL MISMO RUBRO</v>
      </c>
    </row>
    <row r="36" spans="1:8" s="162" customFormat="1" ht="16.5" customHeight="1" x14ac:dyDescent="0.3">
      <c r="A36" s="586" t="s">
        <v>138</v>
      </c>
      <c r="B36" s="645"/>
      <c r="C36" s="645"/>
      <c r="D36" s="76"/>
      <c r="E36" s="647" t="s">
        <v>144</v>
      </c>
      <c r="F36" s="647" t="s">
        <v>144</v>
      </c>
      <c r="G36" s="558" t="str">
        <f>IF(F34&lt;&gt;'ETCA-I-03'!E50,"ERROR!!!!! EL PATRIMONIO 2016 PRESENTADO, NO CONCUERDA CON LO REPORTADO EN EL ESTADO DE SITUACION FINANCIERA","")</f>
        <v>ERROR!!!!! EL PATRIMONIO 2016 PRESENTADO, NO CONCUERDA CON LO REPORTADO EN EL ESTADO DE SITUACION FINANCIERA</v>
      </c>
      <c r="H36" s="644"/>
    </row>
    <row r="37" spans="1:8" s="162" customFormat="1" ht="16.5" customHeight="1" x14ac:dyDescent="0.2">
      <c r="A37" s="647" t="s">
        <v>144</v>
      </c>
      <c r="B37" s="146" t="s">
        <v>144</v>
      </c>
      <c r="C37" s="648"/>
      <c r="D37" s="647" t="s">
        <v>144</v>
      </c>
      <c r="E37" s="647" t="s">
        <v>144</v>
      </c>
      <c r="F37" s="647" t="s">
        <v>144</v>
      </c>
      <c r="G37" s="558" t="str">
        <f>IF(B34&lt;&gt;'ETCA-I-01'!E36,"ERROR!!!!! EL PATRIMONIO CONTRIBUIDO 2016 PRESENTADO, NO CONCUERDA CON LO REPORTADO EN EL ESTADO DE SITUACION FINANCIERA","")</f>
        <v/>
      </c>
      <c r="H37" s="644"/>
    </row>
    <row r="38" spans="1:8" s="162" customFormat="1" ht="16.5" customHeight="1" x14ac:dyDescent="0.3">
      <c r="A38" s="647" t="s">
        <v>144</v>
      </c>
      <c r="B38" s="72" t="s">
        <v>144</v>
      </c>
      <c r="C38" s="798"/>
      <c r="D38" s="72" t="s">
        <v>144</v>
      </c>
      <c r="E38" s="72"/>
      <c r="F38" s="72"/>
      <c r="G38" s="558"/>
      <c r="H38" s="644"/>
    </row>
    <row r="39" spans="1:8" s="162" customFormat="1" ht="16.5" customHeight="1" x14ac:dyDescent="0.3">
      <c r="A39" s="647"/>
      <c r="B39" s="72" t="s">
        <v>144</v>
      </c>
      <c r="C39" s="72" t="s">
        <v>144</v>
      </c>
      <c r="D39" s="72" t="s">
        <v>144</v>
      </c>
      <c r="E39" s="72"/>
      <c r="F39" s="72"/>
      <c r="G39" s="558"/>
      <c r="H39" s="644"/>
    </row>
    <row r="40" spans="1:8" s="162" customFormat="1" ht="16.5" customHeight="1" x14ac:dyDescent="0.3">
      <c r="A40" s="647"/>
      <c r="B40" s="72" t="s">
        <v>144</v>
      </c>
      <c r="C40" s="72" t="s">
        <v>144</v>
      </c>
      <c r="D40" s="72" t="s">
        <v>144</v>
      </c>
      <c r="E40" s="72"/>
      <c r="F40" s="72"/>
      <c r="G40" s="644"/>
      <c r="H40" s="644"/>
    </row>
    <row r="41" spans="1:8" ht="19.5" customHeight="1" x14ac:dyDescent="0.3">
      <c r="A41" s="72"/>
      <c r="B41" s="570" t="s">
        <v>144</v>
      </c>
      <c r="D41" s="570"/>
      <c r="E41" s="570"/>
      <c r="F41" s="570"/>
      <c r="G41" s="558" t="s">
        <v>144</v>
      </c>
      <c r="H41" s="570"/>
    </row>
    <row r="42" spans="1:8" ht="17.25" customHeight="1" x14ac:dyDescent="0.3">
      <c r="A42" s="587"/>
      <c r="G42" s="558"/>
    </row>
    <row r="43" spans="1:8" ht="17.25" customHeight="1" x14ac:dyDescent="0.3">
      <c r="A43" s="587"/>
      <c r="G43" s="558" t="str">
        <f>IF(D34&lt;&gt;'ETCA-I-01'!E41,"ERROR!!!!! EL MONTO NO COINCIDE CON LO REPORTADO EN EL FORMATO ETCA-I-01 EN EL TOTAL RESULTADO DEL EJERCICIO","")</f>
        <v/>
      </c>
    </row>
    <row r="44" spans="1:8" ht="17.25" customHeight="1" x14ac:dyDescent="0.3">
      <c r="A44" s="587"/>
      <c r="G44" s="558" t="str">
        <f>IF(C34&lt;&gt;'ETCA-I-01'!E42,"ERROR!!!!! EL MONTO NO COINCIDE CON LO REPORTADO EN EL FORMATO ETCA-I-01 EN EL TOTAL RESULTADO DE EJERCICIOS ANTERIORES","")</f>
        <v>ERROR!!!!! EL MONTO NO COINCIDE CON LO REPORTADO EN EL FORMATO ETCA-I-01 EN EL TOTAL RESULTADO DE EJERCICIOS ANTERIORES</v>
      </c>
    </row>
    <row r="45" spans="1:8" ht="17.25" customHeight="1" x14ac:dyDescent="0.3">
      <c r="A45" s="587"/>
      <c r="G45" s="570"/>
    </row>
    <row r="46" spans="1:8" ht="17.25" customHeight="1" x14ac:dyDescent="0.3">
      <c r="A46" s="587"/>
      <c r="G46" s="570"/>
    </row>
    <row r="47" spans="1:8" ht="17.25" customHeight="1" x14ac:dyDescent="0.3">
      <c r="G47" s="644"/>
    </row>
    <row r="48" spans="1:8" ht="17.25" customHeight="1" x14ac:dyDescent="0.3">
      <c r="G48" s="207" t="s">
        <v>144</v>
      </c>
    </row>
    <row r="49" ht="17.25" customHeight="1" x14ac:dyDescent="0.3"/>
  </sheetData>
  <sheetProtection algorithmName="SHA-512" hashValue="Kh0UB6e8dERgrzvp//GstJEknKzxNYc2U09Vy+SmZgy4Y2m0IwqVIXblvavX6gNLNQgZf9kxnMycOo75HvQ/9A==" saltValue="fLRtee4B7k0+MC+YZQRSDw==" spinCount="100000" sheet="1" objects="1" scenarios="1" insertHyperlinks="0"/>
  <protectedRanges>
    <protectedRange algorithmName="SHA-512" hashValue="DnxZCsiWzkVfajEoNeh3bWR/KSkaQlGg69WdGxxA6j9+CqYObjdoi330+Pa3qIXionKkr1yfl1vUWI4ywnjIJA==" saltValue="PnCamTnDeR83jrwH4hVKjg==" spinCount="100000" sqref="B41:F41" name="Rango1"/>
  </protectedRanges>
  <mergeCells count="5">
    <mergeCell ref="A4:F4"/>
    <mergeCell ref="A2:F2"/>
    <mergeCell ref="A3:F3"/>
    <mergeCell ref="A1:F1"/>
    <mergeCell ref="A5:D5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7"/>
    <pageSetUpPr fitToPage="1"/>
  </sheetPr>
  <dimension ref="A1:D67"/>
  <sheetViews>
    <sheetView view="pageBreakPreview" topLeftCell="A34" zoomScaleNormal="100" zoomScaleSheetLayoutView="100" workbookViewId="0">
      <selection activeCell="C16" sqref="C16"/>
    </sheetView>
  </sheetViews>
  <sheetFormatPr baseColWidth="10" defaultColWidth="11.42578125" defaultRowHeight="16.5" x14ac:dyDescent="0.3"/>
  <cols>
    <col min="1" max="1" width="80.85546875" style="164" bestFit="1" customWidth="1"/>
    <col min="2" max="3" width="17" style="164" customWidth="1"/>
    <col min="4" max="16384" width="11.42578125" style="164"/>
  </cols>
  <sheetData>
    <row r="1" spans="1:4" x14ac:dyDescent="0.3">
      <c r="A1" s="808" t="s">
        <v>76</v>
      </c>
      <c r="B1" s="808"/>
      <c r="C1" s="808"/>
    </row>
    <row r="2" spans="1:4" s="133" customFormat="1" ht="15.75" x14ac:dyDescent="0.25">
      <c r="A2" s="807" t="s">
        <v>18</v>
      </c>
      <c r="B2" s="807"/>
      <c r="C2" s="807"/>
    </row>
    <row r="3" spans="1:4" s="133" customFormat="1" x14ac:dyDescent="0.25">
      <c r="A3" s="806" t="s">
        <v>642</v>
      </c>
      <c r="B3" s="806"/>
      <c r="C3" s="806"/>
    </row>
    <row r="4" spans="1:4" s="133" customFormat="1" x14ac:dyDescent="0.25">
      <c r="A4" s="806" t="s">
        <v>647</v>
      </c>
      <c r="B4" s="806"/>
      <c r="C4" s="806"/>
    </row>
    <row r="5" spans="1:4" s="134" customFormat="1" ht="17.25" thickBot="1" x14ac:dyDescent="0.35">
      <c r="A5" s="77" t="s">
        <v>210</v>
      </c>
      <c r="B5" s="74" t="s">
        <v>79</v>
      </c>
      <c r="C5" s="78" t="s">
        <v>644</v>
      </c>
    </row>
    <row r="6" spans="1:4" ht="30" customHeight="1" thickBot="1" x14ac:dyDescent="0.35">
      <c r="A6" s="174"/>
      <c r="B6" s="175" t="s">
        <v>211</v>
      </c>
      <c r="C6" s="176" t="s">
        <v>212</v>
      </c>
    </row>
    <row r="7" spans="1:4" ht="17.25" thickTop="1" x14ac:dyDescent="0.3">
      <c r="A7" s="165" t="s">
        <v>213</v>
      </c>
      <c r="B7" s="177">
        <f>B8+B17</f>
        <v>2751630</v>
      </c>
      <c r="C7" s="178">
        <f>C8+C17</f>
        <v>22197375</v>
      </c>
    </row>
    <row r="8" spans="1:4" x14ac:dyDescent="0.3">
      <c r="A8" s="166" t="s">
        <v>82</v>
      </c>
      <c r="B8" s="179">
        <f>SUM(B9:B15)</f>
        <v>2249292</v>
      </c>
      <c r="C8" s="180">
        <f>SUM(C9:C15)</f>
        <v>0</v>
      </c>
    </row>
    <row r="9" spans="1:4" s="169" customFormat="1" ht="13.5" x14ac:dyDescent="0.25">
      <c r="A9" s="167" t="s">
        <v>84</v>
      </c>
      <c r="B9" s="168">
        <v>2166515</v>
      </c>
      <c r="C9" s="181"/>
      <c r="D9" s="588"/>
    </row>
    <row r="10" spans="1:4" s="169" customFormat="1" ht="13.5" x14ac:dyDescent="0.25">
      <c r="A10" s="167" t="s">
        <v>86</v>
      </c>
      <c r="B10" s="168">
        <v>82777</v>
      </c>
      <c r="C10" s="181"/>
    </row>
    <row r="11" spans="1:4" s="169" customFormat="1" ht="13.5" x14ac:dyDescent="0.25">
      <c r="A11" s="167" t="s">
        <v>88</v>
      </c>
      <c r="B11" s="168"/>
      <c r="C11" s="181"/>
    </row>
    <row r="12" spans="1:4" s="169" customFormat="1" ht="13.5" x14ac:dyDescent="0.25">
      <c r="A12" s="167" t="s">
        <v>214</v>
      </c>
      <c r="B12" s="168"/>
      <c r="C12" s="181"/>
    </row>
    <row r="13" spans="1:4" s="169" customFormat="1" ht="13.5" x14ac:dyDescent="0.25">
      <c r="A13" s="167" t="s">
        <v>92</v>
      </c>
      <c r="B13" s="168"/>
      <c r="C13" s="181"/>
    </row>
    <row r="14" spans="1:4" s="169" customFormat="1" ht="13.5" x14ac:dyDescent="0.25">
      <c r="A14" s="167" t="s">
        <v>94</v>
      </c>
      <c r="B14" s="168"/>
      <c r="C14" s="181"/>
    </row>
    <row r="15" spans="1:4" s="169" customFormat="1" ht="13.5" x14ac:dyDescent="0.25">
      <c r="A15" s="167" t="s">
        <v>96</v>
      </c>
      <c r="B15" s="168"/>
      <c r="C15" s="181"/>
    </row>
    <row r="16" spans="1:4" ht="5.25" customHeight="1" x14ac:dyDescent="0.3">
      <c r="A16" s="165"/>
      <c r="B16" s="182"/>
      <c r="C16" s="183"/>
    </row>
    <row r="17" spans="1:3" x14ac:dyDescent="0.3">
      <c r="A17" s="166" t="s">
        <v>101</v>
      </c>
      <c r="B17" s="179">
        <f>SUM(B18:B26)</f>
        <v>502338</v>
      </c>
      <c r="C17" s="180">
        <f>SUM(C18:C26)</f>
        <v>22197375</v>
      </c>
    </row>
    <row r="18" spans="1:3" s="169" customFormat="1" ht="13.5" x14ac:dyDescent="0.25">
      <c r="A18" s="167" t="s">
        <v>103</v>
      </c>
      <c r="B18" s="168"/>
      <c r="C18" s="181"/>
    </row>
    <row r="19" spans="1:3" s="169" customFormat="1" ht="13.5" x14ac:dyDescent="0.25">
      <c r="A19" s="167" t="s">
        <v>105</v>
      </c>
      <c r="B19" s="168"/>
      <c r="C19" s="181"/>
    </row>
    <row r="20" spans="1:3" s="169" customFormat="1" ht="13.5" x14ac:dyDescent="0.25">
      <c r="A20" s="167" t="s">
        <v>107</v>
      </c>
      <c r="B20" s="168"/>
      <c r="C20" s="181">
        <v>21502500</v>
      </c>
    </row>
    <row r="21" spans="1:3" s="169" customFormat="1" ht="13.5" x14ac:dyDescent="0.25">
      <c r="A21" s="167" t="s">
        <v>109</v>
      </c>
      <c r="B21" s="168"/>
      <c r="C21" s="181">
        <v>694875</v>
      </c>
    </row>
    <row r="22" spans="1:3" s="169" customFormat="1" ht="13.5" x14ac:dyDescent="0.25">
      <c r="A22" s="167" t="s">
        <v>111</v>
      </c>
      <c r="B22" s="168"/>
      <c r="C22" s="181"/>
    </row>
    <row r="23" spans="1:3" s="169" customFormat="1" ht="13.5" x14ac:dyDescent="0.25">
      <c r="A23" s="167" t="s">
        <v>113</v>
      </c>
      <c r="B23" s="168">
        <v>502338</v>
      </c>
      <c r="C23" s="181"/>
    </row>
    <row r="24" spans="1:3" s="169" customFormat="1" ht="13.5" x14ac:dyDescent="0.25">
      <c r="A24" s="167" t="s">
        <v>115</v>
      </c>
      <c r="B24" s="168"/>
      <c r="C24" s="181"/>
    </row>
    <row r="25" spans="1:3" s="169" customFormat="1" ht="13.5" x14ac:dyDescent="0.25">
      <c r="A25" s="167" t="s">
        <v>116</v>
      </c>
      <c r="B25" s="168"/>
      <c r="C25" s="181"/>
    </row>
    <row r="26" spans="1:3" s="169" customFormat="1" ht="13.5" x14ac:dyDescent="0.25">
      <c r="A26" s="167" t="s">
        <v>117</v>
      </c>
      <c r="B26" s="168"/>
      <c r="C26" s="181"/>
    </row>
    <row r="27" spans="1:3" ht="6.75" customHeight="1" x14ac:dyDescent="0.3">
      <c r="A27" s="170"/>
      <c r="B27" s="182"/>
      <c r="C27" s="183"/>
    </row>
    <row r="28" spans="1:3" x14ac:dyDescent="0.3">
      <c r="A28" s="165" t="s">
        <v>215</v>
      </c>
      <c r="B28" s="177">
        <f>B29+B39</f>
        <v>32290</v>
      </c>
      <c r="C28" s="178">
        <f>C29+C39</f>
        <v>52141</v>
      </c>
    </row>
    <row r="29" spans="1:3" x14ac:dyDescent="0.3">
      <c r="A29" s="166" t="s">
        <v>83</v>
      </c>
      <c r="B29" s="179">
        <f>SUM(B30:B37)</f>
        <v>32290</v>
      </c>
      <c r="C29" s="180">
        <f>SUM(C30:C37)</f>
        <v>52141</v>
      </c>
    </row>
    <row r="30" spans="1:3" s="169" customFormat="1" ht="13.5" x14ac:dyDescent="0.25">
      <c r="A30" s="167" t="s">
        <v>85</v>
      </c>
      <c r="B30" s="168"/>
      <c r="C30" s="181">
        <v>29820</v>
      </c>
    </row>
    <row r="31" spans="1:3" s="169" customFormat="1" ht="13.5" x14ac:dyDescent="0.25">
      <c r="A31" s="167" t="s">
        <v>87</v>
      </c>
      <c r="B31" s="168"/>
      <c r="C31" s="181"/>
    </row>
    <row r="32" spans="1:3" s="169" customFormat="1" ht="13.5" x14ac:dyDescent="0.25">
      <c r="A32" s="167" t="s">
        <v>89</v>
      </c>
      <c r="B32" s="168"/>
      <c r="C32" s="181"/>
    </row>
    <row r="33" spans="1:3" s="169" customFormat="1" ht="13.5" x14ac:dyDescent="0.25">
      <c r="A33" s="167" t="s">
        <v>91</v>
      </c>
      <c r="B33" s="168"/>
      <c r="C33" s="181"/>
    </row>
    <row r="34" spans="1:3" s="169" customFormat="1" ht="13.5" x14ac:dyDescent="0.25">
      <c r="A34" s="167" t="s">
        <v>93</v>
      </c>
      <c r="B34" s="168">
        <v>32290</v>
      </c>
      <c r="C34" s="181"/>
    </row>
    <row r="35" spans="1:3" s="169" customFormat="1" ht="13.5" x14ac:dyDescent="0.25">
      <c r="A35" s="167" t="s">
        <v>95</v>
      </c>
      <c r="B35" s="168"/>
      <c r="C35" s="181"/>
    </row>
    <row r="36" spans="1:3" s="169" customFormat="1" ht="13.5" x14ac:dyDescent="0.25">
      <c r="A36" s="167" t="s">
        <v>97</v>
      </c>
      <c r="B36" s="168"/>
      <c r="C36" s="181"/>
    </row>
    <row r="37" spans="1:3" s="169" customFormat="1" ht="13.5" x14ac:dyDescent="0.25">
      <c r="A37" s="167" t="s">
        <v>98</v>
      </c>
      <c r="B37" s="168"/>
      <c r="C37" s="181">
        <v>22321</v>
      </c>
    </row>
    <row r="38" spans="1:3" ht="6" customHeight="1" x14ac:dyDescent="0.3">
      <c r="A38" s="165"/>
      <c r="B38" s="184"/>
      <c r="C38" s="185"/>
    </row>
    <row r="39" spans="1:3" x14ac:dyDescent="0.3">
      <c r="A39" s="166" t="s">
        <v>102</v>
      </c>
      <c r="B39" s="179">
        <f>SUM(B40:B45)</f>
        <v>0</v>
      </c>
      <c r="C39" s="180">
        <f>SUM(C40:C45)</f>
        <v>0</v>
      </c>
    </row>
    <row r="40" spans="1:3" s="169" customFormat="1" ht="13.5" x14ac:dyDescent="0.25">
      <c r="A40" s="167" t="s">
        <v>104</v>
      </c>
      <c r="B40" s="168"/>
      <c r="C40" s="181"/>
    </row>
    <row r="41" spans="1:3" s="169" customFormat="1" ht="13.5" x14ac:dyDescent="0.25">
      <c r="A41" s="167" t="s">
        <v>106</v>
      </c>
      <c r="B41" s="168"/>
      <c r="C41" s="181"/>
    </row>
    <row r="42" spans="1:3" s="169" customFormat="1" ht="13.5" x14ac:dyDescent="0.25">
      <c r="A42" s="167" t="s">
        <v>108</v>
      </c>
      <c r="B42" s="168"/>
      <c r="C42" s="181"/>
    </row>
    <row r="43" spans="1:3" s="169" customFormat="1" ht="13.5" x14ac:dyDescent="0.25">
      <c r="A43" s="167" t="s">
        <v>110</v>
      </c>
      <c r="B43" s="168"/>
      <c r="C43" s="181"/>
    </row>
    <row r="44" spans="1:3" s="169" customFormat="1" ht="13.5" x14ac:dyDescent="0.25">
      <c r="A44" s="167" t="s">
        <v>112</v>
      </c>
      <c r="B44" s="168"/>
      <c r="C44" s="181"/>
    </row>
    <row r="45" spans="1:3" s="169" customFormat="1" ht="13.5" x14ac:dyDescent="0.25">
      <c r="A45" s="167" t="s">
        <v>114</v>
      </c>
      <c r="B45" s="168"/>
      <c r="C45" s="181"/>
    </row>
    <row r="46" spans="1:3" x14ac:dyDescent="0.3">
      <c r="A46" s="171"/>
      <c r="B46" s="182"/>
      <c r="C46" s="183"/>
    </row>
    <row r="47" spans="1:3" x14ac:dyDescent="0.3">
      <c r="A47" s="165" t="s">
        <v>216</v>
      </c>
      <c r="B47" s="177">
        <f>B48+B53</f>
        <v>21568534</v>
      </c>
      <c r="C47" s="178">
        <f>C48+C53</f>
        <v>2102937</v>
      </c>
    </row>
    <row r="48" spans="1:3" x14ac:dyDescent="0.3">
      <c r="A48" s="166" t="s">
        <v>123</v>
      </c>
      <c r="B48" s="179">
        <f>SUM(B49:B51)</f>
        <v>21568534</v>
      </c>
      <c r="C48" s="180">
        <f>SUM(C49:C51)</f>
        <v>0</v>
      </c>
    </row>
    <row r="49" spans="1:3" s="169" customFormat="1" ht="13.5" x14ac:dyDescent="0.25">
      <c r="A49" s="167" t="s">
        <v>124</v>
      </c>
      <c r="B49" s="168"/>
      <c r="C49" s="181"/>
    </row>
    <row r="50" spans="1:3" s="169" customFormat="1" ht="13.5" x14ac:dyDescent="0.25">
      <c r="A50" s="167" t="s">
        <v>125</v>
      </c>
      <c r="B50" s="168">
        <v>21568534</v>
      </c>
      <c r="C50" s="181"/>
    </row>
    <row r="51" spans="1:3" s="169" customFormat="1" ht="13.5" x14ac:dyDescent="0.25">
      <c r="A51" s="167" t="s">
        <v>126</v>
      </c>
      <c r="B51" s="168"/>
      <c r="C51" s="181"/>
    </row>
    <row r="52" spans="1:3" ht="6" customHeight="1" x14ac:dyDescent="0.3">
      <c r="A52" s="166"/>
      <c r="B52" s="184"/>
      <c r="C52" s="185"/>
    </row>
    <row r="53" spans="1:3" ht="15.75" customHeight="1" x14ac:dyDescent="0.3">
      <c r="A53" s="166" t="s">
        <v>127</v>
      </c>
      <c r="B53" s="179">
        <f>SUM(B54:B58)</f>
        <v>0</v>
      </c>
      <c r="C53" s="180">
        <f>SUM(C54:C58)</f>
        <v>2102937</v>
      </c>
    </row>
    <row r="54" spans="1:3" s="169" customFormat="1" ht="13.5" x14ac:dyDescent="0.25">
      <c r="A54" s="167" t="s">
        <v>128</v>
      </c>
      <c r="B54" s="168"/>
      <c r="C54" s="181">
        <v>1744616</v>
      </c>
    </row>
    <row r="55" spans="1:3" s="169" customFormat="1" ht="13.5" x14ac:dyDescent="0.25">
      <c r="A55" s="167" t="s">
        <v>129</v>
      </c>
      <c r="B55" s="168"/>
      <c r="C55" s="181">
        <v>85011</v>
      </c>
    </row>
    <row r="56" spans="1:3" s="169" customFormat="1" ht="13.5" x14ac:dyDescent="0.25">
      <c r="A56" s="167" t="s">
        <v>130</v>
      </c>
      <c r="B56" s="168"/>
      <c r="C56" s="181"/>
    </row>
    <row r="57" spans="1:3" s="169" customFormat="1" ht="13.5" x14ac:dyDescent="0.25">
      <c r="A57" s="167" t="s">
        <v>131</v>
      </c>
      <c r="B57" s="168"/>
      <c r="C57" s="181">
        <v>273310</v>
      </c>
    </row>
    <row r="58" spans="1:3" s="169" customFormat="1" ht="13.5" x14ac:dyDescent="0.25">
      <c r="A58" s="167" t="s">
        <v>132</v>
      </c>
      <c r="B58" s="186"/>
      <c r="C58" s="187"/>
    </row>
    <row r="59" spans="1:3" ht="7.5" customHeight="1" x14ac:dyDescent="0.3">
      <c r="A59" s="166"/>
      <c r="B59" s="182"/>
      <c r="C59" s="183"/>
    </row>
    <row r="60" spans="1:3" x14ac:dyDescent="0.3">
      <c r="A60" s="166" t="s">
        <v>217</v>
      </c>
      <c r="B60" s="179">
        <f>SUM(B61:B62)</f>
        <v>0</v>
      </c>
      <c r="C60" s="180">
        <f>SUM(C61:C62)</f>
        <v>0</v>
      </c>
    </row>
    <row r="61" spans="1:3" s="169" customFormat="1" ht="13.5" x14ac:dyDescent="0.25">
      <c r="A61" s="167" t="s">
        <v>134</v>
      </c>
      <c r="B61" s="168"/>
      <c r="C61" s="181"/>
    </row>
    <row r="62" spans="1:3" s="169" customFormat="1" ht="14.25" thickBot="1" x14ac:dyDescent="0.3">
      <c r="A62" s="172" t="s">
        <v>135</v>
      </c>
      <c r="B62" s="173"/>
      <c r="C62" s="188"/>
    </row>
    <row r="63" spans="1:3" s="169" customFormat="1" ht="13.5" x14ac:dyDescent="0.25">
      <c r="A63" s="161" t="s">
        <v>196</v>
      </c>
      <c r="B63" s="168"/>
      <c r="C63" s="168"/>
    </row>
    <row r="64" spans="1:3" s="169" customFormat="1" ht="13.5" x14ac:dyDescent="0.25">
      <c r="A64" s="649"/>
      <c r="B64" s="168"/>
      <c r="C64" s="168"/>
    </row>
    <row r="65" spans="1:3" s="169" customFormat="1" ht="13.5" x14ac:dyDescent="0.25">
      <c r="A65" s="649" t="s">
        <v>144</v>
      </c>
      <c r="B65" s="168"/>
      <c r="C65" s="168"/>
    </row>
    <row r="66" spans="1:3" s="169" customFormat="1" ht="13.5" x14ac:dyDescent="0.25">
      <c r="A66" s="649" t="s">
        <v>144</v>
      </c>
      <c r="B66" s="168"/>
      <c r="C66" s="168"/>
    </row>
    <row r="67" spans="1:3" x14ac:dyDescent="0.3">
      <c r="A67" s="161" t="s">
        <v>144</v>
      </c>
    </row>
  </sheetData>
  <sheetProtection algorithmName="SHA-512" hashValue="DB5ZPjquwMXKZ/okpudfI9m8N/1Ia10j6YZKoKK6UCP9u1MDt4SAoXCA7vg/4a2cnYx0vZc6yF3tFi5bpKKE5g==" saltValue="TzXJ8cYg9Lkb+PFwPsYv/Q==" spinCount="100000" sheet="1" objects="1" scenarios="1" insertHyperlinks="0" selectLockedCells="1"/>
  <mergeCells count="4">
    <mergeCell ref="A1:C1"/>
    <mergeCell ref="A3:C3"/>
    <mergeCell ref="A2:C2"/>
    <mergeCell ref="A4:C4"/>
  </mergeCells>
  <printOptions horizontalCentered="1"/>
  <pageMargins left="0.39370078740157483" right="0.39370078740157483" top="0.47244094488188981" bottom="0.39370078740157483" header="0.31496062992125984" footer="0.19685039370078741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/>
    <pageSetUpPr fitToPage="1"/>
  </sheetPr>
  <dimension ref="A1:E71"/>
  <sheetViews>
    <sheetView view="pageBreakPreview" topLeftCell="A52" zoomScale="150" zoomScaleNormal="100" zoomScaleSheetLayoutView="150" workbookViewId="0">
      <selection activeCell="C36" sqref="C36"/>
    </sheetView>
  </sheetViews>
  <sheetFormatPr baseColWidth="10" defaultColWidth="11.42578125" defaultRowHeight="16.5" x14ac:dyDescent="0.3"/>
  <cols>
    <col min="1" max="1" width="2.85546875" style="72" customWidth="1"/>
    <col min="2" max="2" width="63.85546875" style="72" customWidth="1"/>
    <col min="3" max="4" width="12.7109375" style="72" customWidth="1"/>
    <col min="5" max="16384" width="11.42578125" style="72"/>
  </cols>
  <sheetData>
    <row r="1" spans="1:4" x14ac:dyDescent="0.3">
      <c r="A1" s="808" t="s">
        <v>76</v>
      </c>
      <c r="B1" s="808"/>
      <c r="C1" s="808"/>
      <c r="D1" s="808"/>
    </row>
    <row r="2" spans="1:4" x14ac:dyDescent="0.3">
      <c r="A2" s="807" t="s">
        <v>20</v>
      </c>
      <c r="B2" s="807"/>
      <c r="C2" s="807"/>
      <c r="D2" s="807"/>
    </row>
    <row r="3" spans="1:4" x14ac:dyDescent="0.3">
      <c r="A3" s="806" t="s">
        <v>642</v>
      </c>
      <c r="B3" s="806"/>
      <c r="C3" s="806"/>
      <c r="D3" s="806"/>
    </row>
    <row r="4" spans="1:4" x14ac:dyDescent="0.3">
      <c r="A4" s="806" t="s">
        <v>648</v>
      </c>
      <c r="B4" s="806"/>
      <c r="C4" s="806"/>
      <c r="D4" s="806"/>
    </row>
    <row r="5" spans="1:4" ht="17.25" thickBot="1" x14ac:dyDescent="0.35">
      <c r="A5" s="803" t="s">
        <v>218</v>
      </c>
      <c r="B5" s="803"/>
      <c r="C5" s="74" t="s">
        <v>79</v>
      </c>
      <c r="D5" s="71" t="s">
        <v>644</v>
      </c>
    </row>
    <row r="6" spans="1:4" ht="23.25" customHeight="1" thickBot="1" x14ac:dyDescent="0.35">
      <c r="A6" s="812" t="s">
        <v>199</v>
      </c>
      <c r="B6" s="813"/>
      <c r="C6" s="224">
        <v>2016</v>
      </c>
      <c r="D6" s="225">
        <v>2015</v>
      </c>
    </row>
    <row r="7" spans="1:4" s="190" customFormat="1" ht="12" customHeight="1" thickTop="1" x14ac:dyDescent="0.25">
      <c r="A7" s="810" t="s">
        <v>219</v>
      </c>
      <c r="B7" s="811"/>
      <c r="C7" s="811"/>
      <c r="D7" s="189"/>
    </row>
    <row r="8" spans="1:4" s="190" customFormat="1" ht="12.75" customHeight="1" x14ac:dyDescent="0.25">
      <c r="A8" s="191"/>
      <c r="B8" s="192" t="s">
        <v>211</v>
      </c>
      <c r="C8" s="208">
        <f>SUM(C9:C19)</f>
        <v>8472893</v>
      </c>
      <c r="D8" s="209">
        <f>SUM(D9:D19)</f>
        <v>7051813</v>
      </c>
    </row>
    <row r="9" spans="1:4" s="194" customFormat="1" ht="11.1" customHeight="1" x14ac:dyDescent="0.25">
      <c r="A9" s="193"/>
      <c r="B9" s="205" t="s">
        <v>143</v>
      </c>
      <c r="C9" s="210"/>
      <c r="D9" s="211"/>
    </row>
    <row r="10" spans="1:4" s="194" customFormat="1" ht="11.1" customHeight="1" x14ac:dyDescent="0.25">
      <c r="A10" s="193"/>
      <c r="B10" s="205" t="s">
        <v>145</v>
      </c>
      <c r="C10" s="210"/>
      <c r="D10" s="211"/>
    </row>
    <row r="11" spans="1:4" s="194" customFormat="1" ht="11.1" customHeight="1" x14ac:dyDescent="0.25">
      <c r="A11" s="193"/>
      <c r="B11" s="205" t="s">
        <v>220</v>
      </c>
      <c r="C11" s="210"/>
      <c r="D11" s="211"/>
    </row>
    <row r="12" spans="1:4" s="194" customFormat="1" ht="11.1" customHeight="1" x14ac:dyDescent="0.25">
      <c r="A12" s="193"/>
      <c r="B12" s="205" t="s">
        <v>147</v>
      </c>
      <c r="C12" s="210"/>
      <c r="D12" s="211"/>
    </row>
    <row r="13" spans="1:4" s="194" customFormat="1" ht="11.1" customHeight="1" x14ac:dyDescent="0.25">
      <c r="A13" s="193"/>
      <c r="B13" s="205" t="s">
        <v>221</v>
      </c>
      <c r="C13" s="210"/>
      <c r="D13" s="211"/>
    </row>
    <row r="14" spans="1:4" s="194" customFormat="1" ht="11.1" customHeight="1" x14ac:dyDescent="0.25">
      <c r="A14" s="193"/>
      <c r="B14" s="205" t="s">
        <v>149</v>
      </c>
      <c r="C14" s="210"/>
      <c r="D14" s="211"/>
    </row>
    <row r="15" spans="1:4" s="194" customFormat="1" ht="11.1" customHeight="1" x14ac:dyDescent="0.25">
      <c r="A15" s="193"/>
      <c r="B15" s="205" t="s">
        <v>150</v>
      </c>
      <c r="C15" s="210">
        <v>428044</v>
      </c>
      <c r="D15" s="211">
        <v>340130</v>
      </c>
    </row>
    <row r="16" spans="1:4" s="194" customFormat="1" ht="22.5" customHeight="1" x14ac:dyDescent="0.25">
      <c r="A16" s="193"/>
      <c r="B16" s="205" t="s">
        <v>151</v>
      </c>
      <c r="C16" s="210"/>
      <c r="D16" s="211"/>
    </row>
    <row r="17" spans="1:4" s="194" customFormat="1" ht="12" customHeight="1" x14ac:dyDescent="0.25">
      <c r="A17" s="193"/>
      <c r="B17" s="205" t="s">
        <v>153</v>
      </c>
      <c r="C17" s="210">
        <v>8044849</v>
      </c>
      <c r="D17" s="211">
        <v>6669697</v>
      </c>
    </row>
    <row r="18" spans="1:4" s="194" customFormat="1" ht="12" customHeight="1" x14ac:dyDescent="0.25">
      <c r="A18" s="193"/>
      <c r="B18" s="205" t="s">
        <v>222</v>
      </c>
      <c r="C18" s="210"/>
      <c r="D18" s="211"/>
    </row>
    <row r="19" spans="1:4" s="194" customFormat="1" ht="12" customHeight="1" x14ac:dyDescent="0.25">
      <c r="A19" s="193"/>
      <c r="B19" s="205" t="s">
        <v>223</v>
      </c>
      <c r="C19" s="210"/>
      <c r="D19" s="211">
        <v>41986</v>
      </c>
    </row>
    <row r="20" spans="1:4" s="190" customFormat="1" ht="13.5" customHeight="1" x14ac:dyDescent="0.25">
      <c r="A20" s="191"/>
      <c r="B20" s="192" t="s">
        <v>212</v>
      </c>
      <c r="C20" s="208">
        <f>SUM(C21:C36)</f>
        <v>10491522</v>
      </c>
      <c r="D20" s="209">
        <f>SUM(D21:D36)</f>
        <v>6386357</v>
      </c>
    </row>
    <row r="21" spans="1:4" s="190" customFormat="1" ht="11.1" customHeight="1" x14ac:dyDescent="0.25">
      <c r="A21" s="191"/>
      <c r="B21" s="205" t="s">
        <v>164</v>
      </c>
      <c r="C21" s="210">
        <v>6467383</v>
      </c>
      <c r="D21" s="211">
        <v>5028401</v>
      </c>
    </row>
    <row r="22" spans="1:4" s="190" customFormat="1" ht="11.1" customHeight="1" x14ac:dyDescent="0.25">
      <c r="A22" s="191"/>
      <c r="B22" s="205" t="s">
        <v>165</v>
      </c>
      <c r="C22" s="210">
        <v>1009260</v>
      </c>
      <c r="D22" s="211">
        <v>316496</v>
      </c>
    </row>
    <row r="23" spans="1:4" s="190" customFormat="1" ht="11.1" customHeight="1" x14ac:dyDescent="0.25">
      <c r="A23" s="191"/>
      <c r="B23" s="205" t="s">
        <v>166</v>
      </c>
      <c r="C23" s="210">
        <v>2122157</v>
      </c>
      <c r="D23" s="211">
        <v>1041460</v>
      </c>
    </row>
    <row r="24" spans="1:4" s="190" customFormat="1" ht="11.1" customHeight="1" x14ac:dyDescent="0.25">
      <c r="A24" s="191"/>
      <c r="B24" s="205" t="s">
        <v>167</v>
      </c>
      <c r="C24" s="210"/>
      <c r="D24" s="211"/>
    </row>
    <row r="25" spans="1:4" s="190" customFormat="1" ht="11.1" customHeight="1" x14ac:dyDescent="0.25">
      <c r="A25" s="191"/>
      <c r="B25" s="205" t="s">
        <v>224</v>
      </c>
      <c r="C25" s="210"/>
      <c r="D25" s="211"/>
    </row>
    <row r="26" spans="1:4" s="190" customFormat="1" ht="11.1" customHeight="1" x14ac:dyDescent="0.25">
      <c r="A26" s="191"/>
      <c r="B26" s="205" t="s">
        <v>225</v>
      </c>
      <c r="C26" s="210"/>
      <c r="D26" s="211"/>
    </row>
    <row r="27" spans="1:4" s="190" customFormat="1" ht="11.1" customHeight="1" x14ac:dyDescent="0.25">
      <c r="A27" s="191"/>
      <c r="B27" s="205" t="s">
        <v>170</v>
      </c>
      <c r="C27" s="210"/>
      <c r="D27" s="211"/>
    </row>
    <row r="28" spans="1:4" s="190" customFormat="1" ht="11.1" customHeight="1" x14ac:dyDescent="0.25">
      <c r="A28" s="191"/>
      <c r="B28" s="205" t="s">
        <v>171</v>
      </c>
      <c r="C28" s="210"/>
      <c r="D28" s="211"/>
    </row>
    <row r="29" spans="1:4" s="190" customFormat="1" ht="11.1" customHeight="1" x14ac:dyDescent="0.25">
      <c r="A29" s="191"/>
      <c r="B29" s="205" t="s">
        <v>172</v>
      </c>
      <c r="C29" s="210"/>
      <c r="D29" s="211"/>
    </row>
    <row r="30" spans="1:4" s="190" customFormat="1" ht="11.1" customHeight="1" x14ac:dyDescent="0.25">
      <c r="A30" s="191"/>
      <c r="B30" s="205" t="s">
        <v>173</v>
      </c>
      <c r="C30" s="210"/>
      <c r="D30" s="211"/>
    </row>
    <row r="31" spans="1:4" s="190" customFormat="1" ht="11.1" customHeight="1" x14ac:dyDescent="0.25">
      <c r="A31" s="191"/>
      <c r="B31" s="205" t="s">
        <v>174</v>
      </c>
      <c r="C31" s="210"/>
      <c r="D31" s="211"/>
    </row>
    <row r="32" spans="1:4" s="190" customFormat="1" ht="11.1" customHeight="1" x14ac:dyDescent="0.25">
      <c r="A32" s="191"/>
      <c r="B32" s="205" t="s">
        <v>175</v>
      </c>
      <c r="C32" s="210"/>
      <c r="D32" s="211"/>
    </row>
    <row r="33" spans="1:4" s="190" customFormat="1" ht="11.1" customHeight="1" x14ac:dyDescent="0.25">
      <c r="A33" s="191"/>
      <c r="B33" s="205" t="s">
        <v>226</v>
      </c>
      <c r="C33" s="210"/>
      <c r="D33" s="211"/>
    </row>
    <row r="34" spans="1:4" s="190" customFormat="1" ht="11.1" customHeight="1" x14ac:dyDescent="0.25">
      <c r="A34" s="191"/>
      <c r="B34" s="205" t="s">
        <v>124</v>
      </c>
      <c r="C34" s="210"/>
      <c r="D34" s="211"/>
    </row>
    <row r="35" spans="1:4" s="190" customFormat="1" ht="11.1" customHeight="1" x14ac:dyDescent="0.25">
      <c r="A35" s="191"/>
      <c r="B35" s="205" t="s">
        <v>178</v>
      </c>
      <c r="C35" s="210"/>
      <c r="D35" s="211"/>
    </row>
    <row r="36" spans="1:4" s="190" customFormat="1" ht="11.1" customHeight="1" x14ac:dyDescent="0.25">
      <c r="A36" s="191"/>
      <c r="B36" s="205" t="s">
        <v>227</v>
      </c>
      <c r="C36" s="210">
        <v>892722</v>
      </c>
      <c r="D36" s="211"/>
    </row>
    <row r="37" spans="1:4" s="190" customFormat="1" ht="12" customHeight="1" x14ac:dyDescent="0.25">
      <c r="A37" s="195" t="s">
        <v>228</v>
      </c>
      <c r="B37" s="196"/>
      <c r="C37" s="212">
        <f>C8-C20</f>
        <v>-2018629</v>
      </c>
      <c r="D37" s="213">
        <f>D8-D20</f>
        <v>665456</v>
      </c>
    </row>
    <row r="38" spans="1:4" s="190" customFormat="1" ht="4.5" customHeight="1" x14ac:dyDescent="0.25">
      <c r="A38" s="197"/>
      <c r="B38" s="198"/>
      <c r="C38" s="214"/>
      <c r="D38" s="215"/>
    </row>
    <row r="39" spans="1:4" s="190" customFormat="1" ht="12.75" x14ac:dyDescent="0.25">
      <c r="A39" s="199" t="s">
        <v>229</v>
      </c>
      <c r="B39" s="192"/>
      <c r="C39" s="216"/>
      <c r="D39" s="217"/>
    </row>
    <row r="40" spans="1:4" s="190" customFormat="1" ht="10.5" customHeight="1" x14ac:dyDescent="0.25">
      <c r="A40" s="191"/>
      <c r="B40" s="192" t="s">
        <v>211</v>
      </c>
      <c r="C40" s="208">
        <f>SUM(C41:C43)</f>
        <v>0</v>
      </c>
      <c r="D40" s="209">
        <f>SUM(D41:D43)</f>
        <v>0</v>
      </c>
    </row>
    <row r="41" spans="1:4" s="190" customFormat="1" ht="11.1" customHeight="1" x14ac:dyDescent="0.25">
      <c r="A41" s="191"/>
      <c r="B41" s="206" t="s">
        <v>107</v>
      </c>
      <c r="C41" s="210"/>
      <c r="D41" s="211"/>
    </row>
    <row r="42" spans="1:4" s="190" customFormat="1" ht="11.1" customHeight="1" x14ac:dyDescent="0.25">
      <c r="A42" s="191"/>
      <c r="B42" s="206" t="s">
        <v>109</v>
      </c>
      <c r="C42" s="210"/>
      <c r="D42" s="211">
        <v>0</v>
      </c>
    </row>
    <row r="43" spans="1:4" s="190" customFormat="1" ht="11.1" customHeight="1" x14ac:dyDescent="0.25">
      <c r="A43" s="191"/>
      <c r="B43" s="206" t="s">
        <v>230</v>
      </c>
      <c r="C43" s="210"/>
      <c r="D43" s="211"/>
    </row>
    <row r="44" spans="1:4" s="190" customFormat="1" ht="10.5" customHeight="1" x14ac:dyDescent="0.25">
      <c r="A44" s="191"/>
      <c r="B44" s="192" t="s">
        <v>212</v>
      </c>
      <c r="C44" s="208">
        <f>SUM(C45:C47)</f>
        <v>0</v>
      </c>
      <c r="D44" s="209">
        <f>SUM(D45:D47)</f>
        <v>31459</v>
      </c>
    </row>
    <row r="45" spans="1:4" s="190" customFormat="1" ht="11.1" customHeight="1" x14ac:dyDescent="0.25">
      <c r="A45" s="191"/>
      <c r="B45" s="206" t="s">
        <v>107</v>
      </c>
      <c r="C45" s="210"/>
      <c r="D45" s="211"/>
    </row>
    <row r="46" spans="1:4" s="190" customFormat="1" ht="11.1" customHeight="1" x14ac:dyDescent="0.25">
      <c r="A46" s="191"/>
      <c r="B46" s="206" t="s">
        <v>109</v>
      </c>
      <c r="C46" s="210"/>
      <c r="D46" s="211">
        <v>31459</v>
      </c>
    </row>
    <row r="47" spans="1:4" s="190" customFormat="1" ht="11.1" customHeight="1" x14ac:dyDescent="0.25">
      <c r="A47" s="191"/>
      <c r="B47" s="206" t="s">
        <v>231</v>
      </c>
      <c r="C47" s="210"/>
      <c r="D47" s="211"/>
    </row>
    <row r="48" spans="1:4" s="190" customFormat="1" ht="12" customHeight="1" x14ac:dyDescent="0.25">
      <c r="A48" s="195" t="s">
        <v>232</v>
      </c>
      <c r="B48" s="196"/>
      <c r="C48" s="212">
        <f>C40-C44</f>
        <v>0</v>
      </c>
      <c r="D48" s="213">
        <f>D40-D44</f>
        <v>-31459</v>
      </c>
    </row>
    <row r="49" spans="1:4" s="190" customFormat="1" ht="2.25" customHeight="1" x14ac:dyDescent="0.25">
      <c r="A49" s="197"/>
      <c r="B49" s="198"/>
      <c r="C49" s="218"/>
      <c r="D49" s="219"/>
    </row>
    <row r="50" spans="1:4" s="190" customFormat="1" ht="12" customHeight="1" x14ac:dyDescent="0.25">
      <c r="A50" s="199" t="s">
        <v>233</v>
      </c>
      <c r="B50" s="192"/>
      <c r="C50" s="216"/>
      <c r="D50" s="217"/>
    </row>
    <row r="51" spans="1:4" s="190" customFormat="1" ht="12.75" x14ac:dyDescent="0.25">
      <c r="A51" s="191"/>
      <c r="B51" s="192" t="s">
        <v>211</v>
      </c>
      <c r="C51" s="208">
        <f>SUM(C52:C55)</f>
        <v>0</v>
      </c>
      <c r="D51" s="209">
        <f>SUM(D52:D55)</f>
        <v>0</v>
      </c>
    </row>
    <row r="52" spans="1:4" s="190" customFormat="1" ht="11.1" customHeight="1" x14ac:dyDescent="0.25">
      <c r="A52" s="191"/>
      <c r="B52" s="206" t="s">
        <v>51</v>
      </c>
      <c r="C52" s="210"/>
      <c r="D52" s="211"/>
    </row>
    <row r="53" spans="1:4" s="190" customFormat="1" ht="11.1" customHeight="1" x14ac:dyDescent="0.25">
      <c r="A53" s="191"/>
      <c r="B53" s="206" t="s">
        <v>234</v>
      </c>
      <c r="C53" s="210"/>
      <c r="D53" s="211"/>
    </row>
    <row r="54" spans="1:4" s="190" customFormat="1" ht="11.1" customHeight="1" x14ac:dyDescent="0.25">
      <c r="A54" s="191"/>
      <c r="B54" s="206" t="s">
        <v>235</v>
      </c>
      <c r="C54" s="210"/>
      <c r="D54" s="211"/>
    </row>
    <row r="55" spans="1:4" s="190" customFormat="1" ht="11.1" customHeight="1" x14ac:dyDescent="0.25">
      <c r="A55" s="191"/>
      <c r="B55" s="206" t="s">
        <v>236</v>
      </c>
      <c r="C55" s="210"/>
      <c r="D55" s="211"/>
    </row>
    <row r="56" spans="1:4" s="190" customFormat="1" ht="11.25" customHeight="1" x14ac:dyDescent="0.25">
      <c r="A56" s="191"/>
      <c r="B56" s="192" t="s">
        <v>212</v>
      </c>
      <c r="C56" s="208">
        <f>SUM(C57:C60)</f>
        <v>0</v>
      </c>
      <c r="D56" s="209">
        <f>SUM(D57:D60)</f>
        <v>0</v>
      </c>
    </row>
    <row r="57" spans="1:4" s="190" customFormat="1" ht="11.1" customHeight="1" x14ac:dyDescent="0.25">
      <c r="A57" s="191"/>
      <c r="B57" s="206" t="s">
        <v>237</v>
      </c>
      <c r="C57" s="210"/>
      <c r="D57" s="211"/>
    </row>
    <row r="58" spans="1:4" s="190" customFormat="1" ht="11.1" customHeight="1" x14ac:dyDescent="0.25">
      <c r="A58" s="191"/>
      <c r="B58" s="206" t="s">
        <v>234</v>
      </c>
      <c r="C58" s="210"/>
      <c r="D58" s="211"/>
    </row>
    <row r="59" spans="1:4" s="190" customFormat="1" ht="11.1" customHeight="1" x14ac:dyDescent="0.25">
      <c r="A59" s="191"/>
      <c r="B59" s="206" t="s">
        <v>235</v>
      </c>
      <c r="C59" s="210"/>
      <c r="D59" s="211"/>
    </row>
    <row r="60" spans="1:4" s="190" customFormat="1" ht="11.1" customHeight="1" x14ac:dyDescent="0.25">
      <c r="A60" s="191"/>
      <c r="B60" s="206" t="s">
        <v>238</v>
      </c>
      <c r="C60" s="210"/>
      <c r="D60" s="211"/>
    </row>
    <row r="61" spans="1:4" s="190" customFormat="1" ht="12" customHeight="1" x14ac:dyDescent="0.25">
      <c r="A61" s="195" t="s">
        <v>239</v>
      </c>
      <c r="B61" s="196"/>
      <c r="C61" s="212">
        <f>C51-C56</f>
        <v>0</v>
      </c>
      <c r="D61" s="213">
        <f>D51-D56</f>
        <v>0</v>
      </c>
    </row>
    <row r="62" spans="1:4" s="190" customFormat="1" ht="2.25" customHeight="1" x14ac:dyDescent="0.25">
      <c r="A62" s="197"/>
      <c r="B62" s="198"/>
      <c r="C62" s="218"/>
      <c r="D62" s="219"/>
    </row>
    <row r="63" spans="1:4" s="190" customFormat="1" ht="12" customHeight="1" x14ac:dyDescent="0.25">
      <c r="A63" s="195" t="s">
        <v>240</v>
      </c>
      <c r="B63" s="200"/>
      <c r="C63" s="220">
        <f>C61+C48+C37</f>
        <v>-2018629</v>
      </c>
      <c r="D63" s="221">
        <f>D61+D48+D37</f>
        <v>633997</v>
      </c>
    </row>
    <row r="64" spans="1:4" ht="2.25" customHeight="1" x14ac:dyDescent="0.3">
      <c r="A64" s="201"/>
      <c r="B64" s="202"/>
      <c r="C64" s="218"/>
      <c r="D64" s="219"/>
    </row>
    <row r="65" spans="1:5" s="190" customFormat="1" ht="12" customHeight="1" x14ac:dyDescent="0.25">
      <c r="A65" s="195" t="s">
        <v>241</v>
      </c>
      <c r="B65" s="196"/>
      <c r="C65" s="210">
        <v>7645216</v>
      </c>
      <c r="D65" s="211">
        <v>7159105</v>
      </c>
      <c r="E65" s="585" t="str">
        <f>IF(C65-'ETCA-I-01'!C9&gt;0.99,"ERROR!!!, NO COINCIDEN LOS MONTOS CON LO REPORTADO EN EL FORMATO ETCA-I-01 EN EL EJERCICIO 2015","")</f>
        <v/>
      </c>
    </row>
    <row r="66" spans="1:5" s="190" customFormat="1" ht="12" customHeight="1" thickBot="1" x14ac:dyDescent="0.3">
      <c r="A66" s="204" t="s">
        <v>242</v>
      </c>
      <c r="B66" s="203"/>
      <c r="C66" s="222">
        <f>C65+C63</f>
        <v>5626587</v>
      </c>
      <c r="D66" s="223">
        <f>D65+D63</f>
        <v>7793102</v>
      </c>
      <c r="E66" s="585" t="str">
        <f>IF(C66-'ETCA-I-01'!B9&gt;0.99,"ERROR!!!, NO COINCIDEN LOS MONTOS CON LO REPORTADO EN EL FORMATO ETCA-I-01 EN EL EJERCICIO 2016","")</f>
        <v/>
      </c>
    </row>
    <row r="67" spans="1:5" s="190" customFormat="1" ht="12" customHeight="1" x14ac:dyDescent="0.3">
      <c r="A67" s="586" t="s">
        <v>196</v>
      </c>
      <c r="B67" s="72"/>
      <c r="C67" s="72"/>
      <c r="D67" s="72"/>
      <c r="E67" s="585"/>
    </row>
    <row r="68" spans="1:5" s="190" customFormat="1" ht="12" customHeight="1" x14ac:dyDescent="0.25">
      <c r="A68" s="196"/>
      <c r="B68" s="200"/>
      <c r="C68" s="220"/>
      <c r="D68" s="220"/>
      <c r="E68" s="585"/>
    </row>
    <row r="69" spans="1:5" s="190" customFormat="1" ht="12" customHeight="1" x14ac:dyDescent="0.25">
      <c r="A69" s="196"/>
      <c r="B69" s="200"/>
      <c r="C69" s="220"/>
      <c r="D69" s="220"/>
      <c r="E69" s="585"/>
    </row>
    <row r="70" spans="1:5" s="190" customFormat="1" ht="12" customHeight="1" x14ac:dyDescent="0.25">
      <c r="A70" s="196"/>
      <c r="B70" s="200"/>
      <c r="C70" s="220"/>
      <c r="D70" s="220"/>
      <c r="E70" s="585"/>
    </row>
    <row r="71" spans="1:5" ht="12" customHeight="1" x14ac:dyDescent="0.3">
      <c r="A71" s="586" t="s">
        <v>144</v>
      </c>
    </row>
  </sheetData>
  <sheetProtection algorithmName="SHA-512" hashValue="VAxSilPpWo1ehiG/Kla4pBT824lHH08/B/GteuR8xYptA1kGGQoVFTRxoiHEo59q+9qMAAyRv3OXYu1AHuRZCg==" saltValue="QaMkGg/e5sisihZ1D8fnIA==" spinCount="100000" sheet="1" objects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theme="7"/>
    <pageSetUpPr fitToPage="1"/>
  </sheetPr>
  <dimension ref="A1:H34"/>
  <sheetViews>
    <sheetView view="pageBreakPreview" topLeftCell="A13" zoomScaleNormal="100" zoomScaleSheetLayoutView="100" workbookViewId="0">
      <selection activeCell="C28" sqref="C28"/>
    </sheetView>
  </sheetViews>
  <sheetFormatPr baseColWidth="10" defaultColWidth="11.42578125" defaultRowHeight="16.5" x14ac:dyDescent="0.25"/>
  <cols>
    <col min="1" max="1" width="1.42578125" style="162" customWidth="1"/>
    <col min="2" max="2" width="32.28515625" style="162" customWidth="1"/>
    <col min="3" max="7" width="12.7109375" style="162" customWidth="1"/>
    <col min="8" max="8" width="63.85546875" style="162" customWidth="1"/>
    <col min="9" max="16384" width="11.42578125" style="162"/>
  </cols>
  <sheetData>
    <row r="1" spans="1:8" x14ac:dyDescent="0.25">
      <c r="A1" s="816" t="s">
        <v>76</v>
      </c>
      <c r="B1" s="816"/>
      <c r="C1" s="816"/>
      <c r="D1" s="816"/>
      <c r="E1" s="816"/>
      <c r="F1" s="816"/>
      <c r="G1" s="816"/>
    </row>
    <row r="2" spans="1:8" s="226" customFormat="1" ht="18" x14ac:dyDescent="0.25">
      <c r="A2" s="816" t="s">
        <v>22</v>
      </c>
      <c r="B2" s="816"/>
      <c r="C2" s="816"/>
      <c r="D2" s="816"/>
      <c r="E2" s="816"/>
      <c r="F2" s="816"/>
      <c r="G2" s="816"/>
      <c r="H2" s="567" t="s">
        <v>243</v>
      </c>
    </row>
    <row r="3" spans="1:8" s="226" customFormat="1" x14ac:dyDescent="0.25">
      <c r="A3" s="817" t="s">
        <v>642</v>
      </c>
      <c r="B3" s="817"/>
      <c r="C3" s="817"/>
      <c r="D3" s="817"/>
      <c r="E3" s="817"/>
      <c r="F3" s="817"/>
      <c r="G3" s="817"/>
    </row>
    <row r="4" spans="1:8" s="226" customFormat="1" x14ac:dyDescent="0.25">
      <c r="A4" s="817" t="s">
        <v>647</v>
      </c>
      <c r="B4" s="817"/>
      <c r="C4" s="817"/>
      <c r="D4" s="817"/>
      <c r="E4" s="817"/>
      <c r="F4" s="817"/>
      <c r="G4" s="817"/>
    </row>
    <row r="5" spans="1:8" s="228" customFormat="1" ht="17.25" thickBot="1" x14ac:dyDescent="0.3">
      <c r="A5" s="227"/>
      <c r="B5" s="227"/>
      <c r="C5" s="818" t="s">
        <v>78</v>
      </c>
      <c r="D5" s="818"/>
      <c r="E5" s="227"/>
      <c r="F5" s="74" t="s">
        <v>79</v>
      </c>
      <c r="G5" s="227" t="s">
        <v>644</v>
      </c>
    </row>
    <row r="6" spans="1:8" s="229" customFormat="1" ht="50.25" thickBot="1" x14ac:dyDescent="0.3">
      <c r="A6" s="814" t="s">
        <v>199</v>
      </c>
      <c r="B6" s="815"/>
      <c r="C6" s="235" t="s">
        <v>244</v>
      </c>
      <c r="D6" s="235" t="s">
        <v>245</v>
      </c>
      <c r="E6" s="235" t="s">
        <v>246</v>
      </c>
      <c r="F6" s="235" t="s">
        <v>247</v>
      </c>
      <c r="G6" s="236" t="s">
        <v>248</v>
      </c>
    </row>
    <row r="7" spans="1:8" ht="20.100000000000001" customHeight="1" x14ac:dyDescent="0.25">
      <c r="A7" s="230"/>
      <c r="B7" s="246"/>
      <c r="C7" s="237"/>
      <c r="D7" s="237"/>
      <c r="E7" s="237"/>
      <c r="F7" s="237"/>
      <c r="G7" s="238"/>
    </row>
    <row r="8" spans="1:8" ht="20.100000000000001" customHeight="1" x14ac:dyDescent="0.25">
      <c r="A8" s="231" t="s">
        <v>80</v>
      </c>
      <c r="B8" s="247"/>
      <c r="C8" s="239">
        <f>C10+C19</f>
        <v>31019870</v>
      </c>
      <c r="D8" s="239">
        <f t="shared" ref="D8:E8" si="0">D10+D19</f>
        <v>32596541</v>
      </c>
      <c r="E8" s="239">
        <f t="shared" si="0"/>
        <v>34024455</v>
      </c>
      <c r="F8" s="240">
        <f>C8+D8-E8</f>
        <v>29591956</v>
      </c>
      <c r="G8" s="241">
        <f>F8-C8</f>
        <v>-1427914</v>
      </c>
      <c r="H8" s="558" t="str">
        <f>IF(F8&lt;&gt;'ETCA-I-01'!B33,"ERROR!!!!! EL MONTO NO COINCIDE CON LO REPORTADO EN EL FORMATO ETCA-I-1 EN EL TOTAL ","")</f>
        <v/>
      </c>
    </row>
    <row r="9" spans="1:8" ht="20.100000000000001" customHeight="1" x14ac:dyDescent="0.25">
      <c r="A9" s="232"/>
      <c r="B9" s="248"/>
      <c r="C9" s="242"/>
      <c r="D9" s="242"/>
      <c r="E9" s="242"/>
      <c r="F9" s="242"/>
      <c r="G9" s="243"/>
    </row>
    <row r="10" spans="1:8" ht="20.100000000000001" customHeight="1" x14ac:dyDescent="0.25">
      <c r="A10" s="232"/>
      <c r="B10" s="248" t="s">
        <v>82</v>
      </c>
      <c r="C10" s="239">
        <f>SUM(C11:C17)</f>
        <v>7649976</v>
      </c>
      <c r="D10" s="239">
        <f t="shared" ref="D10:E10" si="1">SUM(D11:D17)</f>
        <v>32431214</v>
      </c>
      <c r="E10" s="239">
        <f t="shared" si="1"/>
        <v>33754081</v>
      </c>
      <c r="F10" s="240">
        <f>C10+D10-E10</f>
        <v>6327109</v>
      </c>
      <c r="G10" s="241">
        <f>F10-C10</f>
        <v>-1322867</v>
      </c>
      <c r="H10" s="558" t="str">
        <f>IF(F10&lt;&gt;'ETCA-I-01'!B18,"ERROR!!!!! EL MONTO NO COINCIDE CON LO REPORTADO EN EL FORMATO ETCA-I-1 EN EL TOTAL","")</f>
        <v/>
      </c>
    </row>
    <row r="11" spans="1:8" ht="20.100000000000001" customHeight="1" x14ac:dyDescent="0.25">
      <c r="A11" s="233"/>
      <c r="B11" s="249" t="s">
        <v>84</v>
      </c>
      <c r="C11" s="242">
        <v>7645216</v>
      </c>
      <c r="D11" s="242">
        <v>22951982</v>
      </c>
      <c r="E11" s="242">
        <v>24970611</v>
      </c>
      <c r="F11" s="251">
        <f>C11+D11-E11</f>
        <v>5626587</v>
      </c>
      <c r="G11" s="252">
        <f>F11-C11</f>
        <v>-2018629</v>
      </c>
    </row>
    <row r="12" spans="1:8" ht="20.100000000000001" customHeight="1" x14ac:dyDescent="0.25">
      <c r="A12" s="233"/>
      <c r="B12" s="249" t="s">
        <v>86</v>
      </c>
      <c r="C12" s="242">
        <v>4760</v>
      </c>
      <c r="D12" s="242">
        <v>9472272</v>
      </c>
      <c r="E12" s="242">
        <v>8776510</v>
      </c>
      <c r="F12" s="251">
        <f t="shared" ref="F12:F17" si="2">C12+D12-E12</f>
        <v>700522</v>
      </c>
      <c r="G12" s="252">
        <f t="shared" ref="G12:G17" si="3">F12-C12</f>
        <v>695762</v>
      </c>
    </row>
    <row r="13" spans="1:8" ht="20.100000000000001" customHeight="1" x14ac:dyDescent="0.25">
      <c r="A13" s="233"/>
      <c r="B13" s="249" t="s">
        <v>88</v>
      </c>
      <c r="C13" s="242"/>
      <c r="D13" s="242">
        <v>6960</v>
      </c>
      <c r="E13" s="242">
        <v>6960</v>
      </c>
      <c r="F13" s="251">
        <f t="shared" si="2"/>
        <v>0</v>
      </c>
      <c r="G13" s="252">
        <f t="shared" si="3"/>
        <v>0</v>
      </c>
    </row>
    <row r="14" spans="1:8" ht="20.100000000000001" customHeight="1" x14ac:dyDescent="0.25">
      <c r="A14" s="233"/>
      <c r="B14" s="249" t="s">
        <v>90</v>
      </c>
      <c r="C14" s="242"/>
      <c r="D14" s="242"/>
      <c r="E14" s="242"/>
      <c r="F14" s="251">
        <f t="shared" si="2"/>
        <v>0</v>
      </c>
      <c r="G14" s="252">
        <f t="shared" si="3"/>
        <v>0</v>
      </c>
    </row>
    <row r="15" spans="1:8" ht="20.100000000000001" customHeight="1" x14ac:dyDescent="0.25">
      <c r="A15" s="233"/>
      <c r="B15" s="249" t="s">
        <v>92</v>
      </c>
      <c r="C15" s="242"/>
      <c r="D15" s="242"/>
      <c r="E15" s="242"/>
      <c r="F15" s="251">
        <f t="shared" si="2"/>
        <v>0</v>
      </c>
      <c r="G15" s="252">
        <f t="shared" si="3"/>
        <v>0</v>
      </c>
    </row>
    <row r="16" spans="1:8" ht="25.5" x14ac:dyDescent="0.25">
      <c r="A16" s="233"/>
      <c r="B16" s="249" t="s">
        <v>94</v>
      </c>
      <c r="C16" s="242"/>
      <c r="D16" s="242"/>
      <c r="E16" s="242"/>
      <c r="F16" s="251">
        <f t="shared" si="2"/>
        <v>0</v>
      </c>
      <c r="G16" s="252">
        <f t="shared" si="3"/>
        <v>0</v>
      </c>
    </row>
    <row r="17" spans="1:8" ht="20.100000000000001" customHeight="1" x14ac:dyDescent="0.25">
      <c r="A17" s="233"/>
      <c r="B17" s="249" t="s">
        <v>96</v>
      </c>
      <c r="C17" s="242"/>
      <c r="D17" s="242"/>
      <c r="E17" s="242"/>
      <c r="F17" s="251">
        <f t="shared" si="2"/>
        <v>0</v>
      </c>
      <c r="G17" s="252">
        <f t="shared" si="3"/>
        <v>0</v>
      </c>
    </row>
    <row r="18" spans="1:8" ht="20.100000000000001" customHeight="1" x14ac:dyDescent="0.25">
      <c r="A18" s="232"/>
      <c r="B18" s="248"/>
      <c r="C18" s="242"/>
      <c r="D18" s="242"/>
      <c r="E18" s="242"/>
      <c r="F18" s="242"/>
      <c r="G18" s="243"/>
    </row>
    <row r="19" spans="1:8" ht="20.100000000000001" customHeight="1" x14ac:dyDescent="0.25">
      <c r="A19" s="232"/>
      <c r="B19" s="248" t="s">
        <v>101</v>
      </c>
      <c r="C19" s="239">
        <f>SUM(C20:C28)</f>
        <v>23369894</v>
      </c>
      <c r="D19" s="239">
        <f t="shared" ref="D19:E19" si="4">SUM(D20:D28)</f>
        <v>165327</v>
      </c>
      <c r="E19" s="239">
        <f t="shared" si="4"/>
        <v>270374</v>
      </c>
      <c r="F19" s="240">
        <f>C19+D19-E19</f>
        <v>23264847</v>
      </c>
      <c r="G19" s="241">
        <f>F19-C19</f>
        <v>-105047</v>
      </c>
      <c r="H19" s="558" t="str">
        <f>IF(F19&lt;&gt;'ETCA-I-01'!B31,"ERROR!!!!! EL MONTO NO COINCIDE CON LO REPORTADO EN EL FORMATO ETCA-I-1 EN EL TOTAL","")</f>
        <v/>
      </c>
    </row>
    <row r="20" spans="1:8" ht="20.100000000000001" customHeight="1" x14ac:dyDescent="0.25">
      <c r="A20" s="233"/>
      <c r="B20" s="249" t="s">
        <v>103</v>
      </c>
      <c r="C20" s="242"/>
      <c r="D20" s="242"/>
      <c r="E20" s="242"/>
      <c r="F20" s="251">
        <f>C20+D20-E20</f>
        <v>0</v>
      </c>
      <c r="G20" s="252">
        <f>F20-C20</f>
        <v>0</v>
      </c>
    </row>
    <row r="21" spans="1:8" ht="25.5" x14ac:dyDescent="0.25">
      <c r="A21" s="233"/>
      <c r="B21" s="249" t="s">
        <v>105</v>
      </c>
      <c r="C21" s="242"/>
      <c r="D21" s="242"/>
      <c r="E21" s="242"/>
      <c r="F21" s="251">
        <f t="shared" ref="F21:F26" si="5">C21+D21-E21</f>
        <v>0</v>
      </c>
      <c r="G21" s="252">
        <f t="shared" ref="G21:G26" si="6">F21-C21</f>
        <v>0</v>
      </c>
    </row>
    <row r="22" spans="1:8" ht="25.5" x14ac:dyDescent="0.25">
      <c r="A22" s="233"/>
      <c r="B22" s="249" t="s">
        <v>107</v>
      </c>
      <c r="C22" s="242">
        <v>21502500</v>
      </c>
      <c r="D22" s="242"/>
      <c r="E22" s="242"/>
      <c r="F22" s="251">
        <f t="shared" si="5"/>
        <v>21502500</v>
      </c>
      <c r="G22" s="252">
        <f t="shared" si="6"/>
        <v>0</v>
      </c>
    </row>
    <row r="23" spans="1:8" ht="20.100000000000001" customHeight="1" x14ac:dyDescent="0.25">
      <c r="A23" s="233"/>
      <c r="B23" s="249" t="s">
        <v>109</v>
      </c>
      <c r="C23" s="242">
        <v>2431792</v>
      </c>
      <c r="D23" s="242">
        <v>165327</v>
      </c>
      <c r="E23" s="242"/>
      <c r="F23" s="251">
        <f t="shared" si="5"/>
        <v>2597119</v>
      </c>
      <c r="G23" s="252">
        <f t="shared" si="6"/>
        <v>165327</v>
      </c>
    </row>
    <row r="24" spans="1:8" ht="20.100000000000001" customHeight="1" x14ac:dyDescent="0.25">
      <c r="A24" s="233"/>
      <c r="B24" s="249" t="s">
        <v>111</v>
      </c>
      <c r="C24" s="242"/>
      <c r="D24" s="242"/>
      <c r="E24" s="242">
        <v>1</v>
      </c>
      <c r="F24" s="251">
        <f t="shared" si="5"/>
        <v>-1</v>
      </c>
      <c r="G24" s="252">
        <f t="shared" si="6"/>
        <v>-1</v>
      </c>
    </row>
    <row r="25" spans="1:8" ht="25.5" x14ac:dyDescent="0.25">
      <c r="A25" s="233"/>
      <c r="B25" s="249" t="s">
        <v>113</v>
      </c>
      <c r="C25" s="242">
        <v>-564399</v>
      </c>
      <c r="D25" s="242"/>
      <c r="E25" s="242">
        <v>270373</v>
      </c>
      <c r="F25" s="251">
        <f t="shared" si="5"/>
        <v>-834772</v>
      </c>
      <c r="G25" s="252">
        <f t="shared" si="6"/>
        <v>-270373</v>
      </c>
    </row>
    <row r="26" spans="1:8" ht="20.100000000000001" customHeight="1" x14ac:dyDescent="0.25">
      <c r="A26" s="233"/>
      <c r="B26" s="249" t="s">
        <v>115</v>
      </c>
      <c r="C26" s="242"/>
      <c r="D26" s="242"/>
      <c r="E26" s="242"/>
      <c r="F26" s="251">
        <f t="shared" si="5"/>
        <v>0</v>
      </c>
      <c r="G26" s="252">
        <f t="shared" si="6"/>
        <v>0</v>
      </c>
    </row>
    <row r="27" spans="1:8" ht="25.5" x14ac:dyDescent="0.25">
      <c r="A27" s="233"/>
      <c r="B27" s="249" t="s">
        <v>116</v>
      </c>
      <c r="C27" s="242">
        <v>1</v>
      </c>
      <c r="D27" s="242"/>
      <c r="E27" s="242"/>
      <c r="F27" s="251">
        <f t="shared" ref="F27:F28" si="7">C27+D27-E27</f>
        <v>1</v>
      </c>
      <c r="G27" s="252">
        <f t="shared" ref="G27:G28" si="8">F27-C27</f>
        <v>0</v>
      </c>
    </row>
    <row r="28" spans="1:8" ht="20.100000000000001" customHeight="1" x14ac:dyDescent="0.25">
      <c r="A28" s="233"/>
      <c r="B28" s="249" t="s">
        <v>117</v>
      </c>
      <c r="C28" s="242"/>
      <c r="D28" s="242"/>
      <c r="E28" s="242"/>
      <c r="F28" s="251">
        <f t="shared" si="7"/>
        <v>0</v>
      </c>
      <c r="G28" s="252">
        <f t="shared" si="8"/>
        <v>0</v>
      </c>
    </row>
    <row r="29" spans="1:8" ht="20.100000000000001" customHeight="1" thickBot="1" x14ac:dyDescent="0.3">
      <c r="A29" s="234"/>
      <c r="B29" s="250"/>
      <c r="C29" s="244"/>
      <c r="D29" s="244"/>
      <c r="E29" s="244"/>
      <c r="F29" s="244"/>
      <c r="G29" s="245"/>
    </row>
    <row r="30" spans="1:8" ht="20.100000000000001" customHeight="1" x14ac:dyDescent="0.25">
      <c r="A30" s="331" t="s">
        <v>196</v>
      </c>
      <c r="B30" s="376"/>
      <c r="C30" s="670"/>
      <c r="D30" s="670"/>
      <c r="E30" s="670"/>
      <c r="F30" s="670"/>
      <c r="G30" s="670"/>
    </row>
    <row r="31" spans="1:8" ht="20.100000000000001" customHeight="1" x14ac:dyDescent="0.25">
      <c r="A31" s="659"/>
      <c r="B31" s="659"/>
      <c r="C31" s="670"/>
      <c r="D31" s="670"/>
      <c r="E31" s="670"/>
      <c r="F31" s="670"/>
      <c r="G31" s="670"/>
    </row>
    <row r="32" spans="1:8" ht="20.100000000000001" customHeight="1" x14ac:dyDescent="0.25">
      <c r="A32" s="659"/>
      <c r="B32" s="659" t="s">
        <v>144</v>
      </c>
      <c r="C32" s="670"/>
      <c r="D32" s="670" t="s">
        <v>144</v>
      </c>
      <c r="E32" s="670"/>
      <c r="F32" s="670"/>
      <c r="G32" s="670"/>
    </row>
    <row r="33" spans="1:7" ht="20.100000000000001" customHeight="1" x14ac:dyDescent="0.25">
      <c r="A33" s="659"/>
      <c r="B33" s="659"/>
      <c r="C33" s="670"/>
      <c r="D33" s="670"/>
      <c r="E33" s="670"/>
      <c r="F33" s="670"/>
      <c r="G33" s="670"/>
    </row>
    <row r="34" spans="1:7" x14ac:dyDescent="0.25">
      <c r="A34" s="376" t="s">
        <v>144</v>
      </c>
      <c r="B34" s="376"/>
      <c r="C34" s="376"/>
      <c r="D34" s="376"/>
      <c r="E34" s="376"/>
      <c r="F34" s="376"/>
      <c r="G34" s="376"/>
    </row>
  </sheetData>
  <sheetProtection algorithmName="SHA-512" hashValue="t+JvH0It5aXRt7zxhL/Ry9lGe7XMFcakjLJjFbp/d8fiVZRRy90m7DyFBcMmU6cUyEp0uRjvkw2cuacdaPYhrQ==" saltValue="YDnFSXJeV2mwXz20ar1Wag==" spinCount="100000" sheet="1" objects="1" scenarios="1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tabColor theme="7"/>
    <pageSetUpPr fitToPage="1"/>
  </sheetPr>
  <dimension ref="A1:G46"/>
  <sheetViews>
    <sheetView view="pageBreakPreview" topLeftCell="A25" zoomScaleNormal="100" zoomScaleSheetLayoutView="100" workbookViewId="0">
      <selection activeCell="F5" sqref="F5"/>
    </sheetView>
  </sheetViews>
  <sheetFormatPr baseColWidth="10" defaultColWidth="11.42578125" defaultRowHeight="16.5" x14ac:dyDescent="0.3"/>
  <cols>
    <col min="1" max="1" width="2.140625" style="132" customWidth="1"/>
    <col min="2" max="2" width="28.42578125" style="132" customWidth="1"/>
    <col min="3" max="6" width="16.7109375" style="132" customWidth="1"/>
    <col min="7" max="7" width="79" style="132" customWidth="1"/>
    <col min="8" max="16384" width="11.42578125" style="132"/>
  </cols>
  <sheetData>
    <row r="1" spans="1:7" s="162" customFormat="1" ht="18" x14ac:dyDescent="0.25">
      <c r="A1" s="816" t="s">
        <v>76</v>
      </c>
      <c r="B1" s="816"/>
      <c r="C1" s="816"/>
      <c r="D1" s="816"/>
      <c r="E1" s="816"/>
      <c r="F1" s="816"/>
      <c r="G1" s="566"/>
    </row>
    <row r="2" spans="1:7" s="226" customFormat="1" ht="15.75" x14ac:dyDescent="0.25">
      <c r="A2" s="816" t="s">
        <v>24</v>
      </c>
      <c r="B2" s="816"/>
      <c r="C2" s="816"/>
      <c r="D2" s="816"/>
      <c r="E2" s="816"/>
      <c r="F2" s="816"/>
    </row>
    <row r="3" spans="1:7" s="226" customFormat="1" x14ac:dyDescent="0.25">
      <c r="A3" s="817" t="s">
        <v>642</v>
      </c>
      <c r="B3" s="817"/>
      <c r="C3" s="817"/>
      <c r="D3" s="817"/>
      <c r="E3" s="817"/>
      <c r="F3" s="817"/>
    </row>
    <row r="4" spans="1:7" s="226" customFormat="1" x14ac:dyDescent="0.25">
      <c r="A4" s="817" t="s">
        <v>647</v>
      </c>
      <c r="B4" s="817"/>
      <c r="C4" s="817"/>
      <c r="D4" s="817"/>
      <c r="E4" s="817"/>
      <c r="F4" s="817"/>
    </row>
    <row r="5" spans="1:7" s="228" customFormat="1" ht="17.25" thickBot="1" x14ac:dyDescent="0.3">
      <c r="A5" s="227"/>
      <c r="B5" s="227"/>
      <c r="C5" s="818" t="s">
        <v>78</v>
      </c>
      <c r="D5" s="818"/>
      <c r="E5" s="74" t="s">
        <v>79</v>
      </c>
      <c r="F5" s="227" t="s">
        <v>644</v>
      </c>
    </row>
    <row r="6" spans="1:7" s="255" customFormat="1" ht="37.5" customHeight="1" thickBot="1" x14ac:dyDescent="0.35">
      <c r="A6" s="829" t="s">
        <v>249</v>
      </c>
      <c r="B6" s="830"/>
      <c r="C6" s="253" t="s">
        <v>250</v>
      </c>
      <c r="D6" s="253" t="s">
        <v>251</v>
      </c>
      <c r="E6" s="253" t="s">
        <v>252</v>
      </c>
      <c r="F6" s="254" t="s">
        <v>253</v>
      </c>
    </row>
    <row r="7" spans="1:7" x14ac:dyDescent="0.3">
      <c r="A7" s="821"/>
      <c r="B7" s="822"/>
      <c r="C7" s="256"/>
      <c r="D7" s="256"/>
      <c r="E7" s="257"/>
      <c r="F7" s="258"/>
    </row>
    <row r="8" spans="1:7" x14ac:dyDescent="0.3">
      <c r="A8" s="825" t="s">
        <v>254</v>
      </c>
      <c r="B8" s="826"/>
      <c r="C8" s="259"/>
      <c r="D8" s="259"/>
      <c r="E8" s="259"/>
      <c r="F8" s="260"/>
    </row>
    <row r="9" spans="1:7" x14ac:dyDescent="0.3">
      <c r="A9" s="827" t="s">
        <v>255</v>
      </c>
      <c r="B9" s="828"/>
      <c r="C9" s="259"/>
      <c r="D9" s="259"/>
      <c r="E9" s="259"/>
      <c r="F9" s="260"/>
    </row>
    <row r="10" spans="1:7" x14ac:dyDescent="0.3">
      <c r="A10" s="823" t="s">
        <v>256</v>
      </c>
      <c r="B10" s="824"/>
      <c r="C10" s="261"/>
      <c r="D10" s="261"/>
      <c r="E10" s="274">
        <f t="shared" ref="E10:F10" si="0">SUM(E11:E13)</f>
        <v>0</v>
      </c>
      <c r="F10" s="275">
        <f t="shared" si="0"/>
        <v>0</v>
      </c>
    </row>
    <row r="11" spans="1:7" x14ac:dyDescent="0.3">
      <c r="A11" s="718"/>
      <c r="B11" s="263" t="s">
        <v>257</v>
      </c>
      <c r="C11" s="261"/>
      <c r="D11" s="261"/>
      <c r="E11" s="261">
        <v>0</v>
      </c>
      <c r="F11" s="262">
        <v>0</v>
      </c>
    </row>
    <row r="12" spans="1:7" x14ac:dyDescent="0.3">
      <c r="A12" s="264"/>
      <c r="B12" s="263" t="s">
        <v>258</v>
      </c>
      <c r="C12" s="265"/>
      <c r="D12" s="265"/>
      <c r="E12" s="265"/>
      <c r="F12" s="266"/>
    </row>
    <row r="13" spans="1:7" x14ac:dyDescent="0.3">
      <c r="A13" s="264"/>
      <c r="B13" s="263" t="s">
        <v>259</v>
      </c>
      <c r="C13" s="265"/>
      <c r="D13" s="265"/>
      <c r="E13" s="265"/>
      <c r="F13" s="266"/>
    </row>
    <row r="14" spans="1:7" x14ac:dyDescent="0.3">
      <c r="A14" s="264"/>
      <c r="B14" s="267"/>
      <c r="C14" s="265"/>
      <c r="D14" s="265"/>
      <c r="E14" s="265"/>
      <c r="F14" s="266"/>
    </row>
    <row r="15" spans="1:7" x14ac:dyDescent="0.3">
      <c r="A15" s="823" t="s">
        <v>260</v>
      </c>
      <c r="B15" s="824"/>
      <c r="C15" s="261"/>
      <c r="D15" s="261"/>
      <c r="E15" s="274">
        <f t="shared" ref="E15:F15" si="1">SUM(E16:E19)</f>
        <v>0</v>
      </c>
      <c r="F15" s="275">
        <f t="shared" si="1"/>
        <v>0</v>
      </c>
    </row>
    <row r="16" spans="1:7" x14ac:dyDescent="0.3">
      <c r="A16" s="264"/>
      <c r="B16" s="263" t="s">
        <v>261</v>
      </c>
      <c r="C16" s="265"/>
      <c r="D16" s="265"/>
      <c r="E16" s="265"/>
      <c r="F16" s="266"/>
    </row>
    <row r="17" spans="1:7" x14ac:dyDescent="0.3">
      <c r="A17" s="718"/>
      <c r="B17" s="263" t="s">
        <v>262</v>
      </c>
      <c r="C17" s="265"/>
      <c r="D17" s="265"/>
      <c r="E17" s="265"/>
      <c r="F17" s="266"/>
    </row>
    <row r="18" spans="1:7" x14ac:dyDescent="0.3">
      <c r="A18" s="718"/>
      <c r="B18" s="263" t="s">
        <v>258</v>
      </c>
      <c r="C18" s="261"/>
      <c r="D18" s="261"/>
      <c r="E18" s="261"/>
      <c r="F18" s="262"/>
    </row>
    <row r="19" spans="1:7" x14ac:dyDescent="0.3">
      <c r="A19" s="264"/>
      <c r="B19" s="263" t="s">
        <v>259</v>
      </c>
      <c r="C19" s="265"/>
      <c r="D19" s="265"/>
      <c r="E19" s="265"/>
      <c r="F19" s="266"/>
    </row>
    <row r="20" spans="1:7" x14ac:dyDescent="0.3">
      <c r="A20" s="718"/>
      <c r="B20" s="719"/>
      <c r="C20" s="261"/>
      <c r="D20" s="261"/>
      <c r="E20" s="261"/>
      <c r="F20" s="262"/>
    </row>
    <row r="21" spans="1:7" x14ac:dyDescent="0.3">
      <c r="A21" s="268"/>
      <c r="B21" s="269" t="s">
        <v>263</v>
      </c>
      <c r="C21" s="259"/>
      <c r="D21" s="259"/>
      <c r="E21" s="276">
        <f>E10+E15</f>
        <v>0</v>
      </c>
      <c r="F21" s="277">
        <f>F10+F15</f>
        <v>0</v>
      </c>
      <c r="G21" s="444"/>
    </row>
    <row r="22" spans="1:7" x14ac:dyDescent="0.3">
      <c r="A22" s="268"/>
      <c r="B22" s="269"/>
      <c r="C22" s="270"/>
      <c r="D22" s="270"/>
      <c r="E22" s="270"/>
      <c r="F22" s="271"/>
    </row>
    <row r="23" spans="1:7" x14ac:dyDescent="0.3">
      <c r="A23" s="827" t="s">
        <v>264</v>
      </c>
      <c r="B23" s="828"/>
      <c r="C23" s="259"/>
      <c r="D23" s="259"/>
      <c r="E23" s="259"/>
      <c r="F23" s="260"/>
    </row>
    <row r="24" spans="1:7" x14ac:dyDescent="0.3">
      <c r="A24" s="823" t="s">
        <v>256</v>
      </c>
      <c r="B24" s="824"/>
      <c r="C24" s="261"/>
      <c r="D24" s="261"/>
      <c r="E24" s="274">
        <f t="shared" ref="E24" si="2">SUM(E25:E27)</f>
        <v>0</v>
      </c>
      <c r="F24" s="275">
        <f t="shared" ref="F24" si="3">SUM(F25:F27)</f>
        <v>0</v>
      </c>
    </row>
    <row r="25" spans="1:7" x14ac:dyDescent="0.3">
      <c r="A25" s="718"/>
      <c r="B25" s="263" t="s">
        <v>257</v>
      </c>
      <c r="C25" s="261"/>
      <c r="D25" s="261"/>
      <c r="E25" s="261"/>
      <c r="F25" s="262"/>
    </row>
    <row r="26" spans="1:7" x14ac:dyDescent="0.3">
      <c r="A26" s="264"/>
      <c r="B26" s="263" t="s">
        <v>258</v>
      </c>
      <c r="C26" s="265"/>
      <c r="D26" s="265"/>
      <c r="E26" s="265"/>
      <c r="F26" s="266"/>
    </row>
    <row r="27" spans="1:7" x14ac:dyDescent="0.3">
      <c r="A27" s="264"/>
      <c r="B27" s="263" t="s">
        <v>259</v>
      </c>
      <c r="C27" s="265"/>
      <c r="D27" s="265"/>
      <c r="E27" s="265"/>
      <c r="F27" s="266"/>
    </row>
    <row r="28" spans="1:7" x14ac:dyDescent="0.3">
      <c r="A28" s="264"/>
      <c r="B28" s="267"/>
      <c r="C28" s="265"/>
      <c r="D28" s="265"/>
      <c r="E28" s="265"/>
      <c r="F28" s="266"/>
    </row>
    <row r="29" spans="1:7" x14ac:dyDescent="0.3">
      <c r="A29" s="823" t="s">
        <v>260</v>
      </c>
      <c r="B29" s="824"/>
      <c r="C29" s="261"/>
      <c r="D29" s="261"/>
      <c r="E29" s="274">
        <f t="shared" ref="E29" si="4">SUM(E30:E33)</f>
        <v>0</v>
      </c>
      <c r="F29" s="275">
        <f t="shared" ref="F29" si="5">SUM(F30:F33)</f>
        <v>0</v>
      </c>
    </row>
    <row r="30" spans="1:7" x14ac:dyDescent="0.3">
      <c r="A30" s="264"/>
      <c r="B30" s="263" t="s">
        <v>261</v>
      </c>
      <c r="C30" s="265"/>
      <c r="D30" s="265"/>
      <c r="E30" s="265"/>
      <c r="F30" s="266"/>
    </row>
    <row r="31" spans="1:7" x14ac:dyDescent="0.3">
      <c r="A31" s="718"/>
      <c r="B31" s="263" t="s">
        <v>262</v>
      </c>
      <c r="C31" s="265"/>
      <c r="D31" s="265"/>
      <c r="E31" s="265"/>
      <c r="F31" s="266"/>
    </row>
    <row r="32" spans="1:7" x14ac:dyDescent="0.3">
      <c r="A32" s="718"/>
      <c r="B32" s="263" t="s">
        <v>258</v>
      </c>
      <c r="C32" s="261"/>
      <c r="D32" s="261"/>
      <c r="E32" s="261"/>
      <c r="F32" s="262"/>
    </row>
    <row r="33" spans="1:7" x14ac:dyDescent="0.3">
      <c r="A33" s="264"/>
      <c r="B33" s="263" t="s">
        <v>259</v>
      </c>
      <c r="C33" s="265"/>
      <c r="D33" s="265"/>
      <c r="E33" s="265"/>
      <c r="F33" s="266"/>
    </row>
    <row r="34" spans="1:7" x14ac:dyDescent="0.3">
      <c r="A34" s="718"/>
      <c r="B34" s="719"/>
      <c r="C34" s="261"/>
      <c r="D34" s="261"/>
      <c r="E34" s="261"/>
      <c r="F34" s="262"/>
    </row>
    <row r="35" spans="1:7" x14ac:dyDescent="0.3">
      <c r="A35" s="268"/>
      <c r="B35" s="269" t="s">
        <v>265</v>
      </c>
      <c r="C35" s="259"/>
      <c r="D35" s="259"/>
      <c r="E35" s="276">
        <f>E24+E29</f>
        <v>0</v>
      </c>
      <c r="F35" s="277">
        <f>F24+F29</f>
        <v>0</v>
      </c>
      <c r="G35" s="444"/>
    </row>
    <row r="36" spans="1:7" x14ac:dyDescent="0.3">
      <c r="A36" s="264"/>
      <c r="B36" s="267"/>
      <c r="C36" s="265"/>
      <c r="D36" s="265"/>
      <c r="E36" s="265"/>
      <c r="F36" s="266"/>
    </row>
    <row r="37" spans="1:7" x14ac:dyDescent="0.3">
      <c r="A37" s="264"/>
      <c r="B37" s="263" t="s">
        <v>266</v>
      </c>
      <c r="C37" s="265" t="s">
        <v>649</v>
      </c>
      <c r="D37" s="265" t="s">
        <v>650</v>
      </c>
      <c r="E37" s="265">
        <v>340213</v>
      </c>
      <c r="F37" s="266">
        <v>227873</v>
      </c>
    </row>
    <row r="38" spans="1:7" x14ac:dyDescent="0.3">
      <c r="A38" s="264"/>
      <c r="B38" s="267"/>
      <c r="C38" s="265"/>
      <c r="D38" s="265"/>
      <c r="E38" s="265"/>
      <c r="F38" s="266"/>
    </row>
    <row r="39" spans="1:7" x14ac:dyDescent="0.3">
      <c r="A39" s="718"/>
      <c r="B39" s="719" t="s">
        <v>267</v>
      </c>
      <c r="C39" s="259"/>
      <c r="D39" s="259"/>
      <c r="E39" s="276">
        <f t="shared" ref="E39:F39" si="6">E37+E35+E21</f>
        <v>340213</v>
      </c>
      <c r="F39" s="277">
        <f t="shared" si="6"/>
        <v>227873</v>
      </c>
      <c r="G39" s="444" t="str">
        <f>IF(F39-'ETCA-I-01'!E33&gt;0.9,"ERROR!!!!!, NO COINCIDE CON LO REPORTADO EN EL ETCA-I-01 EN EL MISMO RUBRO","")</f>
        <v/>
      </c>
    </row>
    <row r="40" spans="1:7" ht="5.25" customHeight="1" thickBot="1" x14ac:dyDescent="0.35">
      <c r="A40" s="819"/>
      <c r="B40" s="820"/>
      <c r="C40" s="272"/>
      <c r="D40" s="272"/>
      <c r="E40" s="272"/>
      <c r="F40" s="273"/>
    </row>
    <row r="41" spans="1:7" ht="11.1" customHeight="1" x14ac:dyDescent="0.3">
      <c r="A41" s="161" t="s">
        <v>196</v>
      </c>
      <c r="F41" s="650"/>
    </row>
    <row r="42" spans="1:7" ht="11.1" customHeight="1" x14ac:dyDescent="0.3">
      <c r="A42" s="650"/>
      <c r="B42" s="650"/>
      <c r="C42" s="650"/>
      <c r="D42" s="650"/>
      <c r="E42" s="650"/>
      <c r="F42" s="650"/>
    </row>
    <row r="43" spans="1:7" ht="11.1" customHeight="1" x14ac:dyDescent="0.3">
      <c r="A43" s="650"/>
      <c r="B43" s="650"/>
      <c r="C43" s="650"/>
      <c r="D43" s="650"/>
      <c r="E43" s="650"/>
      <c r="F43" s="650"/>
    </row>
    <row r="44" spans="1:7" ht="11.1" customHeight="1" x14ac:dyDescent="0.3">
      <c r="A44" s="650"/>
      <c r="B44" s="650" t="s">
        <v>144</v>
      </c>
      <c r="C44" s="650"/>
      <c r="D44" s="650"/>
      <c r="E44" s="650"/>
      <c r="F44" s="650"/>
    </row>
    <row r="45" spans="1:7" ht="11.1" customHeight="1" x14ac:dyDescent="0.3">
      <c r="A45" s="650"/>
      <c r="B45" s="650"/>
      <c r="C45" s="650"/>
      <c r="D45" s="650"/>
      <c r="E45" s="650"/>
      <c r="F45" s="650"/>
    </row>
    <row r="46" spans="1:7" x14ac:dyDescent="0.3">
      <c r="A46" s="647" t="s">
        <v>144</v>
      </c>
      <c r="B46" s="647"/>
      <c r="C46" s="647"/>
      <c r="D46" s="647"/>
      <c r="E46" s="647"/>
      <c r="F46" s="647"/>
    </row>
  </sheetData>
  <sheetProtection algorithmName="SHA-512" hashValue="07vwIH5h0obmfqQYvvLi+HkDFU5i11yLPgISOp1CqTKLPVp/RH9ej/7lh6IWSnXXOEZ4yxO/v6TNlDuu+XdlFg==" saltValue="zZP3EI0n194/Eah8Z/hCag==" spinCount="100000" sheet="1" objects="1" scenarios="1" insertHyperlinks="0"/>
  <mergeCells count="15">
    <mergeCell ref="A6:B6"/>
    <mergeCell ref="A1:F1"/>
    <mergeCell ref="A3:F3"/>
    <mergeCell ref="A2:F2"/>
    <mergeCell ref="A4:F4"/>
    <mergeCell ref="C5:D5"/>
    <mergeCell ref="A40:B40"/>
    <mergeCell ref="A7:B7"/>
    <mergeCell ref="A15:B15"/>
    <mergeCell ref="A10:B10"/>
    <mergeCell ref="A8:B8"/>
    <mergeCell ref="A9:B9"/>
    <mergeCell ref="A23:B23"/>
    <mergeCell ref="A29:B29"/>
    <mergeCell ref="A24:B24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7"/>
  </sheetPr>
  <dimension ref="A1:I45"/>
  <sheetViews>
    <sheetView view="pageBreakPreview" topLeftCell="A13" zoomScale="90" zoomScaleNormal="100" zoomScaleSheetLayoutView="90" workbookViewId="0">
      <selection activeCell="I9" sqref="I9"/>
    </sheetView>
  </sheetViews>
  <sheetFormatPr baseColWidth="10" defaultColWidth="11.42578125" defaultRowHeight="16.5" x14ac:dyDescent="0.3"/>
  <cols>
    <col min="1" max="1" width="18.85546875" style="3" customWidth="1"/>
    <col min="2" max="7" width="11.42578125" style="3"/>
    <col min="8" max="8" width="12.140625" style="3" customWidth="1"/>
    <col min="9" max="9" width="14.28515625" style="3" customWidth="1"/>
    <col min="10" max="16384" width="11.42578125" style="3"/>
  </cols>
  <sheetData>
    <row r="1" spans="1:9" x14ac:dyDescent="0.3">
      <c r="A1" s="840" t="s">
        <v>76</v>
      </c>
      <c r="B1" s="840"/>
      <c r="C1" s="840"/>
      <c r="D1" s="840"/>
      <c r="E1" s="840"/>
      <c r="F1" s="840"/>
      <c r="G1" s="840"/>
      <c r="H1" s="840"/>
      <c r="I1" s="840"/>
    </row>
    <row r="2" spans="1:9" x14ac:dyDescent="0.3">
      <c r="A2" s="842" t="s">
        <v>26</v>
      </c>
      <c r="B2" s="842"/>
      <c r="C2" s="842"/>
      <c r="D2" s="842"/>
      <c r="E2" s="842"/>
      <c r="F2" s="842"/>
      <c r="G2" s="842"/>
      <c r="H2" s="842"/>
      <c r="I2" s="842"/>
    </row>
    <row r="3" spans="1:9" x14ac:dyDescent="0.3">
      <c r="A3" s="841" t="s">
        <v>642</v>
      </c>
      <c r="B3" s="841"/>
      <c r="C3" s="841"/>
      <c r="D3" s="841"/>
      <c r="E3" s="841"/>
      <c r="F3" s="841"/>
      <c r="G3" s="841"/>
      <c r="H3" s="841"/>
      <c r="I3" s="841"/>
    </row>
    <row r="4" spans="1:9" x14ac:dyDescent="0.3">
      <c r="A4" s="841" t="s">
        <v>651</v>
      </c>
      <c r="B4" s="841"/>
      <c r="C4" s="841"/>
      <c r="D4" s="841"/>
      <c r="E4" s="841"/>
      <c r="F4" s="841"/>
      <c r="G4" s="841"/>
      <c r="H4" s="841"/>
      <c r="I4" s="841"/>
    </row>
    <row r="5" spans="1:9" ht="18" customHeight="1" thickBot="1" x14ac:dyDescent="0.35">
      <c r="A5" s="5"/>
      <c r="B5" s="843" t="s">
        <v>268</v>
      </c>
      <c r="C5" s="843"/>
      <c r="D5" s="843"/>
      <c r="E5" s="843"/>
      <c r="F5" s="843"/>
      <c r="G5" s="843"/>
      <c r="H5" s="418" t="s">
        <v>653</v>
      </c>
      <c r="I5" s="5"/>
    </row>
    <row r="6" spans="1:9" x14ac:dyDescent="0.3">
      <c r="A6" s="8"/>
      <c r="B6" s="9"/>
      <c r="C6" s="9"/>
      <c r="D6" s="9"/>
      <c r="E6" s="9"/>
      <c r="F6" s="9"/>
      <c r="G6" s="9"/>
      <c r="H6" s="9"/>
      <c r="I6" s="10"/>
    </row>
    <row r="7" spans="1:9" x14ac:dyDescent="0.3">
      <c r="A7" s="11"/>
      <c r="B7" s="12"/>
      <c r="C7" s="12"/>
      <c r="D7" s="12"/>
      <c r="E7" s="12"/>
      <c r="F7" s="12"/>
      <c r="G7" s="12"/>
      <c r="H7" s="12"/>
      <c r="I7" s="13"/>
    </row>
    <row r="8" spans="1:9" x14ac:dyDescent="0.3">
      <c r="A8" s="14" t="s">
        <v>269</v>
      </c>
      <c r="B8" s="12"/>
      <c r="C8" s="12"/>
      <c r="D8" s="12"/>
      <c r="E8" s="12"/>
      <c r="F8" s="12"/>
      <c r="G8" s="12"/>
      <c r="H8" s="12"/>
      <c r="I8" s="13"/>
    </row>
    <row r="9" spans="1:9" x14ac:dyDescent="0.3">
      <c r="A9" s="14"/>
      <c r="B9" s="12"/>
      <c r="C9" s="12"/>
      <c r="D9" s="12"/>
      <c r="E9" s="12"/>
      <c r="F9" s="12"/>
      <c r="G9" s="12"/>
      <c r="H9" s="12"/>
      <c r="I9" s="13"/>
    </row>
    <row r="10" spans="1:9" x14ac:dyDescent="0.3">
      <c r="A10" s="14"/>
      <c r="B10" s="12"/>
      <c r="C10" s="12"/>
      <c r="D10" s="12"/>
      <c r="E10" s="12"/>
      <c r="F10" s="12"/>
      <c r="G10" s="12"/>
      <c r="H10" s="12"/>
      <c r="I10" s="13"/>
    </row>
    <row r="11" spans="1:9" ht="20.25" x14ac:dyDescent="0.3">
      <c r="A11" s="14"/>
      <c r="B11" s="12"/>
      <c r="C11" s="734" t="s">
        <v>652</v>
      </c>
      <c r="D11" s="734"/>
      <c r="E11" s="734"/>
      <c r="F11" s="734"/>
      <c r="G11" s="12"/>
      <c r="H11" s="12"/>
      <c r="I11" s="13"/>
    </row>
    <row r="12" spans="1:9" x14ac:dyDescent="0.3">
      <c r="A12" s="14"/>
      <c r="B12" s="12"/>
      <c r="C12" s="12"/>
      <c r="D12" s="12"/>
      <c r="E12" s="12"/>
      <c r="F12" s="12"/>
      <c r="G12" s="12"/>
      <c r="H12" s="12"/>
      <c r="I12" s="13"/>
    </row>
    <row r="13" spans="1:9" ht="15.75" customHeight="1" x14ac:dyDescent="0.3">
      <c r="A13" s="11"/>
      <c r="B13" s="12"/>
      <c r="C13" s="15"/>
      <c r="D13" s="15"/>
      <c r="E13" s="15"/>
      <c r="F13" s="15"/>
      <c r="G13" s="15"/>
      <c r="H13" s="15"/>
      <c r="I13" s="13"/>
    </row>
    <row r="14" spans="1:9" ht="15" customHeight="1" thickBot="1" x14ac:dyDescent="0.35">
      <c r="A14" s="16"/>
      <c r="B14" s="1"/>
      <c r="C14" s="17"/>
      <c r="D14" s="17"/>
      <c r="E14" s="17"/>
      <c r="F14" s="17"/>
      <c r="G14" s="17"/>
      <c r="H14" s="17"/>
      <c r="I14" s="2"/>
    </row>
    <row r="15" spans="1:9" ht="15" customHeight="1" thickBot="1" x14ac:dyDescent="0.35">
      <c r="A15" s="11"/>
      <c r="B15" s="12"/>
      <c r="C15" s="15"/>
      <c r="D15" s="15"/>
      <c r="E15" s="15"/>
      <c r="F15" s="15"/>
      <c r="G15" s="15"/>
      <c r="H15" s="15"/>
      <c r="I15" s="13"/>
    </row>
    <row r="16" spans="1:9" ht="15" customHeight="1" x14ac:dyDescent="0.3">
      <c r="A16" s="11"/>
      <c r="B16" s="12"/>
      <c r="C16" s="831" t="s">
        <v>270</v>
      </c>
      <c r="D16" s="832"/>
      <c r="E16" s="832"/>
      <c r="F16" s="832"/>
      <c r="G16" s="832"/>
      <c r="H16" s="833"/>
      <c r="I16" s="13"/>
    </row>
    <row r="17" spans="1:9" ht="15" customHeight="1" x14ac:dyDescent="0.3">
      <c r="A17" s="11"/>
      <c r="B17" s="12"/>
      <c r="C17" s="834"/>
      <c r="D17" s="835"/>
      <c r="E17" s="835"/>
      <c r="F17" s="835"/>
      <c r="G17" s="835"/>
      <c r="H17" s="836"/>
      <c r="I17" s="13"/>
    </row>
    <row r="18" spans="1:9" ht="15" customHeight="1" x14ac:dyDescent="0.3">
      <c r="A18" s="11"/>
      <c r="B18" s="12"/>
      <c r="C18" s="834"/>
      <c r="D18" s="835"/>
      <c r="E18" s="835"/>
      <c r="F18" s="835"/>
      <c r="G18" s="835"/>
      <c r="H18" s="836"/>
      <c r="I18" s="13"/>
    </row>
    <row r="19" spans="1:9" ht="15" customHeight="1" x14ac:dyDescent="0.3">
      <c r="A19" s="14" t="s">
        <v>271</v>
      </c>
      <c r="B19" s="12"/>
      <c r="C19" s="834"/>
      <c r="D19" s="835"/>
      <c r="E19" s="835"/>
      <c r="F19" s="835"/>
      <c r="G19" s="835"/>
      <c r="H19" s="836"/>
      <c r="I19" s="13"/>
    </row>
    <row r="20" spans="1:9" ht="15" customHeight="1" x14ac:dyDescent="0.3">
      <c r="A20" s="11"/>
      <c r="B20" s="12"/>
      <c r="C20" s="834"/>
      <c r="D20" s="835"/>
      <c r="E20" s="835"/>
      <c r="F20" s="835"/>
      <c r="G20" s="835"/>
      <c r="H20" s="836"/>
      <c r="I20" s="13"/>
    </row>
    <row r="21" spans="1:9" ht="15" customHeight="1" x14ac:dyDescent="0.3">
      <c r="A21" s="11"/>
      <c r="B21" s="12"/>
      <c r="C21" s="834"/>
      <c r="D21" s="835"/>
      <c r="E21" s="835"/>
      <c r="F21" s="835"/>
      <c r="G21" s="835"/>
      <c r="H21" s="836"/>
      <c r="I21" s="13"/>
    </row>
    <row r="22" spans="1:9" ht="15" customHeight="1" x14ac:dyDescent="0.3">
      <c r="A22" s="11"/>
      <c r="B22" s="12"/>
      <c r="C22" s="834"/>
      <c r="D22" s="835"/>
      <c r="E22" s="835"/>
      <c r="F22" s="835"/>
      <c r="G22" s="835"/>
      <c r="H22" s="836"/>
      <c r="I22" s="13"/>
    </row>
    <row r="23" spans="1:9" ht="15" customHeight="1" x14ac:dyDescent="0.3">
      <c r="A23" s="11"/>
      <c r="B23" s="12"/>
      <c r="C23" s="834"/>
      <c r="D23" s="835"/>
      <c r="E23" s="835"/>
      <c r="F23" s="835"/>
      <c r="G23" s="835"/>
      <c r="H23" s="836"/>
      <c r="I23" s="13"/>
    </row>
    <row r="24" spans="1:9" ht="15" customHeight="1" x14ac:dyDescent="0.3">
      <c r="A24" s="11"/>
      <c r="B24" s="12"/>
      <c r="C24" s="834"/>
      <c r="D24" s="835"/>
      <c r="E24" s="835"/>
      <c r="F24" s="835"/>
      <c r="G24" s="835"/>
      <c r="H24" s="836"/>
      <c r="I24" s="13"/>
    </row>
    <row r="25" spans="1:9" ht="15" customHeight="1" x14ac:dyDescent="0.3">
      <c r="A25" s="11"/>
      <c r="B25" s="12"/>
      <c r="C25" s="834"/>
      <c r="D25" s="835"/>
      <c r="E25" s="835"/>
      <c r="F25" s="835"/>
      <c r="G25" s="835"/>
      <c r="H25" s="836"/>
      <c r="I25" s="13"/>
    </row>
    <row r="26" spans="1:9" ht="15" customHeight="1" x14ac:dyDescent="0.3">
      <c r="A26" s="11"/>
      <c r="B26" s="12"/>
      <c r="C26" s="834"/>
      <c r="D26" s="835"/>
      <c r="E26" s="835"/>
      <c r="F26" s="835"/>
      <c r="G26" s="835"/>
      <c r="H26" s="836"/>
      <c r="I26" s="13"/>
    </row>
    <row r="27" spans="1:9" ht="14.25" customHeight="1" x14ac:dyDescent="0.3">
      <c r="A27" s="11"/>
      <c r="B27" s="12"/>
      <c r="C27" s="834"/>
      <c r="D27" s="835"/>
      <c r="E27" s="835"/>
      <c r="F27" s="835"/>
      <c r="G27" s="835"/>
      <c r="H27" s="836"/>
      <c r="I27" s="13"/>
    </row>
    <row r="28" spans="1:9" ht="15.75" customHeight="1" x14ac:dyDescent="0.3">
      <c r="A28" s="11"/>
      <c r="B28" s="12"/>
      <c r="C28" s="834"/>
      <c r="D28" s="835"/>
      <c r="E28" s="835"/>
      <c r="F28" s="835"/>
      <c r="G28" s="835"/>
      <c r="H28" s="836"/>
      <c r="I28" s="13"/>
    </row>
    <row r="29" spans="1:9" x14ac:dyDescent="0.3">
      <c r="A29" s="11"/>
      <c r="B29" s="12"/>
      <c r="C29" s="834"/>
      <c r="D29" s="835"/>
      <c r="E29" s="835"/>
      <c r="F29" s="835"/>
      <c r="G29" s="835"/>
      <c r="H29" s="836"/>
      <c r="I29" s="13"/>
    </row>
    <row r="30" spans="1:9" ht="17.25" thickBot="1" x14ac:dyDescent="0.35">
      <c r="A30" s="11"/>
      <c r="B30" s="12"/>
      <c r="C30" s="837"/>
      <c r="D30" s="838"/>
      <c r="E30" s="838"/>
      <c r="F30" s="838"/>
      <c r="G30" s="838"/>
      <c r="H30" s="839"/>
      <c r="I30" s="13"/>
    </row>
    <row r="31" spans="1:9" ht="17.25" thickBot="1" x14ac:dyDescent="0.35">
      <c r="A31" s="16"/>
      <c r="B31" s="1"/>
      <c r="C31" s="1"/>
      <c r="D31" s="1"/>
      <c r="E31" s="1"/>
      <c r="F31" s="1"/>
      <c r="G31" s="1"/>
      <c r="H31" s="1"/>
      <c r="I31" s="2"/>
    </row>
    <row r="32" spans="1:9" x14ac:dyDescent="0.3">
      <c r="A32" s="11"/>
      <c r="B32" s="12"/>
      <c r="C32" s="12"/>
      <c r="D32" s="12"/>
      <c r="E32" s="12"/>
      <c r="F32" s="12"/>
      <c r="G32" s="12"/>
      <c r="H32" s="12"/>
      <c r="I32" s="13"/>
    </row>
    <row r="33" spans="1:9" x14ac:dyDescent="0.3">
      <c r="A33" s="14" t="s">
        <v>272</v>
      </c>
      <c r="B33" s="12"/>
      <c r="C33" s="12"/>
      <c r="D33" s="12"/>
      <c r="E33" s="12"/>
      <c r="F33" s="12"/>
      <c r="G33" s="12"/>
      <c r="H33" s="12"/>
      <c r="I33" s="13"/>
    </row>
    <row r="34" spans="1:9" x14ac:dyDescent="0.3">
      <c r="A34" s="11"/>
      <c r="B34" s="12"/>
      <c r="C34" s="12"/>
      <c r="D34" s="12"/>
      <c r="E34" s="12"/>
      <c r="F34" s="12"/>
      <c r="G34" s="12"/>
      <c r="H34" s="12"/>
      <c r="I34" s="13"/>
    </row>
    <row r="35" spans="1:9" x14ac:dyDescent="0.3">
      <c r="A35" s="11"/>
      <c r="B35" s="12"/>
      <c r="C35" s="12"/>
      <c r="D35" s="12"/>
      <c r="E35" s="12"/>
      <c r="F35" s="12"/>
      <c r="G35" s="12"/>
      <c r="H35" s="12"/>
      <c r="I35" s="13"/>
    </row>
    <row r="36" spans="1:9" x14ac:dyDescent="0.3">
      <c r="A36" s="11"/>
      <c r="B36" s="12"/>
      <c r="C36" s="12"/>
      <c r="D36" s="12"/>
      <c r="E36" s="12"/>
      <c r="F36" s="12"/>
      <c r="G36" s="12"/>
      <c r="H36" s="12"/>
      <c r="I36" s="13"/>
    </row>
    <row r="37" spans="1:9" x14ac:dyDescent="0.3">
      <c r="A37" s="11"/>
      <c r="B37" s="12"/>
      <c r="C37" s="12"/>
      <c r="D37" s="12"/>
      <c r="E37" s="12"/>
      <c r="F37" s="12"/>
      <c r="G37" s="12"/>
      <c r="H37" s="12"/>
      <c r="I37" s="13"/>
    </row>
    <row r="38" spans="1:9" x14ac:dyDescent="0.3">
      <c r="A38" s="11"/>
      <c r="B38" s="12"/>
      <c r="C38" s="12"/>
      <c r="D38" s="12"/>
      <c r="E38" s="12"/>
      <c r="F38" s="12"/>
      <c r="G38" s="12"/>
      <c r="H38" s="12"/>
      <c r="I38" s="13"/>
    </row>
    <row r="39" spans="1:9" x14ac:dyDescent="0.3">
      <c r="A39" s="11"/>
      <c r="B39" s="12"/>
      <c r="C39" s="12"/>
      <c r="D39" s="12"/>
      <c r="E39" s="12"/>
      <c r="F39" s="12"/>
      <c r="G39" s="12"/>
      <c r="H39" s="12"/>
      <c r="I39" s="13"/>
    </row>
    <row r="40" spans="1:9" x14ac:dyDescent="0.3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7.25" thickBot="1" x14ac:dyDescent="0.35">
      <c r="A41" s="16"/>
      <c r="B41" s="1"/>
      <c r="C41" s="1"/>
      <c r="D41" s="1"/>
      <c r="E41" s="1"/>
      <c r="F41" s="1"/>
      <c r="G41" s="1"/>
      <c r="H41" s="1"/>
      <c r="I41" s="2"/>
    </row>
    <row r="42" spans="1:9" x14ac:dyDescent="0.3">
      <c r="A42" s="3" t="s">
        <v>196</v>
      </c>
    </row>
    <row r="43" spans="1:9" x14ac:dyDescent="0.3">
      <c r="A43" s="12"/>
      <c r="B43" s="12"/>
      <c r="C43" s="12"/>
      <c r="D43" s="12"/>
      <c r="E43" s="12"/>
      <c r="F43" s="12"/>
      <c r="G43" s="12"/>
      <c r="H43" s="12"/>
      <c r="I43" s="12"/>
    </row>
    <row r="44" spans="1:9" x14ac:dyDescent="0.3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3">
      <c r="A45" s="12"/>
      <c r="B45" s="12"/>
      <c r="C45" s="12"/>
      <c r="D45" s="12"/>
      <c r="E45" s="12"/>
      <c r="F45" s="12"/>
      <c r="G45" s="12"/>
      <c r="H45" s="12"/>
      <c r="I45" s="12"/>
    </row>
  </sheetData>
  <mergeCells count="6">
    <mergeCell ref="C16:H30"/>
    <mergeCell ref="A1:I1"/>
    <mergeCell ref="A3:I3"/>
    <mergeCell ref="A2:I2"/>
    <mergeCell ref="A4:I4"/>
    <mergeCell ref="B5:G5"/>
  </mergeCells>
  <pageMargins left="0.42" right="0.32" top="0.54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Lista  FORMATOS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 Notas </vt:lpstr>
      <vt:lpstr>ETCA-II-10 </vt:lpstr>
      <vt:lpstr>ETCA-II-10-A</vt:lpstr>
      <vt:lpstr>ETCA-II-11 </vt:lpstr>
      <vt:lpstr>ETCA-II-11-A </vt:lpstr>
      <vt:lpstr>ETCA-II-11-B1</vt:lpstr>
      <vt:lpstr>ETCA-II-11-B2</vt:lpstr>
      <vt:lpstr>ETCA-11-B3</vt:lpstr>
      <vt:lpstr>ETCA-II-11-C</vt:lpstr>
      <vt:lpstr>ETCA-II-11-D</vt:lpstr>
      <vt:lpstr>ETCA-II-11-E </vt:lpstr>
      <vt:lpstr>ETCA-II-12</vt:lpstr>
      <vt:lpstr>ETCA-II-13</vt:lpstr>
      <vt:lpstr>ETCA-III-14</vt:lpstr>
      <vt:lpstr>ETCA-III-15 (2)</vt:lpstr>
      <vt:lpstr>ETCA-III-15</vt:lpstr>
      <vt:lpstr>ETCA-III-15-A</vt:lpstr>
      <vt:lpstr>ETCA-III-16</vt:lpstr>
      <vt:lpstr>ETCA-IV-17</vt:lpstr>
      <vt:lpstr>ETCA-IV-18</vt:lpstr>
      <vt:lpstr>ETCA-IV-19</vt:lpstr>
      <vt:lpstr>ETCA-IV-20</vt:lpstr>
      <vt:lpstr>ANEXO</vt:lpstr>
      <vt:lpstr>'ETCA-11-B3'!Área_de_impresión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'ETCA-I-05'!Área_de_impresión</vt:lpstr>
      <vt:lpstr>'ETCA-I-06'!Área_de_impresión</vt:lpstr>
      <vt:lpstr>'ETCA-I-07'!Área_de_impresión</vt:lpstr>
      <vt:lpstr>'ETCA-I-08'!Área_de_impresión</vt:lpstr>
      <vt:lpstr>'ETCA-II-10 '!Área_de_impresión</vt:lpstr>
      <vt:lpstr>'ETCA-II-10-A'!Área_de_impresión</vt:lpstr>
      <vt:lpstr>'ETCA-II-11 '!Área_de_impresión</vt:lpstr>
      <vt:lpstr>'ETCA-II-11-A '!Área_de_impresión</vt:lpstr>
      <vt:lpstr>'ETCA-II-11-B1'!Área_de_impresión</vt:lpstr>
      <vt:lpstr>'ETCA-II-11-B2'!Área_de_impresión</vt:lpstr>
      <vt:lpstr>'ETCA-II-11-C'!Área_de_impresión</vt:lpstr>
      <vt:lpstr>'ETCA-II-11-D'!Área_de_impresión</vt:lpstr>
      <vt:lpstr>'ETCA-II-11-E '!Área_de_impresión</vt:lpstr>
      <vt:lpstr>'ETCA-II-12'!Área_de_impresión</vt:lpstr>
      <vt:lpstr>'ETCA-II-13'!Área_de_impresión</vt:lpstr>
      <vt:lpstr>'ETCA-III-14'!Área_de_impresión</vt:lpstr>
      <vt:lpstr>'ETCA-III-16'!Área_de_impresión</vt:lpstr>
      <vt:lpstr>'ETCA-IV-17'!Área_de_impresión</vt:lpstr>
      <vt:lpstr>'ETCA-IV-18'!Área_de_impresión</vt:lpstr>
      <vt:lpstr>'ETCA-IV-19'!Área_de_impresión</vt:lpstr>
      <vt:lpstr>'ETCA-IV-20'!Área_de_impresión</vt:lpstr>
      <vt:lpstr>'ETCA-I-02'!Títulos_a_imprimir</vt:lpstr>
      <vt:lpstr>'ETCA-I-04'!Títulos_a_imprimir</vt:lpstr>
      <vt:lpstr>'ETCA-II-10 '!Títulos_a_imprimir</vt:lpstr>
      <vt:lpstr>'ETCA-II-11 '!Títulos_a_imprimir</vt:lpstr>
      <vt:lpstr>'ETCA-III-15-A'!Títulos_a_imprimir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Maestros</cp:lastModifiedBy>
  <cp:revision/>
  <cp:lastPrinted>2016-07-15T16:29:58Z</cp:lastPrinted>
  <dcterms:created xsi:type="dcterms:W3CDTF">2014-03-28T01:13:38Z</dcterms:created>
  <dcterms:modified xsi:type="dcterms:W3CDTF">2016-07-15T16:49:23Z</dcterms:modified>
</cp:coreProperties>
</file>