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RP AGO 2014" sheetId="1" r:id="rId1"/>
  </sheets>
  <definedNames>
    <definedName name="_xlnm.Print_Titles" localSheetId="0">'RP AGO 2014'!$22:$25</definedName>
  </definedNames>
  <calcPr fullCalcOnLoad="1"/>
</workbook>
</file>

<file path=xl/sharedStrings.xml><?xml version="1.0" encoding="utf-8"?>
<sst xmlns="http://schemas.openxmlformats.org/spreadsheetml/2006/main" count="110" uniqueCount="90">
  <si>
    <t>DESCRIPCION</t>
  </si>
  <si>
    <t>UNIDAD DE MEDIDA</t>
  </si>
  <si>
    <t>ORIGINAL ANUAL</t>
  </si>
  <si>
    <t>META</t>
  </si>
  <si>
    <t>MODIFICADO ANUAL</t>
  </si>
  <si>
    <t>CELEBRAR CONVENIOS CON FONDOS CONCURRENTES, INSTITUCIONES MUNICIPALES Y ASOCIACIONES CIVILES.</t>
  </si>
  <si>
    <t>CONVENIO</t>
  </si>
  <si>
    <t>APOYO</t>
  </si>
  <si>
    <t>PARTICIPAR EN REUNIONES CON EL FIN DE FORTALECER LAS ACCIONES REALIZADAS ATRAVÉS DE LOS FONDOS CONCURRENTES, REUNIONES DE DESARROLLO CULTURAL Y CON EL CONSEJO DIRECTIVO DEL INSTITUTO.</t>
  </si>
  <si>
    <t>REUNION</t>
  </si>
  <si>
    <t>PRODUCIR CÁPSULAS EN VIDEOS DE LA INFRAESTRUCTURA CULTURA Y SPOTS INFORMATIVOS SOBRE ARTE Y CULTURA PARA RADIO Y TELEVISIÓN.</t>
  </si>
  <si>
    <t>ANUNCIO</t>
  </si>
  <si>
    <t>ORGANIZAR RUEDAS DE PRENSA CON LOS DIFERENTES MEDIOS DE COMUNICACIÓN.</t>
  </si>
  <si>
    <t>REUNIÓN</t>
  </si>
  <si>
    <t>ELABORAR, BOLETINES, SÍNTESIS DE PRENSA, MAILING Y  NOTAS INFORMATIVAS.</t>
  </si>
  <si>
    <t>DOCUMENTO</t>
  </si>
  <si>
    <t>DISEÑAR  VOLANTES, BOLETOS, CARTELES, INVITACIONES, CARTELERA CULTURAL,  PRISMAS, PORTADAS DE LIBRO, CARPETAS DE TRABAJO  Y PRESENTACIONES EN POWER POINT.</t>
  </si>
  <si>
    <t>COORDINACIÓN GENERAL DE RED CULTURAL</t>
  </si>
  <si>
    <t>EVENTO</t>
  </si>
  <si>
    <t>ORGANIZAR Y COORDINAR EL FESTIVAL DR. ALFONSO ORTIZ TIRADO (ÁLAMOS),FESTIVAL UN DESIERTO PARA LA DANZA (HERMOSILLO),  FESTIVAL EUSEBIO KINO (MAGDALENA) Y FESTIVAL LUNA DE MONTAÑA ( HUACHINERA).</t>
  </si>
  <si>
    <t>ORGANIZAR CONCURSOS EN  ARTES ESCÉNICAS.</t>
  </si>
  <si>
    <t xml:space="preserve">APOYO LOGISTICO, TÉCNICO Y MONTAJE DE EVENTOS ARTÍSTICO CULTURALES. </t>
  </si>
  <si>
    <t>COORDINACIÓN GENERAL DE BIBLIOTECAS Y PATRIMONIO CULTURAL</t>
  </si>
  <si>
    <t>ORGANIZAR CONCURSOS EN  LITERATURA Y BIBLIOTECAS.</t>
  </si>
  <si>
    <t>ORGANIZAR Y COORDINAR LA FERIA DEL LIBRO (HERMOSILLO).</t>
  </si>
  <si>
    <t>REALIZAR ACTIVIDADES ARTÍSTICO-CULTURALES A TRAVÉS DE LA COORDINACIÓN DE  MUSEOS, BIBLIOTECAS, LITERATURA Y EDITORIAL.</t>
  </si>
  <si>
    <t>ORGANIZAR CURSOS DE CAPACITACIÓN PARA EL PERSONAL DE BIBLIOTECAS, MUSEOS Y MEDIADORES DE LECTURA.</t>
  </si>
  <si>
    <t>REALIZAR INVESTIGACIONES DE CAMPO CON LAS DIFERENTES ETNIAS DEL ESTADO.</t>
  </si>
  <si>
    <t>ORGANIZAR Y REALIZAR CURSOS DE CAPACITACIÓN PARA EL PERSONAL DE CULTURAS POPULARES.</t>
  </si>
  <si>
    <t>COORDINACIÓN GENERAL DE PROMOCIÓN MUSICAL Y ARTES VISUALES</t>
  </si>
  <si>
    <t>ORGANIZAR Y COORDINAR EL FESTIVAL FOTOSEPTIEMBRE.</t>
  </si>
  <si>
    <t>TALLER</t>
  </si>
  <si>
    <t>COORDINACIÓN GENERAL DE CASA DE LA CULTURA</t>
  </si>
  <si>
    <t>ORGANIZAR Y REALIZAR CURSOS DE CAPACITACIÓN PARA EL PERSONAL DOCENTE Y PROMOTORES CULTURALES.</t>
  </si>
  <si>
    <t>REALIZAR TALLERES DE EDUCACIÓN ARTÍSTICA  A TRAVÉS DE CASA DE LA CULTURA EN LA COMUNIDAD.</t>
  </si>
  <si>
    <t>REALIZAR EVENTOS ARTÍSTICO-CULTURALES EN LAS INSTALACIONES DE LA CASA DE LA CULTURA  Y EN LA COMUNIDAD.</t>
  </si>
  <si>
    <t xml:space="preserve">COORDINACIÓN GENERAL DE ADMINISTRACIÓN </t>
  </si>
  <si>
    <t>ORGANIZAR Y REALIZAR CURSO DE CAPACITACIÓN PARA LOS EMPLEADOS.</t>
  </si>
  <si>
    <t>APOYAR A LA COMUNIDAD ARTÍSTICA, ORGANISMOS E INSTITUCIONES EN EVENTOS ARTÍSTICO CULTURALES.</t>
  </si>
  <si>
    <t>TOTAL
 ACUMULADO</t>
  </si>
  <si>
    <t>METAS REALIZADAS</t>
  </si>
  <si>
    <t>PRESUPUESTO POR UNIDAD ADMVA.</t>
  </si>
  <si>
    <t>ASIGNADO</t>
  </si>
  <si>
    <t>DEVENGADO</t>
  </si>
  <si>
    <t>% AVANCE FISICO, 
ANUAL</t>
  </si>
  <si>
    <t>% AVANCE PRESUPUESTAL, 
ANUAL</t>
  </si>
  <si>
    <r>
      <t>REALIZAR EVENTOS ARTÍSTICO-CULTURALES A TRAVÉS DE LAS ÁREAS DE FESTIVALES Y ARTES ESCÉNICAS, ASI COMO LAS QUE SE EJECUTEN</t>
    </r>
    <r>
      <rPr>
        <b/>
        <sz val="8"/>
        <color indexed="60"/>
        <rFont val="Arial"/>
        <family val="2"/>
      </rPr>
      <t xml:space="preserve"> </t>
    </r>
    <r>
      <rPr>
        <sz val="8"/>
        <rFont val="Arial"/>
        <family val="2"/>
      </rPr>
      <t>A TRAVÉS DEL PROGRAMA DE CULTURA INFANTIL Y DEL PROGRAMA DE PÚBLICOS ESPECÍFICOS.</t>
    </r>
  </si>
  <si>
    <t>RESUMEN DEL EJERCICIO DEL PRESUPUESTO PROGRAMATICO DEVENGADO</t>
  </si>
  <si>
    <t>INSTITUTO SONORENSE DE CULTURA</t>
  </si>
  <si>
    <t xml:space="preserve">VINCULACIÓN CON LOS OBJETIVOS EN EL PLAN ESTATAL DE DESARROLLO </t>
  </si>
  <si>
    <t>La misión, visión y el objetivo del Instituto  Sonorense de Cultura,  entidad  coordinada  por la Secretaría de Educación y Cultura, se vinculan con el Plan Estatal de Desarrollo 2009 - 2015  que a través de su Estrategia 3.2. Orgullo por nuestra cultura, busca promover el desarrollo cultural de los sonorenses con pleno reconocimiento de su historia, patrimonio y tradiciones.</t>
  </si>
  <si>
    <t>METAS ESTRATÉGICAS</t>
  </si>
  <si>
    <t xml:space="preserve">A fin de alcanzar los objetivos institucionales, en el Presupuesto de Egresos de la Entidad se estableció una estructura programática de finalidades y funciones del gasto, alineados a lo que establece el Plan Estatal de Desarrollo y el Programa Sectorial, esto con el fin de obtener mejores resultados en la aplicación de los recursos; por tal motivo la estructura programática para alcanzar las metas establecidas en el Programa Operativo Anual es la siguiente: </t>
  </si>
  <si>
    <t>Finalidad:</t>
  </si>
  <si>
    <t xml:space="preserve">    2   Desarrollo Social</t>
  </si>
  <si>
    <t>Función:</t>
  </si>
  <si>
    <t xml:space="preserve">    4   Recreación Cultural y otras Manifestaciones Sociales</t>
  </si>
  <si>
    <t>Subfunción:</t>
  </si>
  <si>
    <t>Eje Rector:</t>
  </si>
  <si>
    <t xml:space="preserve">    3   Sonora Educado</t>
  </si>
  <si>
    <t>DIRECCIÓN GENERAL</t>
  </si>
  <si>
    <t>DIFUSIÓN DE LA CULTURA.</t>
  </si>
  <si>
    <t>SERVICIOS CULTURALES.</t>
  </si>
  <si>
    <t>REALIZAR EVENTOS CINEMATOGRÁFICOS Y ACTIVIDADES QUE PROMUEVAN Y DIFUNDAN EL SÉPTIMO ARTE EN LA ENTIDAD</t>
  </si>
  <si>
    <t>OFRECER TALLERES DE EDUCACIÓN ARTISTICA  A TRAVÉS DE LA CASA DE LA CULTURA, EN SEMESTRES REGULARES Y  DE VERANO, ASÍ COMO LOS DEL PROGRAMA DE MÚSICA ORQUESTAL.</t>
  </si>
  <si>
    <t>1</t>
  </si>
  <si>
    <t>2</t>
  </si>
  <si>
    <t>3</t>
  </si>
  <si>
    <t>4</t>
  </si>
  <si>
    <r>
      <t xml:space="preserve">ORGANIZAR ACTIVIDADES DE PROMOCIÓN Y FOMENTO A LA LECTURA, A TRAVÉS DE LAS DIFERENTES  BIBLIOTECAS MUNICIPALES ADSCRITAS A LA RED ESTATAL DE BIBLIOTECAS, SALAS DE LECTURA; ASÍ COMO LAS QUE SE REALICEN </t>
    </r>
    <r>
      <rPr>
        <sz val="8"/>
        <rFont val="Arial"/>
        <family val="2"/>
      </rPr>
      <t xml:space="preserve"> A TRAVÉS DEL PROGRAMA SONORA LEE Y LAS BIBLIOTECAS RODANTES.</t>
    </r>
  </si>
  <si>
    <r>
      <t xml:space="preserve">REALIZAR ACTIVIDADES QUE PROMUEVAN Y DIFUNDAN LAS CULTURAS POPULARES Y LA ACTIVIDAD CULTURAL DE LOS DIFERENTES GRUPOS ÉTNICOS DEL ESTADO, ASI COMO LAS QUE SE EJECUTEN A TRAVÉS DEL </t>
    </r>
    <r>
      <rPr>
        <sz val="8"/>
        <rFont val="Arial"/>
        <family val="2"/>
      </rPr>
      <t>PRODICI, PACMYC Y FONDO YOREME.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</si>
  <si>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</si>
  <si>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</si>
  <si>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</si>
  <si>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</si>
  <si>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</si>
  <si>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</si>
  <si>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</si>
  <si>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</si>
  <si>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</si>
  <si>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</si>
  <si>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</si>
  <si>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</si>
  <si>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 xml:space="preserve">REALIZAR EVENTOS ARTÍSTICO-CULTURALES A TRAVÉS DE LAS ÁREAS DE MÚSICA Y DE ARTES VISUALES (CONCIERTOS Y EXPOSICIONES), ASI COMO LAS QUE SE EJECUTEN A TRAVÉS DEL </t>
    </r>
    <r>
      <rPr>
        <sz val="8"/>
        <rFont val="Arial"/>
        <family val="2"/>
      </rPr>
      <t>PROGRAMA DE DESARROLLO CULTURAL PARA LA JUVENTUD SONORENSE.</t>
    </r>
  </si>
  <si>
    <t>REHABILITAR ESPACIOS CULTURALES.</t>
  </si>
  <si>
    <t>S U  M A S :</t>
  </si>
  <si>
    <t>MES: Septiembre</t>
  </si>
  <si>
    <t>Para dar cumplimiento a estas metas, el ISC durante el mes de Septiembre se programaron y realizaron las siguientes metas:</t>
  </si>
  <si>
    <t>Septiembre de 2014</t>
  </si>
  <si>
    <t xml:space="preserve">  02   Promover y Difundir la Cultura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</si>
</sst>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60"/>
      <name val="Arial"/>
      <family val="2"/>
    </font>
    <font>
      <sz val="12"/>
      <name val="Calibri"/>
      <family val="2"/>
    </font>
    <font>
      <b/>
      <u val="single"/>
      <sz val="12"/>
      <name val="Arial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/>
      <right/>
      <top style="medium"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 style="medium"/>
      <top style="medium"/>
      <bottom style="thin"/>
    </border>
    <border>
      <left style="medium"/>
      <right style="medium"/>
      <top style="double"/>
      <bottom/>
    </border>
    <border>
      <left style="medium"/>
      <right/>
      <top style="double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>
        <color indexed="63"/>
      </top>
      <bottom style="thin"/>
    </border>
    <border>
      <left style="medium"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4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top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9" fontId="5" fillId="0" borderId="11" xfId="54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9" fontId="5" fillId="0" borderId="11" xfId="54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9" fontId="5" fillId="0" borderId="13" xfId="54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49" fontId="4" fillId="0" borderId="11" xfId="52" applyNumberFormat="1" applyFont="1" applyFill="1" applyBorder="1" applyAlignment="1">
      <alignment horizontal="center" vertical="center" wrapText="1"/>
      <protection/>
    </xf>
    <xf numFmtId="49" fontId="4" fillId="0" borderId="11" xfId="52" applyNumberFormat="1" applyFont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top" wrapText="1"/>
    </xf>
    <xf numFmtId="0" fontId="13" fillId="0" borderId="10" xfId="52" applyFont="1" applyFill="1" applyBorder="1" applyAlignment="1">
      <alignment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9" fontId="5" fillId="0" borderId="16" xfId="54" applyFont="1" applyBorder="1" applyAlignment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7" fillId="0" borderId="11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2" fillId="35" borderId="16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44" fontId="4" fillId="35" borderId="17" xfId="49" applyFont="1" applyFill="1" applyBorder="1" applyAlignment="1">
      <alignment horizontal="center" vertical="center" wrapText="1"/>
    </xf>
    <xf numFmtId="9" fontId="5" fillId="35" borderId="12" xfId="54" applyFont="1" applyFill="1" applyBorder="1" applyAlignment="1">
      <alignment horizontal="center" vertical="center"/>
    </xf>
    <xf numFmtId="0" fontId="4" fillId="35" borderId="10" xfId="52" applyFont="1" applyFill="1" applyBorder="1" applyAlignment="1">
      <alignment horizontal="center" vertical="top" wrapText="1"/>
      <protection/>
    </xf>
    <xf numFmtId="9" fontId="5" fillId="35" borderId="18" xfId="54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9" fontId="5" fillId="0" borderId="22" xfId="54" applyFont="1" applyBorder="1" applyAlignment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9" fontId="5" fillId="0" borderId="24" xfId="54" applyFont="1" applyBorder="1" applyAlignment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0" fontId="13" fillId="0" borderId="25" xfId="52" applyFont="1" applyFill="1" applyBorder="1" applyAlignment="1">
      <alignment vertical="center" wrapText="1"/>
      <protection/>
    </xf>
    <xf numFmtId="49" fontId="5" fillId="0" borderId="26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top" wrapText="1"/>
    </xf>
    <xf numFmtId="49" fontId="4" fillId="0" borderId="24" xfId="52" applyNumberFormat="1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 wrapText="1"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9" fontId="5" fillId="0" borderId="24" xfId="54" applyFont="1" applyFill="1" applyBorder="1" applyAlignment="1">
      <alignment horizontal="center" vertical="center"/>
    </xf>
    <xf numFmtId="9" fontId="5" fillId="0" borderId="13" xfId="54" applyFont="1" applyFill="1" applyBorder="1" applyAlignment="1">
      <alignment horizontal="center" vertical="center"/>
    </xf>
    <xf numFmtId="0" fontId="4" fillId="0" borderId="24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34" borderId="24" xfId="52" applyFont="1" applyFill="1" applyBorder="1" applyAlignment="1">
      <alignment horizontal="center" vertical="center" wrapText="1"/>
      <protection/>
    </xf>
    <xf numFmtId="0" fontId="4" fillId="34" borderId="24" xfId="0" applyFont="1" applyFill="1" applyBorder="1" applyAlignment="1">
      <alignment horizontal="center" vertical="center" wrapText="1"/>
    </xf>
    <xf numFmtId="9" fontId="5" fillId="34" borderId="24" xfId="54" applyFont="1" applyFill="1" applyBorder="1" applyAlignment="1">
      <alignment horizontal="center" vertical="center"/>
    </xf>
    <xf numFmtId="0" fontId="5" fillId="34" borderId="24" xfId="0" applyFont="1" applyFill="1" applyBorder="1" applyAlignment="1" quotePrefix="1">
      <alignment horizontal="center" vertical="center"/>
    </xf>
    <xf numFmtId="0" fontId="4" fillId="34" borderId="11" xfId="52" applyFont="1" applyFill="1" applyBorder="1" applyAlignment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9" fontId="5" fillId="34" borderId="11" xfId="54" applyFont="1" applyFill="1" applyBorder="1" applyAlignment="1">
      <alignment horizontal="center" vertical="center"/>
    </xf>
    <xf numFmtId="0" fontId="4" fillId="34" borderId="13" xfId="52" applyFont="1" applyFill="1" applyBorder="1" applyAlignment="1">
      <alignment horizontal="center" vertical="center" wrapText="1"/>
      <protection/>
    </xf>
    <xf numFmtId="9" fontId="5" fillId="34" borderId="13" xfId="54" applyFont="1" applyFill="1" applyBorder="1" applyAlignment="1">
      <alignment horizontal="center" vertical="center"/>
    </xf>
    <xf numFmtId="0" fontId="5" fillId="34" borderId="13" xfId="0" applyFont="1" applyFill="1" applyBorder="1" applyAlignment="1" quotePrefix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6" fillId="35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44" fontId="4" fillId="35" borderId="16" xfId="49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justify" vertical="top" wrapText="1"/>
    </xf>
    <xf numFmtId="165" fontId="2" fillId="0" borderId="0" xfId="0" applyNumberFormat="1" applyFont="1" applyFill="1" applyAlignment="1">
      <alignment vertical="center"/>
    </xf>
    <xf numFmtId="0" fontId="2" fillId="34" borderId="29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justify" vertical="top" wrapText="1"/>
    </xf>
    <xf numFmtId="0" fontId="0" fillId="34" borderId="0" xfId="0" applyFont="1" applyFill="1" applyAlignment="1">
      <alignment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165" fontId="0" fillId="34" borderId="0" xfId="0" applyNumberFormat="1" applyFont="1" applyFill="1" applyAlignment="1">
      <alignment/>
    </xf>
    <xf numFmtId="0" fontId="13" fillId="35" borderId="35" xfId="52" applyFont="1" applyFill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9" fontId="5" fillId="0" borderId="0" xfId="54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top" wrapText="1"/>
    </xf>
    <xf numFmtId="44" fontId="3" fillId="35" borderId="15" xfId="49" applyFont="1" applyFill="1" applyBorder="1" applyAlignment="1">
      <alignment vertical="center" wrapText="1"/>
    </xf>
    <xf numFmtId="170" fontId="5" fillId="35" borderId="18" xfId="47" applyNumberFormat="1" applyFont="1" applyFill="1" applyBorder="1" applyAlignment="1">
      <alignment horizontal="center" vertical="center" wrapText="1"/>
    </xf>
    <xf numFmtId="170" fontId="5" fillId="35" borderId="14" xfId="47" applyNumberFormat="1" applyFont="1" applyFill="1" applyBorder="1" applyAlignment="1">
      <alignment horizontal="center" vertical="center" wrapText="1"/>
    </xf>
    <xf numFmtId="170" fontId="6" fillId="35" borderId="12" xfId="47" applyNumberFormat="1" applyFont="1" applyFill="1" applyBorder="1" applyAlignment="1">
      <alignment vertical="center" wrapText="1"/>
    </xf>
    <xf numFmtId="170" fontId="3" fillId="35" borderId="16" xfId="47" applyNumberFormat="1" applyFont="1" applyFill="1" applyBorder="1" applyAlignment="1">
      <alignment horizontal="center" vertical="center" wrapText="1"/>
    </xf>
    <xf numFmtId="170" fontId="5" fillId="35" borderId="28" xfId="47" applyNumberFormat="1" applyFont="1" applyFill="1" applyBorder="1" applyAlignment="1">
      <alignment horizontal="center" vertical="center" wrapText="1"/>
    </xf>
    <xf numFmtId="170" fontId="5" fillId="35" borderId="16" xfId="47" applyNumberFormat="1" applyFont="1" applyFill="1" applyBorder="1" applyAlignment="1">
      <alignment horizontal="center" vertical="center" wrapText="1"/>
    </xf>
    <xf numFmtId="170" fontId="5" fillId="35" borderId="17" xfId="47" applyNumberFormat="1" applyFont="1" applyFill="1" applyBorder="1" applyAlignment="1">
      <alignment horizontal="center" vertical="center" wrapText="1"/>
    </xf>
    <xf numFmtId="170" fontId="5" fillId="35" borderId="12" xfId="47" applyNumberFormat="1" applyFont="1" applyFill="1" applyBorder="1" applyAlignment="1">
      <alignment horizontal="center" vertical="center" wrapText="1"/>
    </xf>
    <xf numFmtId="170" fontId="5" fillId="35" borderId="18" xfId="47" applyNumberFormat="1" applyFont="1" applyFill="1" applyBorder="1" applyAlignment="1">
      <alignment horizontal="center" vertical="center"/>
    </xf>
    <xf numFmtId="170" fontId="5" fillId="0" borderId="0" xfId="47" applyNumberFormat="1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9" fontId="5" fillId="34" borderId="36" xfId="54" applyFont="1" applyFill="1" applyBorder="1" applyAlignment="1">
      <alignment horizontal="center" vertical="center"/>
    </xf>
    <xf numFmtId="172" fontId="5" fillId="34" borderId="36" xfId="49" applyNumberFormat="1" applyFont="1" applyFill="1" applyBorder="1" applyAlignment="1">
      <alignment horizontal="center" vertical="center" wrapText="1"/>
    </xf>
    <xf numFmtId="0" fontId="14" fillId="34" borderId="36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" fontId="9" fillId="0" borderId="0" xfId="0" applyNumberFormat="1" applyFont="1" applyAlignment="1" quotePrefix="1">
      <alignment horizontal="center" vertical="center"/>
    </xf>
    <xf numFmtId="165" fontId="3" fillId="34" borderId="20" xfId="0" applyNumberFormat="1" applyFont="1" applyFill="1" applyBorder="1" applyAlignment="1">
      <alignment horizontal="center" vertical="center" textRotation="90" wrapText="1"/>
    </xf>
    <xf numFmtId="0" fontId="0" fillId="34" borderId="21" xfId="0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textRotation="90" wrapText="1"/>
    </xf>
    <xf numFmtId="0" fontId="0" fillId="0" borderId="18" xfId="0" applyBorder="1" applyAlignment="1">
      <alignment textRotation="90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9" fillId="0" borderId="0" xfId="0" applyFont="1" applyAlignment="1">
      <alignment horizontal="justify" vertical="top" wrapText="1"/>
    </xf>
    <xf numFmtId="0" fontId="0" fillId="0" borderId="0" xfId="0" applyAlignment="1">
      <alignment horizontal="justify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textRotation="90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165" fontId="3" fillId="0" borderId="3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165" fontId="13" fillId="0" borderId="37" xfId="0" applyNumberFormat="1" applyFont="1" applyBorder="1" applyAlignment="1">
      <alignment horizontal="center" vertical="center" wrapText="1"/>
    </xf>
    <xf numFmtId="165" fontId="13" fillId="0" borderId="28" xfId="0" applyNumberFormat="1" applyFont="1" applyBorder="1" applyAlignment="1">
      <alignment horizontal="center" vertical="center" wrapText="1"/>
    </xf>
    <xf numFmtId="165" fontId="13" fillId="0" borderId="38" xfId="0" applyNumberFormat="1" applyFont="1" applyBorder="1" applyAlignment="1">
      <alignment horizontal="center" vertical="center" wrapText="1"/>
    </xf>
    <xf numFmtId="165" fontId="13" fillId="0" borderId="27" xfId="0" applyNumberFormat="1" applyFont="1" applyBorder="1" applyAlignment="1">
      <alignment horizontal="center" vertical="center" wrapText="1"/>
    </xf>
    <xf numFmtId="165" fontId="13" fillId="0" borderId="39" xfId="0" applyNumberFormat="1" applyFont="1" applyBorder="1" applyAlignment="1">
      <alignment horizontal="center" vertical="center" wrapText="1"/>
    </xf>
    <xf numFmtId="165" fontId="13" fillId="0" borderId="40" xfId="0" applyNumberFormat="1" applyFont="1" applyBorder="1" applyAlignment="1">
      <alignment horizontal="center" vertical="center" wrapText="1"/>
    </xf>
    <xf numFmtId="9" fontId="5" fillId="35" borderId="18" xfId="49" applyNumberFormat="1" applyFont="1" applyFill="1" applyBorder="1" applyAlignment="1">
      <alignment horizontal="center" vertical="center" wrapText="1"/>
    </xf>
    <xf numFmtId="0" fontId="4" fillId="35" borderId="16" xfId="52" applyFont="1" applyFill="1" applyBorder="1" applyAlignment="1">
      <alignment horizontal="center" vertical="top" wrapText="1"/>
      <protection/>
    </xf>
    <xf numFmtId="44" fontId="3" fillId="35" borderId="14" xfId="49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3"/>
  <sheetViews>
    <sheetView tabSelected="1" view="pageBreakPreview" zoomScale="75" zoomScaleSheetLayoutView="75" zoomScalePageLayoutView="0" workbookViewId="0" topLeftCell="A1">
      <selection activeCell="A7" sqref="A7:W8"/>
    </sheetView>
  </sheetViews>
  <sheetFormatPr defaultColWidth="11.421875" defaultRowHeight="12.75"/>
  <cols>
    <col min="1" max="1" width="35.57421875" style="2" customWidth="1"/>
    <col min="2" max="2" width="5.00390625" style="3" customWidth="1"/>
    <col min="3" max="3" width="10.57421875" style="2" customWidth="1"/>
    <col min="4" max="4" width="6.8515625" style="2" customWidth="1"/>
    <col min="5" max="7" width="6.8515625" style="2" hidden="1" customWidth="1"/>
    <col min="8" max="16" width="6.28125" style="2" hidden="1" customWidth="1"/>
    <col min="17" max="17" width="7.421875" style="107" customWidth="1"/>
    <col min="18" max="18" width="7.7109375" style="101" customWidth="1"/>
    <col min="19" max="19" width="13.140625" style="5" customWidth="1"/>
    <col min="20" max="20" width="12.00390625" style="5" customWidth="1"/>
    <col min="21" max="21" width="14.00390625" style="110" customWidth="1"/>
    <col min="22" max="22" width="8.7109375" style="6" customWidth="1"/>
    <col min="23" max="23" width="8.7109375" style="4" customWidth="1"/>
    <col min="24" max="16384" width="11.421875" style="1" customWidth="1"/>
  </cols>
  <sheetData>
    <row r="1" spans="1:23" ht="15.75">
      <c r="A1" s="137" t="s">
        <v>47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3" spans="1:23" ht="15.75">
      <c r="A3" s="138" t="s">
        <v>48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1:23" ht="15.75">
      <c r="A4" s="139" t="s">
        <v>88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</row>
    <row r="5" spans="1:23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05"/>
      <c r="R5" s="99"/>
      <c r="S5" s="14"/>
      <c r="T5" s="14"/>
      <c r="U5" s="105"/>
      <c r="V5" s="14"/>
      <c r="W5" s="14"/>
    </row>
    <row r="6" spans="1:23" ht="15.75">
      <c r="A6" s="15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05"/>
      <c r="R6" s="99"/>
      <c r="S6" s="14"/>
      <c r="T6" s="14"/>
      <c r="U6" s="105"/>
      <c r="V6" s="14"/>
      <c r="W6" s="14"/>
    </row>
    <row r="7" spans="1:23" ht="26.25" customHeight="1">
      <c r="A7" s="151" t="s">
        <v>50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</row>
    <row r="8" spans="1:23" ht="45.7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</row>
    <row r="9" spans="1:23" ht="15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05"/>
      <c r="R9" s="99"/>
      <c r="S9" s="14"/>
      <c r="T9" s="14"/>
      <c r="U9" s="105"/>
      <c r="V9" s="14"/>
      <c r="W9" s="14"/>
    </row>
    <row r="10" spans="1:23" ht="15.75">
      <c r="A10" s="16" t="s">
        <v>51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05"/>
      <c r="R10" s="99"/>
      <c r="S10" s="14"/>
      <c r="T10" s="14"/>
      <c r="U10" s="105"/>
      <c r="V10" s="14"/>
      <c r="W10" s="14"/>
    </row>
    <row r="11" spans="1:23" ht="12.75">
      <c r="A11" s="151" t="s">
        <v>52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2"/>
      <c r="W11" s="152"/>
    </row>
    <row r="12" spans="1:23" ht="12.7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2"/>
      <c r="W12" s="152"/>
    </row>
    <row r="13" spans="1:23" ht="42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2"/>
      <c r="W13" s="152"/>
    </row>
    <row r="14" spans="1:23" ht="8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06"/>
      <c r="R14" s="100"/>
      <c r="S14" s="17"/>
      <c r="T14" s="17"/>
      <c r="U14" s="106"/>
      <c r="V14" s="14"/>
      <c r="W14" s="14"/>
    </row>
    <row r="15" spans="1:23" ht="15.75">
      <c r="A15" s="18" t="s">
        <v>53</v>
      </c>
      <c r="B15" s="19" t="s">
        <v>54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06"/>
      <c r="R15" s="100"/>
      <c r="S15" s="17"/>
      <c r="T15" s="17"/>
      <c r="U15" s="106"/>
      <c r="V15" s="14"/>
      <c r="W15" s="14"/>
    </row>
    <row r="16" spans="1:23" ht="15.75">
      <c r="A16" s="18" t="s">
        <v>55</v>
      </c>
      <c r="B16" s="19" t="s">
        <v>56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06"/>
      <c r="R16" s="100"/>
      <c r="S16" s="17"/>
      <c r="T16" s="17"/>
      <c r="U16" s="106"/>
      <c r="V16" s="14"/>
      <c r="W16" s="14"/>
    </row>
    <row r="17" spans="1:23" ht="15.75">
      <c r="A17" s="18" t="s">
        <v>57</v>
      </c>
      <c r="B17" s="19" t="s">
        <v>89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06"/>
      <c r="R17" s="100"/>
      <c r="S17" s="17"/>
      <c r="T17" s="17"/>
      <c r="U17" s="106"/>
      <c r="V17" s="14"/>
      <c r="W17" s="14"/>
    </row>
    <row r="18" spans="1:23" ht="15.75">
      <c r="A18" s="18" t="s">
        <v>58</v>
      </c>
      <c r="B18" s="19" t="s">
        <v>59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06"/>
      <c r="R18" s="100"/>
      <c r="S18" s="17"/>
      <c r="T18" s="17"/>
      <c r="U18" s="106"/>
      <c r="V18" s="14"/>
      <c r="W18" s="14"/>
    </row>
    <row r="19" spans="1:23" ht="15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06"/>
      <c r="R19" s="100"/>
      <c r="S19" s="17"/>
      <c r="T19" s="17"/>
      <c r="U19" s="106"/>
      <c r="V19" s="14"/>
      <c r="W19" s="14"/>
    </row>
    <row r="20" spans="1:23" ht="15.75">
      <c r="A20" s="176" t="s">
        <v>87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7"/>
      <c r="W20" s="177"/>
    </row>
    <row r="21" ht="13.5" thickBot="1"/>
    <row r="22" spans="1:23" ht="6.75" customHeight="1">
      <c r="A22" s="145" t="s">
        <v>0</v>
      </c>
      <c r="B22" s="157" t="s">
        <v>3</v>
      </c>
      <c r="C22" s="153" t="s">
        <v>1</v>
      </c>
      <c r="D22" s="157" t="s">
        <v>2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162" t="s">
        <v>4</v>
      </c>
      <c r="R22" s="167" t="s">
        <v>86</v>
      </c>
      <c r="S22" s="168"/>
      <c r="T22" s="169"/>
      <c r="U22" s="140" t="s">
        <v>39</v>
      </c>
      <c r="V22" s="142" t="s">
        <v>44</v>
      </c>
      <c r="W22" s="142" t="s">
        <v>45</v>
      </c>
    </row>
    <row r="23" spans="1:23" ht="18" customHeight="1" thickBot="1">
      <c r="A23" s="146"/>
      <c r="B23" s="158"/>
      <c r="C23" s="154"/>
      <c r="D23" s="160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163"/>
      <c r="R23" s="170"/>
      <c r="S23" s="171"/>
      <c r="T23" s="172"/>
      <c r="U23" s="141"/>
      <c r="V23" s="143"/>
      <c r="W23" s="143"/>
    </row>
    <row r="24" spans="1:23" ht="24" customHeight="1" thickBot="1">
      <c r="A24" s="147"/>
      <c r="B24" s="158"/>
      <c r="C24" s="155"/>
      <c r="D24" s="160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163"/>
      <c r="R24" s="165" t="s">
        <v>40</v>
      </c>
      <c r="S24" s="149" t="s">
        <v>41</v>
      </c>
      <c r="T24" s="150"/>
      <c r="U24" s="141"/>
      <c r="V24" s="143"/>
      <c r="W24" s="143"/>
    </row>
    <row r="25" spans="1:23" ht="26.25" customHeight="1" thickBot="1">
      <c r="A25" s="148"/>
      <c r="B25" s="159"/>
      <c r="C25" s="156"/>
      <c r="D25" s="161"/>
      <c r="E25" s="48" t="s">
        <v>71</v>
      </c>
      <c r="F25" s="48" t="s">
        <v>72</v>
      </c>
      <c r="G25" s="48" t="s">
        <v>73</v>
      </c>
      <c r="H25" s="48" t="s">
        <v>74</v>
      </c>
      <c r="I25" s="48" t="s">
        <v>75</v>
      </c>
      <c r="J25" s="48" t="s">
        <v>76</v>
      </c>
      <c r="K25" s="48" t="s">
        <v>77</v>
      </c>
      <c r="L25" s="48" t="s">
        <v>78</v>
      </c>
      <c r="M25" s="48" t="s">
        <v>79</v>
      </c>
      <c r="N25" s="48" t="s">
        <v>80</v>
      </c>
      <c r="O25" s="48" t="s">
        <v>81</v>
      </c>
      <c r="P25" s="48" t="s">
        <v>82</v>
      </c>
      <c r="Q25" s="164"/>
      <c r="R25" s="166"/>
      <c r="S25" s="9" t="s">
        <v>42</v>
      </c>
      <c r="T25" s="11" t="s">
        <v>43</v>
      </c>
      <c r="U25" s="141"/>
      <c r="V25" s="144"/>
      <c r="W25" s="144"/>
    </row>
    <row r="26" spans="1:23" s="8" customFormat="1" ht="22.5" customHeight="1" thickBot="1">
      <c r="A26" s="111" t="s">
        <v>60</v>
      </c>
      <c r="B26" s="4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118"/>
      <c r="R26" s="175"/>
      <c r="S26" s="119">
        <v>40759420</v>
      </c>
      <c r="T26" s="119">
        <v>4875943</v>
      </c>
      <c r="U26" s="120">
        <v>44879999</v>
      </c>
      <c r="V26" s="20"/>
      <c r="W26" s="173">
        <v>1.1</v>
      </c>
    </row>
    <row r="27" spans="1:23" s="8" customFormat="1" ht="18.75" customHeight="1" thickBot="1" thickTop="1">
      <c r="A27" s="55" t="s">
        <v>61</v>
      </c>
      <c r="B27" s="56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108"/>
      <c r="R27" s="49"/>
      <c r="S27" s="49"/>
      <c r="T27" s="49"/>
      <c r="U27" s="108"/>
      <c r="V27" s="50"/>
      <c r="W27" s="51"/>
    </row>
    <row r="28" spans="1:23" s="8" customFormat="1" ht="46.5" customHeight="1">
      <c r="A28" s="57" t="s">
        <v>10</v>
      </c>
      <c r="B28" s="58" t="s">
        <v>65</v>
      </c>
      <c r="C28" s="59" t="s">
        <v>11</v>
      </c>
      <c r="D28" s="52">
        <v>95</v>
      </c>
      <c r="E28" s="52">
        <v>0</v>
      </c>
      <c r="F28" s="52">
        <v>38</v>
      </c>
      <c r="G28" s="52">
        <v>27</v>
      </c>
      <c r="H28" s="52">
        <v>0</v>
      </c>
      <c r="I28" s="52">
        <v>35</v>
      </c>
      <c r="J28" s="52">
        <v>27</v>
      </c>
      <c r="K28" s="52">
        <v>18</v>
      </c>
      <c r="L28" s="52">
        <f>16+2+1</f>
        <v>19</v>
      </c>
      <c r="M28" s="52"/>
      <c r="N28" s="52"/>
      <c r="O28" s="52"/>
      <c r="P28" s="52"/>
      <c r="Q28" s="73">
        <v>164</v>
      </c>
      <c r="R28" s="52">
        <v>0</v>
      </c>
      <c r="S28" s="52"/>
      <c r="T28" s="52"/>
      <c r="U28" s="73">
        <f>SUM(E28:P28)+R28</f>
        <v>164</v>
      </c>
      <c r="V28" s="53">
        <f>+(U28*1)/D28</f>
        <v>1.7263157894736842</v>
      </c>
      <c r="W28" s="54"/>
    </row>
    <row r="29" spans="1:23" s="8" customFormat="1" ht="22.5" customHeight="1">
      <c r="A29" s="35" t="s">
        <v>12</v>
      </c>
      <c r="B29" s="28" t="s">
        <v>66</v>
      </c>
      <c r="C29" s="10" t="s">
        <v>13</v>
      </c>
      <c r="D29" s="12">
        <v>25</v>
      </c>
      <c r="E29" s="12">
        <v>0</v>
      </c>
      <c r="F29" s="12">
        <v>12</v>
      </c>
      <c r="G29" s="12">
        <f>4+5</f>
        <v>9</v>
      </c>
      <c r="H29" s="12">
        <v>0</v>
      </c>
      <c r="I29" s="12">
        <v>0</v>
      </c>
      <c r="J29" s="12">
        <f>1+1</f>
        <v>2</v>
      </c>
      <c r="K29" s="12">
        <v>1</v>
      </c>
      <c r="L29" s="12">
        <v>2</v>
      </c>
      <c r="M29" s="12"/>
      <c r="N29" s="12"/>
      <c r="O29" s="12"/>
      <c r="P29" s="12"/>
      <c r="Q29" s="25">
        <v>28</v>
      </c>
      <c r="R29" s="12">
        <v>2</v>
      </c>
      <c r="S29" s="12"/>
      <c r="T29" s="12"/>
      <c r="U29" s="25">
        <f>SUM(E29:P29)+R29</f>
        <v>28</v>
      </c>
      <c r="V29" s="21">
        <f>+(U29*1)/D29</f>
        <v>1.12</v>
      </c>
      <c r="W29" s="22"/>
    </row>
    <row r="30" spans="1:23" s="8" customFormat="1" ht="22.5" customHeight="1">
      <c r="A30" s="35" t="s">
        <v>14</v>
      </c>
      <c r="B30" s="29" t="s">
        <v>67</v>
      </c>
      <c r="C30" s="10" t="s">
        <v>15</v>
      </c>
      <c r="D30" s="12">
        <v>243</v>
      </c>
      <c r="E30" s="12">
        <f>47+15</f>
        <v>62</v>
      </c>
      <c r="F30" s="12">
        <v>0</v>
      </c>
      <c r="G30" s="12">
        <f>31+40</f>
        <v>71</v>
      </c>
      <c r="H30" s="12">
        <v>0</v>
      </c>
      <c r="I30" s="12">
        <f>38+17</f>
        <v>55</v>
      </c>
      <c r="J30" s="12">
        <f>28+19+28+20</f>
        <v>95</v>
      </c>
      <c r="K30" s="12">
        <v>28</v>
      </c>
      <c r="L30" s="12">
        <f>22+19</f>
        <v>41</v>
      </c>
      <c r="M30" s="12"/>
      <c r="N30" s="12"/>
      <c r="O30" s="12"/>
      <c r="P30" s="12"/>
      <c r="Q30" s="25">
        <v>396</v>
      </c>
      <c r="R30" s="12">
        <f>25+19</f>
        <v>44</v>
      </c>
      <c r="S30" s="12"/>
      <c r="T30" s="12"/>
      <c r="U30" s="25">
        <f>SUM(E30:P30)+R30</f>
        <v>396</v>
      </c>
      <c r="V30" s="21">
        <f>+(U30*1)/D30</f>
        <v>1.6296296296296295</v>
      </c>
      <c r="W30" s="22"/>
    </row>
    <row r="31" spans="1:23" s="8" customFormat="1" ht="57.75" customHeight="1" thickBot="1">
      <c r="A31" s="36" t="s">
        <v>16</v>
      </c>
      <c r="B31" s="60" t="s">
        <v>68</v>
      </c>
      <c r="C31" s="61" t="s">
        <v>11</v>
      </c>
      <c r="D31" s="13">
        <v>524</v>
      </c>
      <c r="E31" s="13">
        <v>0</v>
      </c>
      <c r="F31" s="13">
        <v>309</v>
      </c>
      <c r="G31" s="13">
        <f>17+88</f>
        <v>105</v>
      </c>
      <c r="H31" s="13">
        <v>0</v>
      </c>
      <c r="I31" s="13">
        <v>54</v>
      </c>
      <c r="J31" s="13">
        <f>36+71</f>
        <v>107</v>
      </c>
      <c r="K31" s="13">
        <v>63</v>
      </c>
      <c r="L31" s="13">
        <v>24</v>
      </c>
      <c r="M31" s="13"/>
      <c r="N31" s="13"/>
      <c r="O31" s="13"/>
      <c r="P31" s="13"/>
      <c r="Q31" s="43">
        <v>700</v>
      </c>
      <c r="R31" s="13">
        <v>38</v>
      </c>
      <c r="S31" s="13"/>
      <c r="T31" s="13"/>
      <c r="U31" s="43">
        <f>SUM(E31:P31)+R31</f>
        <v>700</v>
      </c>
      <c r="V31" s="26">
        <f>+(U31*1)/D31</f>
        <v>1.3358778625954197</v>
      </c>
      <c r="W31" s="27"/>
    </row>
    <row r="32" spans="1:23" s="8" customFormat="1" ht="15.75" customHeight="1" thickBot="1">
      <c r="A32" s="31" t="s">
        <v>62</v>
      </c>
      <c r="B32" s="45"/>
      <c r="C32" s="32"/>
      <c r="D32" s="87"/>
      <c r="E32" s="32"/>
      <c r="F32" s="32"/>
      <c r="G32" s="32"/>
      <c r="H32" s="32"/>
      <c r="I32" s="32"/>
      <c r="J32" s="32"/>
      <c r="K32" s="62"/>
      <c r="L32" s="32"/>
      <c r="M32" s="62"/>
      <c r="N32" s="62"/>
      <c r="O32" s="62"/>
      <c r="P32" s="62"/>
      <c r="Q32" s="117"/>
      <c r="R32" s="32"/>
      <c r="S32" s="32"/>
      <c r="T32" s="32"/>
      <c r="U32" s="109"/>
      <c r="V32" s="33"/>
      <c r="W32" s="34"/>
    </row>
    <row r="33" spans="1:23" s="8" customFormat="1" ht="33.75">
      <c r="A33" s="44" t="s">
        <v>38</v>
      </c>
      <c r="B33" s="69">
        <v>5</v>
      </c>
      <c r="C33" s="59" t="s">
        <v>7</v>
      </c>
      <c r="D33" s="95">
        <v>110</v>
      </c>
      <c r="E33" s="52">
        <v>0</v>
      </c>
      <c r="F33" s="52">
        <v>15</v>
      </c>
      <c r="G33" s="52">
        <f>14+2+3+1</f>
        <v>20</v>
      </c>
      <c r="H33" s="52">
        <f>8+11</f>
        <v>19</v>
      </c>
      <c r="I33" s="52">
        <f>4+6+2+14+1</f>
        <v>27</v>
      </c>
      <c r="J33" s="52">
        <f>3+2+15</f>
        <v>20</v>
      </c>
      <c r="K33" s="52">
        <v>1</v>
      </c>
      <c r="L33" s="52">
        <f>11+2+14</f>
        <v>27</v>
      </c>
      <c r="M33" s="52"/>
      <c r="N33" s="52"/>
      <c r="O33" s="52"/>
      <c r="P33" s="52"/>
      <c r="Q33" s="73">
        <v>173</v>
      </c>
      <c r="R33" s="52">
        <f>28+16</f>
        <v>44</v>
      </c>
      <c r="S33" s="52"/>
      <c r="T33" s="52"/>
      <c r="U33" s="73">
        <f>SUM(E33:P33)+R33</f>
        <v>173</v>
      </c>
      <c r="V33" s="53">
        <f>+(U33*1)/D33</f>
        <v>1.5727272727272728</v>
      </c>
      <c r="W33" s="54"/>
    </row>
    <row r="34" spans="1:23" s="8" customFormat="1" ht="56.25">
      <c r="A34" s="35" t="s">
        <v>8</v>
      </c>
      <c r="B34" s="70">
        <v>6</v>
      </c>
      <c r="C34" s="10" t="s">
        <v>9</v>
      </c>
      <c r="D34" s="96">
        <v>15</v>
      </c>
      <c r="E34" s="12">
        <v>0</v>
      </c>
      <c r="F34" s="12">
        <v>0</v>
      </c>
      <c r="G34" s="12">
        <f>1+1+4</f>
        <v>6</v>
      </c>
      <c r="H34" s="12">
        <v>1</v>
      </c>
      <c r="I34" s="12">
        <v>1</v>
      </c>
      <c r="J34" s="12">
        <v>7</v>
      </c>
      <c r="K34" s="12">
        <v>0</v>
      </c>
      <c r="L34" s="12">
        <v>3</v>
      </c>
      <c r="M34" s="12"/>
      <c r="N34" s="12"/>
      <c r="O34" s="12"/>
      <c r="P34" s="12"/>
      <c r="Q34" s="25">
        <v>19</v>
      </c>
      <c r="R34" s="12">
        <v>1</v>
      </c>
      <c r="S34" s="12"/>
      <c r="T34" s="12"/>
      <c r="U34" s="25">
        <f>SUM(E34:P34)+R34</f>
        <v>19</v>
      </c>
      <c r="V34" s="21">
        <f>+(U34*1)/D34</f>
        <v>1.2666666666666666</v>
      </c>
      <c r="W34" s="23"/>
    </row>
    <row r="35" spans="1:23" s="8" customFormat="1" ht="34.5" customHeight="1" thickBot="1">
      <c r="A35" s="36" t="s">
        <v>5</v>
      </c>
      <c r="B35" s="71">
        <v>7</v>
      </c>
      <c r="C35" s="61" t="s">
        <v>6</v>
      </c>
      <c r="D35" s="97">
        <v>107</v>
      </c>
      <c r="E35" s="65">
        <v>0</v>
      </c>
      <c r="F35" s="65">
        <v>62</v>
      </c>
      <c r="G35" s="65">
        <f>20+7</f>
        <v>27</v>
      </c>
      <c r="H35" s="65">
        <v>0</v>
      </c>
      <c r="I35" s="65">
        <v>5</v>
      </c>
      <c r="J35" s="65">
        <f>14+2</f>
        <v>16</v>
      </c>
      <c r="K35" s="65">
        <v>0</v>
      </c>
      <c r="L35" s="65">
        <v>4</v>
      </c>
      <c r="M35" s="13"/>
      <c r="N35" s="13"/>
      <c r="O35" s="13"/>
      <c r="P35" s="13"/>
      <c r="Q35" s="43">
        <v>123</v>
      </c>
      <c r="R35" s="65">
        <v>9</v>
      </c>
      <c r="S35" s="13"/>
      <c r="T35" s="13"/>
      <c r="U35" s="13">
        <f>SUM(E35:P35)+R35</f>
        <v>123</v>
      </c>
      <c r="V35" s="26">
        <f>+(U35*1)/D35</f>
        <v>1.1495327102803738</v>
      </c>
      <c r="W35" s="27"/>
    </row>
    <row r="36" spans="1:23" s="128" customFormat="1" ht="24.75" thickBot="1">
      <c r="A36" s="121" t="s">
        <v>17</v>
      </c>
      <c r="B36" s="41"/>
      <c r="C36" s="122"/>
      <c r="D36" s="123"/>
      <c r="E36" s="124"/>
      <c r="F36" s="125"/>
      <c r="G36" s="125"/>
      <c r="H36" s="125"/>
      <c r="I36" s="125"/>
      <c r="J36" s="125"/>
      <c r="K36" s="124"/>
      <c r="L36" s="125"/>
      <c r="M36" s="124"/>
      <c r="N36" s="124"/>
      <c r="O36" s="124"/>
      <c r="P36" s="124"/>
      <c r="Q36" s="124"/>
      <c r="R36" s="125"/>
      <c r="S36" s="119">
        <v>19797432</v>
      </c>
      <c r="T36" s="119">
        <v>2581382</v>
      </c>
      <c r="U36" s="126">
        <v>23759999</v>
      </c>
      <c r="V36" s="127"/>
      <c r="W36" s="173">
        <v>1.2</v>
      </c>
    </row>
    <row r="37" spans="1:23" s="8" customFormat="1" ht="68.25" customHeight="1">
      <c r="A37" s="57" t="s">
        <v>46</v>
      </c>
      <c r="B37" s="69">
        <v>8</v>
      </c>
      <c r="C37" s="59" t="s">
        <v>18</v>
      </c>
      <c r="D37" s="95">
        <v>268</v>
      </c>
      <c r="E37" s="52">
        <f>6+5</f>
        <v>11</v>
      </c>
      <c r="F37" s="12">
        <v>29</v>
      </c>
      <c r="G37" s="12">
        <f>6+1+86</f>
        <v>93</v>
      </c>
      <c r="H37" s="12">
        <f>16+10</f>
        <v>26</v>
      </c>
      <c r="I37" s="12">
        <v>0</v>
      </c>
      <c r="J37" s="12">
        <v>27</v>
      </c>
      <c r="K37" s="12">
        <v>0</v>
      </c>
      <c r="L37" s="12">
        <f>2+4</f>
        <v>6</v>
      </c>
      <c r="M37" s="52"/>
      <c r="N37" s="52"/>
      <c r="O37" s="52"/>
      <c r="P37" s="52"/>
      <c r="Q37" s="73">
        <v>268</v>
      </c>
      <c r="R37" s="25">
        <v>25</v>
      </c>
      <c r="S37" s="52"/>
      <c r="T37" s="52"/>
      <c r="U37" s="73">
        <f>SUM(E37:P37)+R37</f>
        <v>217</v>
      </c>
      <c r="V37" s="53">
        <f>+(U37*1)/D37</f>
        <v>0.8097014925373134</v>
      </c>
      <c r="W37" s="63"/>
    </row>
    <row r="38" spans="1:23" s="8" customFormat="1" ht="67.5" customHeight="1">
      <c r="A38" s="35" t="s">
        <v>19</v>
      </c>
      <c r="B38" s="70">
        <v>9</v>
      </c>
      <c r="C38" s="10" t="s">
        <v>18</v>
      </c>
      <c r="D38" s="96">
        <v>3</v>
      </c>
      <c r="E38" s="12">
        <v>1</v>
      </c>
      <c r="F38" s="12">
        <v>0</v>
      </c>
      <c r="G38" s="12">
        <v>0</v>
      </c>
      <c r="H38" s="12">
        <v>1</v>
      </c>
      <c r="I38" s="12">
        <v>0</v>
      </c>
      <c r="J38" s="12">
        <v>0</v>
      </c>
      <c r="K38" s="12">
        <v>0</v>
      </c>
      <c r="L38" s="12">
        <v>0</v>
      </c>
      <c r="M38" s="12"/>
      <c r="N38" s="12"/>
      <c r="O38" s="12"/>
      <c r="P38" s="12"/>
      <c r="Q38" s="25">
        <v>3</v>
      </c>
      <c r="R38" s="12">
        <v>0</v>
      </c>
      <c r="S38" s="12"/>
      <c r="T38" s="12"/>
      <c r="U38" s="25">
        <f>SUM(E38:P38)+R38</f>
        <v>2</v>
      </c>
      <c r="V38" s="21">
        <f>+(U38*1)/D38</f>
        <v>0.6666666666666666</v>
      </c>
      <c r="W38" s="24"/>
    </row>
    <row r="39" spans="1:23" s="8" customFormat="1" ht="25.5" customHeight="1">
      <c r="A39" s="35" t="s">
        <v>20</v>
      </c>
      <c r="B39" s="70">
        <v>10</v>
      </c>
      <c r="C39" s="10" t="s">
        <v>18</v>
      </c>
      <c r="D39" s="96">
        <v>1</v>
      </c>
      <c r="E39" s="12">
        <v>0</v>
      </c>
      <c r="F39" s="12">
        <v>0</v>
      </c>
      <c r="G39" s="12">
        <v>1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12"/>
      <c r="O39" s="12"/>
      <c r="P39" s="12"/>
      <c r="Q39" s="25">
        <v>1</v>
      </c>
      <c r="R39" s="12">
        <v>0</v>
      </c>
      <c r="S39" s="12"/>
      <c r="T39" s="12"/>
      <c r="U39" s="25">
        <f>SUM(E39:P39)+R39</f>
        <v>1</v>
      </c>
      <c r="V39" s="21">
        <f>+(U39*1)/D39</f>
        <v>1</v>
      </c>
      <c r="W39" s="23"/>
    </row>
    <row r="40" spans="1:23" s="8" customFormat="1" ht="23.25" thickBot="1">
      <c r="A40" s="36" t="s">
        <v>21</v>
      </c>
      <c r="B40" s="71">
        <v>11</v>
      </c>
      <c r="C40" s="90" t="s">
        <v>7</v>
      </c>
      <c r="D40" s="98">
        <v>235</v>
      </c>
      <c r="E40" s="13">
        <v>38</v>
      </c>
      <c r="F40" s="89">
        <v>48</v>
      </c>
      <c r="G40" s="89">
        <v>17</v>
      </c>
      <c r="H40" s="89">
        <v>18</v>
      </c>
      <c r="I40" s="89">
        <v>20</v>
      </c>
      <c r="J40" s="89">
        <v>7</v>
      </c>
      <c r="K40" s="89">
        <v>13</v>
      </c>
      <c r="L40" s="89">
        <v>10</v>
      </c>
      <c r="M40" s="89"/>
      <c r="N40" s="89"/>
      <c r="O40" s="89"/>
      <c r="P40" s="89"/>
      <c r="Q40" s="103">
        <v>235</v>
      </c>
      <c r="R40" s="89">
        <v>7</v>
      </c>
      <c r="S40" s="13"/>
      <c r="T40" s="13"/>
      <c r="U40" s="25">
        <f>SUM(E40:P40)+R40-38</f>
        <v>140</v>
      </c>
      <c r="V40" s="26">
        <f>+(U40*1)/D40</f>
        <v>0.5957446808510638</v>
      </c>
      <c r="W40" s="64"/>
    </row>
    <row r="41" spans="1:23" s="8" customFormat="1" ht="34.5" customHeight="1" thickBot="1">
      <c r="A41" s="86" t="s">
        <v>22</v>
      </c>
      <c r="B41" s="41"/>
      <c r="C41" s="37"/>
      <c r="D41" s="38"/>
      <c r="E41" s="88"/>
      <c r="F41" s="39"/>
      <c r="G41" s="39"/>
      <c r="H41" s="39"/>
      <c r="I41" s="39"/>
      <c r="J41" s="39"/>
      <c r="K41" s="38"/>
      <c r="L41" s="39"/>
      <c r="M41" s="38"/>
      <c r="N41" s="38"/>
      <c r="O41" s="38"/>
      <c r="P41" s="38"/>
      <c r="Q41" s="38"/>
      <c r="R41" s="39"/>
      <c r="S41" s="119">
        <v>15139213</v>
      </c>
      <c r="T41" s="119">
        <v>1864331</v>
      </c>
      <c r="U41" s="126">
        <v>17160000</v>
      </c>
      <c r="V41" s="42"/>
      <c r="W41" s="173">
        <v>1.13</v>
      </c>
    </row>
    <row r="42" spans="1:23" s="8" customFormat="1" ht="90">
      <c r="A42" s="57" t="s">
        <v>69</v>
      </c>
      <c r="B42" s="69">
        <v>12</v>
      </c>
      <c r="C42" s="59" t="s">
        <v>18</v>
      </c>
      <c r="D42" s="95">
        <v>8029</v>
      </c>
      <c r="E42" s="52">
        <v>0</v>
      </c>
      <c r="F42" s="52">
        <v>1554</v>
      </c>
      <c r="G42" s="52">
        <f>6+768+201</f>
        <v>975</v>
      </c>
      <c r="H42" s="52">
        <f>1167+172</f>
        <v>1339</v>
      </c>
      <c r="I42" s="52">
        <f>824+61</f>
        <v>885</v>
      </c>
      <c r="J42" s="52">
        <f>213+45</f>
        <v>258</v>
      </c>
      <c r="K42" s="52">
        <v>0</v>
      </c>
      <c r="L42" s="52">
        <f>2122+1674</f>
        <v>3796</v>
      </c>
      <c r="M42" s="52"/>
      <c r="N42" s="52"/>
      <c r="O42" s="52"/>
      <c r="P42" s="52"/>
      <c r="Q42" s="73">
        <v>10527</v>
      </c>
      <c r="R42" s="52">
        <f>1300+420</f>
        <v>1720</v>
      </c>
      <c r="S42" s="52"/>
      <c r="T42" s="52"/>
      <c r="U42" s="73">
        <f>SUM(E42:P42)+R42</f>
        <v>10527</v>
      </c>
      <c r="V42" s="67">
        <f aca="true" t="shared" si="0" ref="V42:V49">+(U42*1)/D42</f>
        <v>1.311122182089924</v>
      </c>
      <c r="W42" s="63"/>
    </row>
    <row r="43" spans="1:23" s="8" customFormat="1" ht="22.5">
      <c r="A43" s="35" t="s">
        <v>23</v>
      </c>
      <c r="B43" s="70">
        <v>13</v>
      </c>
      <c r="C43" s="10" t="s">
        <v>18</v>
      </c>
      <c r="D43" s="96">
        <v>18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9</v>
      </c>
      <c r="K43" s="12">
        <v>0</v>
      </c>
      <c r="L43" s="12">
        <v>0</v>
      </c>
      <c r="M43" s="12"/>
      <c r="N43" s="12"/>
      <c r="O43" s="12"/>
      <c r="P43" s="12"/>
      <c r="Q43" s="25">
        <v>18</v>
      </c>
      <c r="R43" s="12">
        <v>4</v>
      </c>
      <c r="S43" s="12"/>
      <c r="T43" s="12"/>
      <c r="U43" s="25">
        <f>SUM(E43:P43)+R43</f>
        <v>13</v>
      </c>
      <c r="V43" s="23">
        <f t="shared" si="0"/>
        <v>0.7222222222222222</v>
      </c>
      <c r="W43" s="24"/>
    </row>
    <row r="44" spans="1:23" s="8" customFormat="1" ht="22.5">
      <c r="A44" s="35" t="s">
        <v>24</v>
      </c>
      <c r="B44" s="70">
        <v>14</v>
      </c>
      <c r="C44" s="10" t="s">
        <v>18</v>
      </c>
      <c r="D44" s="96">
        <v>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/>
      <c r="N44" s="12"/>
      <c r="O44" s="12"/>
      <c r="P44" s="12"/>
      <c r="Q44" s="25">
        <v>1</v>
      </c>
      <c r="R44" s="12">
        <v>0</v>
      </c>
      <c r="S44" s="12"/>
      <c r="T44" s="12"/>
      <c r="U44" s="25">
        <f>SUM(E44:P44)+R44</f>
        <v>0</v>
      </c>
      <c r="V44" s="23">
        <f t="shared" si="0"/>
        <v>0</v>
      </c>
      <c r="W44" s="24"/>
    </row>
    <row r="45" spans="1:23" s="7" customFormat="1" ht="45" customHeight="1">
      <c r="A45" s="35" t="s">
        <v>25</v>
      </c>
      <c r="B45" s="70">
        <v>15</v>
      </c>
      <c r="C45" s="10" t="s">
        <v>18</v>
      </c>
      <c r="D45" s="96">
        <v>396</v>
      </c>
      <c r="E45" s="12">
        <v>0</v>
      </c>
      <c r="F45" s="12">
        <v>37</v>
      </c>
      <c r="G45" s="12">
        <f>3+52+34</f>
        <v>89</v>
      </c>
      <c r="H45" s="12">
        <f>15+62+8</f>
        <v>85</v>
      </c>
      <c r="I45" s="12">
        <v>0</v>
      </c>
      <c r="J45" s="12">
        <f>13+23+21</f>
        <v>57</v>
      </c>
      <c r="K45" s="12">
        <v>3</v>
      </c>
      <c r="L45" s="12">
        <v>96</v>
      </c>
      <c r="M45" s="12"/>
      <c r="N45" s="12"/>
      <c r="O45" s="12"/>
      <c r="P45" s="12"/>
      <c r="Q45" s="25">
        <v>434</v>
      </c>
      <c r="R45" s="12">
        <f>37+30</f>
        <v>67</v>
      </c>
      <c r="S45" s="12"/>
      <c r="T45" s="12"/>
      <c r="U45" s="25">
        <f>SUM(E45:P45)+R45</f>
        <v>434</v>
      </c>
      <c r="V45" s="23">
        <f t="shared" si="0"/>
        <v>1.095959595959596</v>
      </c>
      <c r="W45" s="24"/>
    </row>
    <row r="46" spans="1:23" s="7" customFormat="1" ht="34.5" customHeight="1">
      <c r="A46" s="35" t="s">
        <v>26</v>
      </c>
      <c r="B46" s="70">
        <v>16</v>
      </c>
      <c r="C46" s="10" t="s">
        <v>18</v>
      </c>
      <c r="D46" s="96">
        <v>3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1</v>
      </c>
      <c r="K46" s="12">
        <v>0</v>
      </c>
      <c r="L46" s="12">
        <v>0</v>
      </c>
      <c r="M46" s="12"/>
      <c r="N46" s="12"/>
      <c r="O46" s="12"/>
      <c r="P46" s="12"/>
      <c r="Q46" s="25">
        <v>3</v>
      </c>
      <c r="R46" s="12">
        <v>2</v>
      </c>
      <c r="S46" s="12"/>
      <c r="T46" s="12"/>
      <c r="U46" s="25">
        <f>SUM(E46:P46)+R46</f>
        <v>3</v>
      </c>
      <c r="V46" s="23">
        <f t="shared" si="0"/>
        <v>1</v>
      </c>
      <c r="W46" s="24"/>
    </row>
    <row r="47" spans="1:23" s="7" customFormat="1" ht="57.75" customHeight="1">
      <c r="A47" s="35" t="s">
        <v>70</v>
      </c>
      <c r="B47" s="70">
        <v>17</v>
      </c>
      <c r="C47" s="10" t="s">
        <v>18</v>
      </c>
      <c r="D47" s="96">
        <v>390</v>
      </c>
      <c r="E47" s="12">
        <v>53</v>
      </c>
      <c r="F47" s="12">
        <f>31+21</f>
        <v>52</v>
      </c>
      <c r="G47" s="12">
        <v>55</v>
      </c>
      <c r="H47" s="12">
        <v>40</v>
      </c>
      <c r="I47" s="12">
        <f>22+16</f>
        <v>38</v>
      </c>
      <c r="J47" s="12">
        <f>26+32</f>
        <v>58</v>
      </c>
      <c r="K47" s="12">
        <v>0</v>
      </c>
      <c r="L47" s="12">
        <v>32</v>
      </c>
      <c r="M47" s="12"/>
      <c r="N47" s="12"/>
      <c r="O47" s="12"/>
      <c r="P47" s="12"/>
      <c r="Q47" s="25">
        <v>390</v>
      </c>
      <c r="R47" s="25">
        <v>38</v>
      </c>
      <c r="S47" s="12"/>
      <c r="T47" s="12"/>
      <c r="U47" s="25">
        <f>SUM(E47:P47)+R47-10</f>
        <v>356</v>
      </c>
      <c r="V47" s="23">
        <f t="shared" si="0"/>
        <v>0.9128205128205128</v>
      </c>
      <c r="W47" s="24"/>
    </row>
    <row r="48" spans="1:23" s="7" customFormat="1" ht="22.5">
      <c r="A48" s="35" t="s">
        <v>27</v>
      </c>
      <c r="B48" s="70">
        <v>18</v>
      </c>
      <c r="C48" s="10" t="s">
        <v>15</v>
      </c>
      <c r="D48" s="96">
        <v>1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/>
      <c r="N48" s="12"/>
      <c r="O48" s="12"/>
      <c r="P48" s="12"/>
      <c r="Q48" s="25">
        <v>1</v>
      </c>
      <c r="R48" s="12">
        <v>1</v>
      </c>
      <c r="S48" s="12"/>
      <c r="T48" s="12"/>
      <c r="U48" s="25">
        <f>SUM(E48:P48)+R48</f>
        <v>1</v>
      </c>
      <c r="V48" s="23">
        <f t="shared" si="0"/>
        <v>1</v>
      </c>
      <c r="W48" s="23"/>
    </row>
    <row r="49" spans="1:23" s="7" customFormat="1" ht="32.25" customHeight="1" thickBot="1">
      <c r="A49" s="36" t="s">
        <v>28</v>
      </c>
      <c r="B49" s="71">
        <v>19</v>
      </c>
      <c r="C49" s="90" t="s">
        <v>18</v>
      </c>
      <c r="D49" s="98">
        <v>3</v>
      </c>
      <c r="E49" s="13">
        <v>0</v>
      </c>
      <c r="F49" s="89">
        <v>0</v>
      </c>
      <c r="G49" s="89">
        <v>0</v>
      </c>
      <c r="H49" s="89">
        <v>1</v>
      </c>
      <c r="I49" s="89">
        <v>0</v>
      </c>
      <c r="J49" s="89">
        <v>0</v>
      </c>
      <c r="K49" s="89">
        <v>0</v>
      </c>
      <c r="L49" s="89">
        <v>0</v>
      </c>
      <c r="M49" s="89"/>
      <c r="N49" s="89"/>
      <c r="O49" s="89"/>
      <c r="P49" s="89"/>
      <c r="Q49" s="103">
        <v>3</v>
      </c>
      <c r="R49" s="89">
        <v>1</v>
      </c>
      <c r="S49" s="13"/>
      <c r="T49" s="13"/>
      <c r="U49" s="25">
        <f>SUM(E49:P49)+R49</f>
        <v>2</v>
      </c>
      <c r="V49" s="68">
        <f t="shared" si="0"/>
        <v>0.6666666666666666</v>
      </c>
      <c r="W49" s="64"/>
    </row>
    <row r="50" spans="1:23" s="7" customFormat="1" ht="36.75" customHeight="1" thickBot="1">
      <c r="A50" s="66" t="s">
        <v>29</v>
      </c>
      <c r="B50" s="41"/>
      <c r="C50" s="37"/>
      <c r="D50" s="38"/>
      <c r="E50" s="88"/>
      <c r="F50" s="88"/>
      <c r="G50" s="39"/>
      <c r="H50" s="39"/>
      <c r="I50" s="39"/>
      <c r="J50" s="39"/>
      <c r="K50" s="38"/>
      <c r="L50" s="39"/>
      <c r="M50" s="38"/>
      <c r="N50" s="38"/>
      <c r="O50" s="38"/>
      <c r="P50" s="38"/>
      <c r="Q50" s="38"/>
      <c r="R50" s="39"/>
      <c r="S50" s="119">
        <v>19797432</v>
      </c>
      <c r="T50" s="119">
        <v>2437971</v>
      </c>
      <c r="U50" s="126">
        <v>22440000</v>
      </c>
      <c r="V50" s="40"/>
      <c r="W50" s="173">
        <v>1.13</v>
      </c>
    </row>
    <row r="51" spans="1:23" s="7" customFormat="1" ht="67.5" customHeight="1">
      <c r="A51" s="57" t="s">
        <v>83</v>
      </c>
      <c r="B51" s="72">
        <v>20</v>
      </c>
      <c r="C51" s="91" t="s">
        <v>18</v>
      </c>
      <c r="D51" s="104">
        <v>52</v>
      </c>
      <c r="E51" s="52">
        <f>1+1</f>
        <v>2</v>
      </c>
      <c r="F51" s="92">
        <v>6</v>
      </c>
      <c r="G51" s="92">
        <f>3+1+1+1+1+2</f>
        <v>9</v>
      </c>
      <c r="H51" s="92">
        <v>2</v>
      </c>
      <c r="I51" s="92">
        <f>3+3+1+5</f>
        <v>12</v>
      </c>
      <c r="J51" s="92">
        <f>4+3+2</f>
        <v>9</v>
      </c>
      <c r="K51" s="92">
        <v>2</v>
      </c>
      <c r="L51" s="92">
        <v>1</v>
      </c>
      <c r="M51" s="93"/>
      <c r="N51" s="93"/>
      <c r="O51" s="93"/>
      <c r="P51" s="93"/>
      <c r="Q51" s="93">
        <v>52</v>
      </c>
      <c r="R51" s="92">
        <f>5+3+3</f>
        <v>11</v>
      </c>
      <c r="S51" s="73"/>
      <c r="T51" s="73"/>
      <c r="U51" s="73">
        <f>SUM(E51:P51)+R51-5</f>
        <v>49</v>
      </c>
      <c r="V51" s="74">
        <f>+(U51*1)/D51</f>
        <v>0.9423076923076923</v>
      </c>
      <c r="W51" s="75"/>
    </row>
    <row r="52" spans="1:23" s="7" customFormat="1" ht="22.5">
      <c r="A52" s="35" t="s">
        <v>30</v>
      </c>
      <c r="B52" s="76">
        <v>21</v>
      </c>
      <c r="C52" s="77" t="s">
        <v>18</v>
      </c>
      <c r="D52" s="96">
        <v>1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25"/>
      <c r="N52" s="25"/>
      <c r="O52" s="25"/>
      <c r="P52" s="25"/>
      <c r="Q52" s="25">
        <v>1</v>
      </c>
      <c r="R52" s="12">
        <v>1</v>
      </c>
      <c r="S52" s="12"/>
      <c r="T52" s="12"/>
      <c r="U52" s="25">
        <f>SUM(E52:P52)+R52</f>
        <v>1</v>
      </c>
      <c r="V52" s="78">
        <f>+(U52*1)/D52</f>
        <v>1</v>
      </c>
      <c r="W52" s="78"/>
    </row>
    <row r="53" spans="1:23" s="7" customFormat="1" ht="36" customHeight="1" thickBot="1">
      <c r="A53" s="36" t="s">
        <v>63</v>
      </c>
      <c r="B53" s="79">
        <v>22</v>
      </c>
      <c r="C53" s="102" t="s">
        <v>18</v>
      </c>
      <c r="D53" s="98">
        <v>94</v>
      </c>
      <c r="E53" s="13">
        <v>0</v>
      </c>
      <c r="F53" s="89">
        <v>9</v>
      </c>
      <c r="G53" s="89">
        <f>8</f>
        <v>8</v>
      </c>
      <c r="H53" s="89">
        <f>7+4</f>
        <v>11</v>
      </c>
      <c r="I53" s="89">
        <f>9+4</f>
        <v>13</v>
      </c>
      <c r="J53" s="89">
        <v>13</v>
      </c>
      <c r="K53" s="89">
        <v>4</v>
      </c>
      <c r="L53" s="89">
        <v>16</v>
      </c>
      <c r="M53" s="103"/>
      <c r="N53" s="103"/>
      <c r="O53" s="103"/>
      <c r="P53" s="103"/>
      <c r="Q53" s="103">
        <v>94</v>
      </c>
      <c r="R53" s="89">
        <f>8+9</f>
        <v>17</v>
      </c>
      <c r="S53" s="43"/>
      <c r="T53" s="43"/>
      <c r="U53" s="43">
        <f>SUM(E53:P53)+R53+5</f>
        <v>96</v>
      </c>
      <c r="V53" s="80">
        <f>+(U53*1)/D53</f>
        <v>1.0212765957446808</v>
      </c>
      <c r="W53" s="81"/>
    </row>
    <row r="54" spans="1:23" s="7" customFormat="1" ht="25.5" customHeight="1" thickBot="1">
      <c r="A54" s="66" t="s">
        <v>32</v>
      </c>
      <c r="B54" s="41"/>
      <c r="C54" s="174"/>
      <c r="D54" s="38"/>
      <c r="E54" s="88"/>
      <c r="F54" s="88"/>
      <c r="G54" s="39"/>
      <c r="H54" s="39"/>
      <c r="I54" s="39"/>
      <c r="J54" s="39"/>
      <c r="K54" s="38"/>
      <c r="L54" s="39"/>
      <c r="M54" s="38"/>
      <c r="N54" s="38"/>
      <c r="O54" s="38"/>
      <c r="P54" s="38"/>
      <c r="Q54" s="38"/>
      <c r="R54" s="39"/>
      <c r="S54" s="119">
        <v>8151884</v>
      </c>
      <c r="T54" s="119">
        <v>1003871</v>
      </c>
      <c r="U54" s="126">
        <v>9240000</v>
      </c>
      <c r="V54" s="40"/>
      <c r="W54" s="173">
        <v>1.13</v>
      </c>
    </row>
    <row r="55" spans="1:23" s="7" customFormat="1" ht="33.75">
      <c r="A55" s="82" t="s">
        <v>33</v>
      </c>
      <c r="B55" s="69">
        <v>23</v>
      </c>
      <c r="C55" s="94" t="s">
        <v>18</v>
      </c>
      <c r="D55" s="104">
        <v>1</v>
      </c>
      <c r="E55" s="5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1</v>
      </c>
      <c r="M55" s="92"/>
      <c r="N55" s="92"/>
      <c r="O55" s="92"/>
      <c r="P55" s="92"/>
      <c r="Q55" s="93">
        <v>1</v>
      </c>
      <c r="R55" s="92">
        <v>0</v>
      </c>
      <c r="S55" s="52"/>
      <c r="T55" s="52"/>
      <c r="U55" s="73">
        <f>SUM(E55:P55)+R55</f>
        <v>1</v>
      </c>
      <c r="V55" s="53">
        <f>+(U55*1)/D55</f>
        <v>1</v>
      </c>
      <c r="W55" s="63"/>
    </row>
    <row r="56" spans="1:23" s="7" customFormat="1" ht="57.75" customHeight="1">
      <c r="A56" s="83" t="s">
        <v>64</v>
      </c>
      <c r="B56" s="70">
        <v>24</v>
      </c>
      <c r="C56" s="10" t="s">
        <v>31</v>
      </c>
      <c r="D56" s="96">
        <v>308</v>
      </c>
      <c r="E56" s="12">
        <v>61</v>
      </c>
      <c r="F56" s="12">
        <v>0</v>
      </c>
      <c r="G56" s="12">
        <v>97</v>
      </c>
      <c r="H56" s="12">
        <v>0</v>
      </c>
      <c r="I56" s="12">
        <v>0</v>
      </c>
      <c r="J56" s="12">
        <v>0</v>
      </c>
      <c r="K56" s="12">
        <v>30</v>
      </c>
      <c r="L56" s="12">
        <v>0</v>
      </c>
      <c r="M56" s="12"/>
      <c r="N56" s="12"/>
      <c r="O56" s="12"/>
      <c r="P56" s="12"/>
      <c r="Q56" s="25">
        <v>308</v>
      </c>
      <c r="R56" s="25">
        <v>120</v>
      </c>
      <c r="S56" s="12"/>
      <c r="T56" s="12"/>
      <c r="U56" s="25">
        <f>SUM(E56:P56)+R56</f>
        <v>308</v>
      </c>
      <c r="V56" s="21">
        <f>+(U56*1)/D56</f>
        <v>1</v>
      </c>
      <c r="W56" s="24"/>
    </row>
    <row r="57" spans="1:23" s="7" customFormat="1" ht="37.5" customHeight="1">
      <c r="A57" s="84" t="s">
        <v>34</v>
      </c>
      <c r="B57" s="70">
        <v>25</v>
      </c>
      <c r="C57" s="10" t="s">
        <v>31</v>
      </c>
      <c r="D57" s="96">
        <v>37</v>
      </c>
      <c r="E57" s="12">
        <v>5</v>
      </c>
      <c r="F57" s="12">
        <v>5</v>
      </c>
      <c r="G57" s="12">
        <v>5</v>
      </c>
      <c r="H57" s="12">
        <v>5</v>
      </c>
      <c r="I57" s="12">
        <v>4</v>
      </c>
      <c r="J57" s="12">
        <v>4</v>
      </c>
      <c r="K57" s="12">
        <v>0</v>
      </c>
      <c r="L57" s="12">
        <v>0</v>
      </c>
      <c r="M57" s="12"/>
      <c r="N57" s="12"/>
      <c r="O57" s="12"/>
      <c r="P57" s="12"/>
      <c r="Q57" s="25">
        <v>37</v>
      </c>
      <c r="R57" s="12">
        <v>8</v>
      </c>
      <c r="S57" s="12"/>
      <c r="T57" s="12"/>
      <c r="U57" s="25">
        <f>SUM(E57:P57)+R57</f>
        <v>36</v>
      </c>
      <c r="V57" s="21">
        <f>+(U57*1)/D57</f>
        <v>0.972972972972973</v>
      </c>
      <c r="W57" s="23"/>
    </row>
    <row r="58" spans="1:23" s="7" customFormat="1" ht="39.75" customHeight="1" thickBot="1">
      <c r="A58" s="85" t="s">
        <v>35</v>
      </c>
      <c r="B58" s="71">
        <v>26</v>
      </c>
      <c r="C58" s="61" t="s">
        <v>18</v>
      </c>
      <c r="D58" s="97">
        <v>127</v>
      </c>
      <c r="E58" s="13">
        <v>1</v>
      </c>
      <c r="F58" s="13">
        <v>14</v>
      </c>
      <c r="G58" s="13">
        <f>18+19</f>
        <v>37</v>
      </c>
      <c r="H58" s="13">
        <f>8+3</f>
        <v>11</v>
      </c>
      <c r="I58" s="13">
        <f>1+15+15+10</f>
        <v>41</v>
      </c>
      <c r="J58" s="13">
        <f>17+15+3</f>
        <v>35</v>
      </c>
      <c r="K58" s="13">
        <v>0</v>
      </c>
      <c r="L58" s="13">
        <f>11+14</f>
        <v>25</v>
      </c>
      <c r="M58" s="13"/>
      <c r="N58" s="13"/>
      <c r="O58" s="13"/>
      <c r="P58" s="13"/>
      <c r="Q58" s="43">
        <v>139</v>
      </c>
      <c r="R58" s="43">
        <v>7</v>
      </c>
      <c r="S58" s="13"/>
      <c r="T58" s="13"/>
      <c r="U58" s="13">
        <f>SUM(E58:P58)+R58</f>
        <v>171</v>
      </c>
      <c r="V58" s="26">
        <f>+(U58*1)/D58</f>
        <v>1.3464566929133859</v>
      </c>
      <c r="W58" s="64"/>
    </row>
    <row r="59" spans="1:23" s="7" customFormat="1" ht="29.25" customHeight="1" thickBot="1">
      <c r="A59" s="66" t="s">
        <v>36</v>
      </c>
      <c r="B59" s="41"/>
      <c r="C59" s="37"/>
      <c r="D59" s="38"/>
      <c r="E59" s="88"/>
      <c r="F59" s="39"/>
      <c r="G59" s="39"/>
      <c r="H59" s="39"/>
      <c r="I59" s="39"/>
      <c r="J59" s="39"/>
      <c r="K59" s="38"/>
      <c r="L59" s="39"/>
      <c r="M59" s="38"/>
      <c r="N59" s="38"/>
      <c r="O59" s="38"/>
      <c r="P59" s="38"/>
      <c r="Q59" s="38"/>
      <c r="R59" s="39"/>
      <c r="S59" s="119">
        <v>12810104</v>
      </c>
      <c r="T59" s="119">
        <v>1577511</v>
      </c>
      <c r="U59" s="126">
        <v>14520000</v>
      </c>
      <c r="V59" s="40"/>
      <c r="W59" s="173">
        <v>1.13</v>
      </c>
    </row>
    <row r="60" spans="1:23" s="7" customFormat="1" ht="29.25" customHeight="1">
      <c r="A60" s="57" t="s">
        <v>37</v>
      </c>
      <c r="B60" s="69">
        <v>27</v>
      </c>
      <c r="C60" s="59" t="s">
        <v>18</v>
      </c>
      <c r="D60" s="95">
        <v>2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1</v>
      </c>
      <c r="K60" s="52">
        <v>0</v>
      </c>
      <c r="L60" s="52">
        <v>0</v>
      </c>
      <c r="M60" s="52"/>
      <c r="N60" s="52"/>
      <c r="O60" s="52"/>
      <c r="P60" s="52"/>
      <c r="Q60" s="73">
        <v>2</v>
      </c>
      <c r="R60" s="52">
        <v>1</v>
      </c>
      <c r="S60" s="52"/>
      <c r="T60" s="52"/>
      <c r="U60" s="73">
        <f>SUM(E60:P60)+R60</f>
        <v>2</v>
      </c>
      <c r="V60" s="53">
        <f>+(U60*1)/D60</f>
        <v>1</v>
      </c>
      <c r="W60" s="54"/>
    </row>
    <row r="61" spans="1:34" s="7" customFormat="1" ht="24.75" customHeight="1" thickBot="1">
      <c r="A61" s="36" t="s">
        <v>84</v>
      </c>
      <c r="B61" s="71">
        <v>28</v>
      </c>
      <c r="C61" s="61" t="s">
        <v>18</v>
      </c>
      <c r="D61" s="13">
        <v>2</v>
      </c>
      <c r="E61" s="13">
        <f>+AB61</f>
        <v>0</v>
      </c>
      <c r="F61" s="13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3"/>
      <c r="N61" s="13"/>
      <c r="O61" s="13"/>
      <c r="P61" s="13"/>
      <c r="Q61" s="13">
        <v>2</v>
      </c>
      <c r="R61" s="112">
        <v>0</v>
      </c>
      <c r="S61" s="112"/>
      <c r="T61" s="112"/>
      <c r="U61" s="112">
        <v>0</v>
      </c>
      <c r="V61" s="26">
        <f>+(U61*1)/D61</f>
        <v>0</v>
      </c>
      <c r="W61" s="112"/>
      <c r="X61" s="113"/>
      <c r="Y61" s="113"/>
      <c r="Z61" s="113"/>
      <c r="AA61" s="113"/>
      <c r="AB61" s="114"/>
      <c r="AC61" s="113"/>
      <c r="AD61" s="113"/>
      <c r="AE61" s="113"/>
      <c r="AF61" s="114"/>
      <c r="AG61" s="115"/>
      <c r="AH61" s="116"/>
    </row>
    <row r="62" spans="1:34" s="7" customFormat="1" ht="10.5" customHeight="1">
      <c r="A62" s="129"/>
      <c r="B62" s="130"/>
      <c r="C62" s="131"/>
      <c r="D62" s="114"/>
      <c r="E62" s="114"/>
      <c r="F62" s="114"/>
      <c r="G62" s="132"/>
      <c r="H62" s="132"/>
      <c r="I62" s="132"/>
      <c r="J62" s="132"/>
      <c r="K62" s="114"/>
      <c r="L62" s="114"/>
      <c r="M62" s="114"/>
      <c r="N62" s="114"/>
      <c r="O62" s="114"/>
      <c r="P62" s="114"/>
      <c r="Q62" s="114"/>
      <c r="R62" s="132"/>
      <c r="S62" s="132"/>
      <c r="T62" s="132"/>
      <c r="U62" s="132"/>
      <c r="V62" s="115"/>
      <c r="W62" s="132"/>
      <c r="X62" s="113"/>
      <c r="Y62" s="113"/>
      <c r="Z62" s="113"/>
      <c r="AA62" s="113"/>
      <c r="AB62" s="114"/>
      <c r="AC62" s="113"/>
      <c r="AD62" s="113"/>
      <c r="AE62" s="113"/>
      <c r="AF62" s="114"/>
      <c r="AG62" s="115"/>
      <c r="AH62" s="116"/>
    </row>
    <row r="63" spans="1:34" s="7" customFormat="1" ht="24.75" customHeight="1" thickBot="1">
      <c r="A63" s="136" t="s">
        <v>85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3"/>
      <c r="S63" s="135"/>
      <c r="T63" s="135"/>
      <c r="U63" s="135"/>
      <c r="V63" s="134"/>
      <c r="W63" s="133"/>
      <c r="X63" s="113"/>
      <c r="Y63" s="113"/>
      <c r="Z63" s="113"/>
      <c r="AA63" s="113"/>
      <c r="AB63" s="114"/>
      <c r="AC63" s="113"/>
      <c r="AD63" s="113"/>
      <c r="AE63" s="113"/>
      <c r="AF63" s="114"/>
      <c r="AG63" s="115"/>
      <c r="AH63" s="116"/>
    </row>
    <row r="64" ht="13.5" thickTop="1"/>
  </sheetData>
  <sheetProtection/>
  <mergeCells count="18">
    <mergeCell ref="A11:W13"/>
    <mergeCell ref="A20:U20"/>
    <mergeCell ref="C22:C25"/>
    <mergeCell ref="B22:B25"/>
    <mergeCell ref="D22:D25"/>
    <mergeCell ref="Q22:Q25"/>
    <mergeCell ref="R24:R25"/>
    <mergeCell ref="R22:T23"/>
    <mergeCell ref="A63:Q63"/>
    <mergeCell ref="A1:W1"/>
    <mergeCell ref="A3:W3"/>
    <mergeCell ref="A4:W4"/>
    <mergeCell ref="U22:U25"/>
    <mergeCell ref="W22:W25"/>
    <mergeCell ref="A22:A25"/>
    <mergeCell ref="S24:T24"/>
    <mergeCell ref="V22:V25"/>
    <mergeCell ref="A7:W8"/>
  </mergeCells>
  <printOptions horizontalCentered="1"/>
  <pageMargins left="0.5905511811023623" right="0.5905511811023623" top="0.3937007874015748" bottom="0.89" header="0" footer="0.89"/>
  <pageSetup fitToHeight="80" fitToWidth="1" horizontalDpi="300" verticalDpi="300" orientation="portrait" scale="73" r:id="rId1"/>
  <headerFooter alignWithMargins="0">
    <oddFooter>&amp;L&amp;"Arial,Negrita"&amp;9Avance Preliminar del Presupuesto Anual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Claudia</cp:lastModifiedBy>
  <cp:lastPrinted>2014-10-10T17:29:22Z</cp:lastPrinted>
  <dcterms:created xsi:type="dcterms:W3CDTF">1999-04-27T18:26:38Z</dcterms:created>
  <dcterms:modified xsi:type="dcterms:W3CDTF">2014-11-24T22:11:49Z</dcterms:modified>
  <cp:category/>
  <cp:version/>
  <cp:contentType/>
  <cp:contentStatus/>
</cp:coreProperties>
</file>