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80" windowWidth="20550" windowHeight="4020" firstSheet="10" activeTab="11"/>
  </bookViews>
  <sheets>
    <sheet name="ETCA-I-01 (situación finnciera)" sheetId="2" r:id="rId1"/>
    <sheet name="ETCA-I-01-A (Resultados)" sheetId="1" r:id="rId2"/>
    <sheet name="ETCA-I-01-B (flujo de efectivo)" sheetId="4" r:id="rId3"/>
    <sheet name="ETCA-I-02EVHP" sheetId="3" r:id="rId4"/>
    <sheet name="ETCA -I-03 (cambiois)" sheetId="19" r:id="rId5"/>
    <sheet name="ETCA-I-04 (ISPC)" sheetId="14" r:id="rId6"/>
    <sheet name="ETCA-I-05 Notas" sheetId="13" r:id="rId7"/>
    <sheet name="ETCA-I-06 (EAA)" sheetId="6" r:id="rId8"/>
    <sheet name="ETCA-I-07 (EADyOP)" sheetId="7" r:id="rId9"/>
    <sheet name="ETCA-II-08 (EAI)" sheetId="8" r:id="rId10"/>
    <sheet name="ETCA-II-09 (EAEPEC)" sheetId="11" r:id="rId11"/>
    <sheet name="ETCA-II-09-A (EAEPEP)" sheetId="9" r:id="rId12"/>
    <sheet name="ETCA-II-10 (deuda Pública)" sheetId="16" r:id="rId13"/>
    <sheet name="ETCA-II-11 (intereses, comisio" sheetId="18" r:id="rId14"/>
    <sheet name="ETCA-III-13" sheetId="17" r:id="rId15"/>
    <sheet name="Lista LARDIN" sheetId="12" r:id="rId16"/>
    <sheet name="Lista CORUJO" sheetId="1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0" hidden="1">'ETCA-I-01 (situación finnciera)'!$A$1:$G$49</definedName>
    <definedName name="_xlnm._FilterDatabase" localSheetId="2" hidden="1">'ETCA-I-01-B (flujo de efectivo)'!$A$1:$D$48</definedName>
    <definedName name="_xlnm._FilterDatabase" localSheetId="14" hidden="1">'ETCA-III-13'!$A$10:$U$63</definedName>
    <definedName name="_ftn1" localSheetId="1">'ETCA-I-01-A (Resultados)'!#REF!</definedName>
    <definedName name="_ftnref1" localSheetId="1">'ETCA-I-01-A (Resultados)'!#REF!</definedName>
    <definedName name="_xlnm.Print_Area" localSheetId="4">'ETCA -I-03 (cambiois)'!$A$3:$C$64</definedName>
    <definedName name="_xlnm.Print_Area" localSheetId="0">'ETCA-I-01 (situación finnciera)'!$A$1:$G$55</definedName>
    <definedName name="_xlnm.Print_Area" localSheetId="1">'ETCA-I-01-A (Resultados)'!$A$1:$D$67</definedName>
    <definedName name="_xlnm.Print_Area" localSheetId="3">'ETCA-I-02EVHP'!$A$1:$F$35</definedName>
    <definedName name="_xlnm.Print_Area" localSheetId="7">'ETCA-I-06 (EAA)'!$A$1:$G$29</definedName>
    <definedName name="_xlnm.Print_Area" localSheetId="8">'ETCA-I-07 (EADyOP)'!$A$1:$G$42</definedName>
    <definedName name="_xlnm.Print_Area" localSheetId="10">'ETCA-II-09 (EAEPEC)'!$A$1:$J$18</definedName>
    <definedName name="_xlnm.Print_Area" localSheetId="11">'ETCA-II-09-A (EAEPEP)'!$A$1:$J$260</definedName>
    <definedName name="_xlnm.Print_Area" localSheetId="12">'ETCA-II-10 (deuda Pública)'!$A$1:$E$17</definedName>
    <definedName name="_xlnm.Print_Area" localSheetId="13">'ETCA-II-11 (intereses, comisio'!$A$1:$H$28</definedName>
    <definedName name="_xlnm.Print_Area" localSheetId="14">'ETCA-III-13'!$A$1:$U$63</definedName>
    <definedName name="_xlnm.Database" localSheetId="4">#REF!</definedName>
    <definedName name="_xlnm.Database" localSheetId="10">#REF!</definedName>
    <definedName name="_xlnm.Database" localSheetId="13">#REF!</definedName>
    <definedName name="_xlnm.Database" localSheetId="16">#REF!</definedName>
    <definedName name="_xlnm.Database">#REF!</definedName>
    <definedName name="_xlnm.Print_Titles" localSheetId="4">'ETCA -I-03 (cambiois)'!$2:$7</definedName>
    <definedName name="_xlnm.Print_Titles" localSheetId="1">'ETCA-I-01-A (Resultados)'!$2:$5</definedName>
    <definedName name="_xlnm.Print_Titles" localSheetId="11">'ETCA-II-09-A (EAEPEP)'!$7:$8</definedName>
    <definedName name="_xlnm.Print_Titles" localSheetId="14">'ETCA-III-13'!$1:$10</definedName>
  </definedNames>
  <calcPr calcId="144525"/>
</workbook>
</file>

<file path=xl/calcChain.xml><?xml version="1.0" encoding="utf-8"?>
<calcChain xmlns="http://schemas.openxmlformats.org/spreadsheetml/2006/main">
  <c r="H157" i="9" l="1"/>
  <c r="H116" i="9"/>
  <c r="H135" i="9"/>
  <c r="H200" i="9"/>
  <c r="H65" i="9"/>
  <c r="H64" i="9"/>
  <c r="H102" i="9"/>
  <c r="H182" i="9"/>
  <c r="H137" i="9"/>
  <c r="G130" i="9"/>
  <c r="H130" i="9"/>
  <c r="F141" i="9" l="1"/>
  <c r="F173" i="9"/>
  <c r="F157" i="9"/>
  <c r="I249" i="9" l="1"/>
  <c r="I248" i="9" s="1"/>
  <c r="I247" i="9"/>
  <c r="H247" i="9" s="1"/>
  <c r="I236" i="9"/>
  <c r="H236" i="9" s="1"/>
  <c r="I229" i="9"/>
  <c r="I228" i="9"/>
  <c r="I224" i="9"/>
  <c r="H224" i="9" s="1"/>
  <c r="G224" i="9" s="1"/>
  <c r="I222" i="9"/>
  <c r="I219" i="9"/>
  <c r="H219" i="9" s="1"/>
  <c r="I217" i="9"/>
  <c r="I216" i="9" s="1"/>
  <c r="I215" i="9"/>
  <c r="H215" i="9" s="1"/>
  <c r="G215" i="9" s="1"/>
  <c r="I209" i="9"/>
  <c r="I207" i="9"/>
  <c r="I205" i="9"/>
  <c r="I203" i="9" s="1"/>
  <c r="I204" i="9"/>
  <c r="H204" i="9" s="1"/>
  <c r="G204" i="9" s="1"/>
  <c r="F204" i="9" s="1"/>
  <c r="I202" i="9"/>
  <c r="H202" i="9" s="1"/>
  <c r="I200" i="9"/>
  <c r="I195" i="9"/>
  <c r="H195" i="9" s="1"/>
  <c r="I192" i="9"/>
  <c r="H192" i="9" s="1"/>
  <c r="G192" i="9" s="1"/>
  <c r="F192" i="9" s="1"/>
  <c r="F191" i="9" s="1"/>
  <c r="I190" i="9"/>
  <c r="I189" i="9" s="1"/>
  <c r="I188" i="9"/>
  <c r="I185" i="9"/>
  <c r="H185" i="9" s="1"/>
  <c r="G185" i="9" s="1"/>
  <c r="I182" i="9"/>
  <c r="I180" i="9"/>
  <c r="H180" i="9" s="1"/>
  <c r="G180" i="9" s="1"/>
  <c r="F180" i="9" s="1"/>
  <c r="I179" i="9"/>
  <c r="H179" i="9" s="1"/>
  <c r="G179" i="9" s="1"/>
  <c r="I178" i="9"/>
  <c r="H178" i="9" s="1"/>
  <c r="I175" i="9"/>
  <c r="H175" i="9" s="1"/>
  <c r="G175" i="9" s="1"/>
  <c r="I171" i="9"/>
  <c r="H171" i="9" s="1"/>
  <c r="I167" i="9"/>
  <c r="H167" i="9" s="1"/>
  <c r="I165" i="9"/>
  <c r="I164" i="9" s="1"/>
  <c r="I163" i="9"/>
  <c r="H163" i="9" s="1"/>
  <c r="I161" i="9"/>
  <c r="H161" i="9" s="1"/>
  <c r="I157" i="9"/>
  <c r="I156" i="9" s="1"/>
  <c r="I152" i="9"/>
  <c r="H152" i="9" s="1"/>
  <c r="I148" i="9"/>
  <c r="I146" i="9"/>
  <c r="I143" i="9"/>
  <c r="H143" i="9" s="1"/>
  <c r="H142" i="9" s="1"/>
  <c r="I141" i="9"/>
  <c r="H141" i="9" s="1"/>
  <c r="I139" i="9"/>
  <c r="H139" i="9" s="1"/>
  <c r="G139" i="9" s="1"/>
  <c r="G138" i="9" s="1"/>
  <c r="I137" i="9"/>
  <c r="I135" i="9"/>
  <c r="G135" i="9" s="1"/>
  <c r="F135" i="9" s="1"/>
  <c r="F134" i="9" s="1"/>
  <c r="I130" i="9"/>
  <c r="H258" i="9"/>
  <c r="G258" i="9" s="1"/>
  <c r="H256" i="9"/>
  <c r="G256" i="9" s="1"/>
  <c r="F256" i="9" s="1"/>
  <c r="H255" i="9"/>
  <c r="G255" i="9" s="1"/>
  <c r="F255" i="9" s="1"/>
  <c r="H254" i="9"/>
  <c r="G254" i="9" s="1"/>
  <c r="F254" i="9" s="1"/>
  <c r="H253" i="9"/>
  <c r="G253" i="9"/>
  <c r="F253" i="9"/>
  <c r="H252" i="9"/>
  <c r="G252" i="9" s="1"/>
  <c r="H243" i="9"/>
  <c r="G243" i="9"/>
  <c r="F243" i="9" s="1"/>
  <c r="H241" i="9"/>
  <c r="G241" i="9" s="1"/>
  <c r="F241" i="9" s="1"/>
  <c r="H238" i="9"/>
  <c r="G238" i="9"/>
  <c r="F238" i="9" s="1"/>
  <c r="F237" i="9" s="1"/>
  <c r="H234" i="9"/>
  <c r="H233" i="9" s="1"/>
  <c r="G234" i="9"/>
  <c r="F234" i="9" s="1"/>
  <c r="F233" i="9" s="1"/>
  <c r="H230" i="9"/>
  <c r="G230" i="9" s="1"/>
  <c r="F230" i="9" s="1"/>
  <c r="H229" i="9"/>
  <c r="G229" i="9" s="1"/>
  <c r="F229" i="9" s="1"/>
  <c r="H222" i="9"/>
  <c r="G222" i="9" s="1"/>
  <c r="H209" i="9"/>
  <c r="G209" i="9" s="1"/>
  <c r="H207" i="9"/>
  <c r="G207" i="9" s="1"/>
  <c r="H197" i="9"/>
  <c r="G197" i="9"/>
  <c r="F197" i="9" s="1"/>
  <c r="F196" i="9" s="1"/>
  <c r="H190" i="9"/>
  <c r="G190" i="9" s="1"/>
  <c r="H188" i="9"/>
  <c r="G188" i="9" s="1"/>
  <c r="H186" i="9"/>
  <c r="G186" i="9" s="1"/>
  <c r="F186" i="9" s="1"/>
  <c r="H183" i="9"/>
  <c r="G183" i="9" s="1"/>
  <c r="F183" i="9" s="1"/>
  <c r="H173" i="9"/>
  <c r="G173" i="9" s="1"/>
  <c r="H168" i="9"/>
  <c r="G168" i="9" s="1"/>
  <c r="F168" i="9" s="1"/>
  <c r="H159" i="9"/>
  <c r="G159" i="9" s="1"/>
  <c r="H154" i="9"/>
  <c r="G154" i="9" s="1"/>
  <c r="H150" i="9"/>
  <c r="G150" i="9" s="1"/>
  <c r="H148" i="9"/>
  <c r="G148" i="9" s="1"/>
  <c r="H146" i="9"/>
  <c r="G146" i="9" s="1"/>
  <c r="G137" i="9"/>
  <c r="H133" i="9"/>
  <c r="H132" i="9" s="1"/>
  <c r="G133" i="9"/>
  <c r="F133" i="9" s="1"/>
  <c r="F132" i="9" s="1"/>
  <c r="H131" i="9"/>
  <c r="G131" i="9" s="1"/>
  <c r="F131" i="9" s="1"/>
  <c r="I126" i="9"/>
  <c r="H126" i="9" s="1"/>
  <c r="G126" i="9" s="1"/>
  <c r="I122" i="9"/>
  <c r="H122" i="9" s="1"/>
  <c r="I118" i="9"/>
  <c r="I117" i="9" s="1"/>
  <c r="H124" i="9"/>
  <c r="G124" i="9" s="1"/>
  <c r="H120" i="9"/>
  <c r="G120" i="9"/>
  <c r="F120" i="9" s="1"/>
  <c r="F119" i="9" s="1"/>
  <c r="G116" i="9"/>
  <c r="H113" i="9"/>
  <c r="G113" i="9"/>
  <c r="G112" i="9" s="1"/>
  <c r="G111" i="9" s="1"/>
  <c r="I110" i="9"/>
  <c r="I109" i="9" s="1"/>
  <c r="I104" i="9" s="1"/>
  <c r="H108" i="9"/>
  <c r="G108" i="9" s="1"/>
  <c r="H106" i="9"/>
  <c r="G106" i="9"/>
  <c r="F106" i="9" s="1"/>
  <c r="F105" i="9" s="1"/>
  <c r="I103" i="9"/>
  <c r="H103" i="9" s="1"/>
  <c r="G103" i="9" s="1"/>
  <c r="I102" i="9"/>
  <c r="H99" i="9"/>
  <c r="G99" i="9" s="1"/>
  <c r="H97" i="9"/>
  <c r="G97" i="9"/>
  <c r="F97" i="9" s="1"/>
  <c r="F96" i="9" s="1"/>
  <c r="H95" i="9"/>
  <c r="G95" i="9"/>
  <c r="F95" i="9" s="1"/>
  <c r="F94" i="9" s="1"/>
  <c r="H93" i="9"/>
  <c r="G93" i="9" s="1"/>
  <c r="H91" i="9"/>
  <c r="G91" i="9" s="1"/>
  <c r="I88" i="9"/>
  <c r="H88" i="9" s="1"/>
  <c r="I84" i="9"/>
  <c r="H84" i="9" s="1"/>
  <c r="I82" i="9"/>
  <c r="H82" i="9" s="1"/>
  <c r="I78" i="9"/>
  <c r="I77" i="9" s="1"/>
  <c r="I76" i="9"/>
  <c r="H76" i="9" s="1"/>
  <c r="H86" i="9"/>
  <c r="H85" i="9" s="1"/>
  <c r="G86" i="9"/>
  <c r="F86" i="9" s="1"/>
  <c r="F85" i="9" s="1"/>
  <c r="H80" i="9"/>
  <c r="G80" i="9"/>
  <c r="F80" i="9" s="1"/>
  <c r="F79" i="9" s="1"/>
  <c r="H74" i="9"/>
  <c r="G74" i="9"/>
  <c r="F74" i="9" s="1"/>
  <c r="F73" i="9" s="1"/>
  <c r="H72" i="9"/>
  <c r="G72" i="9"/>
  <c r="F72" i="9" s="1"/>
  <c r="F71" i="9" s="1"/>
  <c r="H71" i="9"/>
  <c r="H73" i="9"/>
  <c r="H69" i="9"/>
  <c r="G69" i="9"/>
  <c r="F69" i="9" s="1"/>
  <c r="F68" i="9" s="1"/>
  <c r="F67" i="9" s="1"/>
  <c r="I66" i="9"/>
  <c r="I65" i="9"/>
  <c r="G65" i="9"/>
  <c r="F65" i="9" s="1"/>
  <c r="I64" i="9"/>
  <c r="H66" i="9"/>
  <c r="G66" i="9" s="1"/>
  <c r="F66" i="9" s="1"/>
  <c r="I61" i="9"/>
  <c r="H61" i="9" s="1"/>
  <c r="I59" i="9"/>
  <c r="H59" i="9" s="1"/>
  <c r="H57" i="9"/>
  <c r="G57" i="9"/>
  <c r="F57" i="9" s="1"/>
  <c r="F56" i="9" s="1"/>
  <c r="H55" i="9"/>
  <c r="G55" i="9"/>
  <c r="F55" i="9"/>
  <c r="F54" i="9" s="1"/>
  <c r="I53" i="9"/>
  <c r="H53" i="9" s="1"/>
  <c r="H52" i="9" s="1"/>
  <c r="I51" i="9"/>
  <c r="I50" i="9" s="1"/>
  <c r="I47" i="9"/>
  <c r="H47" i="9" s="1"/>
  <c r="I45" i="9"/>
  <c r="H45" i="9" s="1"/>
  <c r="I44" i="9"/>
  <c r="I41" i="9"/>
  <c r="I40" i="9" s="1"/>
  <c r="I37" i="9"/>
  <c r="H37" i="9" s="1"/>
  <c r="G37" i="9" s="1"/>
  <c r="I36" i="9"/>
  <c r="H36" i="9" s="1"/>
  <c r="G36" i="9" s="1"/>
  <c r="I35" i="9"/>
  <c r="H35" i="9" s="1"/>
  <c r="G35" i="9" s="1"/>
  <c r="I34" i="9"/>
  <c r="H34" i="9" s="1"/>
  <c r="G34" i="9" s="1"/>
  <c r="I33" i="9"/>
  <c r="H33" i="9" s="1"/>
  <c r="G33" i="9" s="1"/>
  <c r="I32" i="9"/>
  <c r="I31" i="9"/>
  <c r="I25" i="9"/>
  <c r="H25" i="9" s="1"/>
  <c r="I23" i="9"/>
  <c r="I22" i="9" s="1"/>
  <c r="I20" i="9"/>
  <c r="H20" i="9" s="1"/>
  <c r="I17" i="9"/>
  <c r="I16" i="9"/>
  <c r="H16" i="9" s="1"/>
  <c r="G16" i="9" s="1"/>
  <c r="I15" i="9"/>
  <c r="H15" i="9" s="1"/>
  <c r="G15" i="9" s="1"/>
  <c r="I14" i="9"/>
  <c r="H14" i="9" s="1"/>
  <c r="H44" i="9"/>
  <c r="G44" i="9" s="1"/>
  <c r="H41" i="9"/>
  <c r="G41" i="9" s="1"/>
  <c r="G40" i="9" s="1"/>
  <c r="H39" i="9"/>
  <c r="G39" i="9" s="1"/>
  <c r="G38" i="9" s="1"/>
  <c r="H31" i="9"/>
  <c r="G31" i="9" s="1"/>
  <c r="H28" i="9"/>
  <c r="G28" i="9"/>
  <c r="H27" i="9"/>
  <c r="G27" i="9" s="1"/>
  <c r="H26" i="9"/>
  <c r="G26" i="9"/>
  <c r="H17" i="9"/>
  <c r="G17" i="9" s="1"/>
  <c r="H13" i="9"/>
  <c r="G13" i="9"/>
  <c r="I13" i="9"/>
  <c r="J257" i="9"/>
  <c r="I257" i="9"/>
  <c r="E257" i="9"/>
  <c r="D257" i="9"/>
  <c r="C257" i="9"/>
  <c r="J251" i="9"/>
  <c r="I251" i="9"/>
  <c r="E251" i="9"/>
  <c r="D251" i="9"/>
  <c r="C251" i="9"/>
  <c r="J248" i="9"/>
  <c r="E248" i="9"/>
  <c r="D248" i="9"/>
  <c r="C248" i="9"/>
  <c r="J246" i="9"/>
  <c r="J245" i="9" s="1"/>
  <c r="J244" i="9" s="1"/>
  <c r="E246" i="9"/>
  <c r="D246" i="9"/>
  <c r="E245" i="9"/>
  <c r="E244" i="9" s="1"/>
  <c r="D245" i="9"/>
  <c r="D244" i="9"/>
  <c r="C246" i="9"/>
  <c r="C245" i="9"/>
  <c r="C244" i="9" s="1"/>
  <c r="J237" i="9"/>
  <c r="I237" i="9"/>
  <c r="H237" i="9"/>
  <c r="E237" i="9"/>
  <c r="E232" i="9" s="1"/>
  <c r="E231" i="9" s="1"/>
  <c r="D237" i="9"/>
  <c r="C237" i="9"/>
  <c r="J235" i="9"/>
  <c r="I235" i="9"/>
  <c r="I232" i="9" s="1"/>
  <c r="I231" i="9" s="1"/>
  <c r="E235" i="9"/>
  <c r="D235" i="9"/>
  <c r="C235" i="9"/>
  <c r="J233" i="9"/>
  <c r="I233" i="9"/>
  <c r="G233" i="9"/>
  <c r="E233" i="9"/>
  <c r="D233" i="9"/>
  <c r="C233" i="9"/>
  <c r="J232" i="9"/>
  <c r="J231" i="9" s="1"/>
  <c r="D232" i="9"/>
  <c r="D231" i="9" s="1"/>
  <c r="C232" i="9"/>
  <c r="C231" i="9"/>
  <c r="J227" i="9"/>
  <c r="E227" i="9"/>
  <c r="D227" i="9"/>
  <c r="C227" i="9"/>
  <c r="J226" i="9"/>
  <c r="J225" i="9" s="1"/>
  <c r="E226" i="9"/>
  <c r="E225" i="9" s="1"/>
  <c r="D226" i="9"/>
  <c r="D225" i="9" s="1"/>
  <c r="C226" i="9"/>
  <c r="C225" i="9" s="1"/>
  <c r="J223" i="9"/>
  <c r="E223" i="9"/>
  <c r="D223" i="9"/>
  <c r="C223" i="9"/>
  <c r="J221" i="9"/>
  <c r="I221" i="9"/>
  <c r="H221" i="9"/>
  <c r="E221" i="9"/>
  <c r="E220" i="9" s="1"/>
  <c r="D221" i="9"/>
  <c r="C221" i="9"/>
  <c r="J220" i="9"/>
  <c r="D220" i="9"/>
  <c r="C220" i="9"/>
  <c r="J218" i="9"/>
  <c r="E218" i="9"/>
  <c r="D218" i="9"/>
  <c r="C218" i="9"/>
  <c r="J216" i="9"/>
  <c r="E216" i="9"/>
  <c r="D216" i="9"/>
  <c r="D211" i="9" s="1"/>
  <c r="C216" i="9"/>
  <c r="J214" i="9"/>
  <c r="E214" i="9"/>
  <c r="E211" i="9" s="1"/>
  <c r="D214" i="9"/>
  <c r="C214" i="9"/>
  <c r="J212" i="9"/>
  <c r="I212" i="9"/>
  <c r="H212" i="9"/>
  <c r="G212" i="9"/>
  <c r="E212" i="9"/>
  <c r="D212" i="9"/>
  <c r="C212" i="9"/>
  <c r="F212" i="9"/>
  <c r="J211" i="9"/>
  <c r="C211" i="9"/>
  <c r="J208" i="9"/>
  <c r="J198" i="9" s="1"/>
  <c r="I208" i="9"/>
  <c r="H208" i="9"/>
  <c r="E208" i="9"/>
  <c r="D208" i="9"/>
  <c r="C208" i="9"/>
  <c r="C203" i="9"/>
  <c r="J203" i="9"/>
  <c r="E203" i="9"/>
  <c r="D203" i="9"/>
  <c r="J206" i="9"/>
  <c r="I206" i="9"/>
  <c r="E206" i="9"/>
  <c r="D206" i="9"/>
  <c r="C206" i="9"/>
  <c r="J201" i="9"/>
  <c r="I201" i="9"/>
  <c r="E201" i="9"/>
  <c r="D201" i="9"/>
  <c r="C201" i="9"/>
  <c r="J199" i="9"/>
  <c r="E199" i="9"/>
  <c r="D199" i="9"/>
  <c r="C199" i="9"/>
  <c r="J196" i="9"/>
  <c r="I196" i="9"/>
  <c r="H196" i="9"/>
  <c r="G196" i="9"/>
  <c r="E196" i="9"/>
  <c r="E193" i="9" s="1"/>
  <c r="D196" i="9"/>
  <c r="C196" i="9"/>
  <c r="J194" i="9"/>
  <c r="E194" i="9"/>
  <c r="D194" i="9"/>
  <c r="C194" i="9"/>
  <c r="J193" i="9"/>
  <c r="D193" i="9"/>
  <c r="C193" i="9"/>
  <c r="J191" i="9"/>
  <c r="I191" i="9"/>
  <c r="E191" i="9"/>
  <c r="D191" i="9"/>
  <c r="C191" i="9"/>
  <c r="J189" i="9"/>
  <c r="E189" i="9"/>
  <c r="D189" i="9"/>
  <c r="C189" i="9"/>
  <c r="J187" i="9"/>
  <c r="I187" i="9"/>
  <c r="H187" i="9"/>
  <c r="E187" i="9"/>
  <c r="D187" i="9"/>
  <c r="C187" i="9"/>
  <c r="J184" i="9"/>
  <c r="E184" i="9"/>
  <c r="D184" i="9"/>
  <c r="C184" i="9"/>
  <c r="J181" i="9"/>
  <c r="J176" i="9" s="1"/>
  <c r="E181" i="9"/>
  <c r="D181" i="9"/>
  <c r="C181" i="9"/>
  <c r="C176" i="9" s="1"/>
  <c r="E176" i="9"/>
  <c r="D176" i="9"/>
  <c r="J177" i="9"/>
  <c r="E177" i="9"/>
  <c r="D177" i="9"/>
  <c r="C177" i="9"/>
  <c r="J174" i="9"/>
  <c r="E174" i="9"/>
  <c r="D174" i="9"/>
  <c r="C174" i="9"/>
  <c r="J172" i="9"/>
  <c r="I172" i="9"/>
  <c r="H172" i="9"/>
  <c r="E172" i="9"/>
  <c r="D172" i="9"/>
  <c r="C172" i="9"/>
  <c r="J170" i="9"/>
  <c r="I170" i="9"/>
  <c r="E170" i="9"/>
  <c r="E169" i="9" s="1"/>
  <c r="D170" i="9"/>
  <c r="D169" i="9" s="1"/>
  <c r="C170" i="9"/>
  <c r="J169" i="9"/>
  <c r="C169" i="9"/>
  <c r="J166" i="9"/>
  <c r="E166" i="9"/>
  <c r="D166" i="9"/>
  <c r="C166" i="9"/>
  <c r="J164" i="9"/>
  <c r="E164" i="9"/>
  <c r="D164" i="9"/>
  <c r="C164" i="9"/>
  <c r="J162" i="9"/>
  <c r="E162" i="9"/>
  <c r="D162" i="9"/>
  <c r="C162" i="9"/>
  <c r="C155" i="9" s="1"/>
  <c r="J160" i="9"/>
  <c r="I160" i="9"/>
  <c r="E160" i="9"/>
  <c r="D160" i="9"/>
  <c r="C160" i="9"/>
  <c r="J158" i="9"/>
  <c r="I158" i="9"/>
  <c r="H158" i="9"/>
  <c r="E158" i="9"/>
  <c r="D158" i="9"/>
  <c r="C158" i="9"/>
  <c r="J156" i="9"/>
  <c r="E156" i="9"/>
  <c r="D156" i="9"/>
  <c r="C156" i="9"/>
  <c r="J155" i="9"/>
  <c r="J153" i="9"/>
  <c r="I153" i="9"/>
  <c r="H153" i="9"/>
  <c r="E153" i="9"/>
  <c r="D153" i="9"/>
  <c r="C153" i="9"/>
  <c r="J151" i="9"/>
  <c r="E151" i="9"/>
  <c r="D151" i="9"/>
  <c r="D144" i="9" s="1"/>
  <c r="C151" i="9"/>
  <c r="J149" i="9"/>
  <c r="I149" i="9"/>
  <c r="H149" i="9"/>
  <c r="E149" i="9"/>
  <c r="D149" i="9"/>
  <c r="C149" i="9"/>
  <c r="C144" i="9" s="1"/>
  <c r="J147" i="9"/>
  <c r="I147" i="9"/>
  <c r="E147" i="9"/>
  <c r="D147" i="9"/>
  <c r="C147" i="9"/>
  <c r="J145" i="9"/>
  <c r="I145" i="9"/>
  <c r="H145" i="9"/>
  <c r="E145" i="9"/>
  <c r="D145" i="9"/>
  <c r="C145" i="9"/>
  <c r="J144" i="9"/>
  <c r="J142" i="9"/>
  <c r="E142" i="9"/>
  <c r="D142" i="9"/>
  <c r="C142" i="9"/>
  <c r="J140" i="9"/>
  <c r="I140" i="9"/>
  <c r="E140" i="9"/>
  <c r="D140" i="9"/>
  <c r="C140" i="9"/>
  <c r="J138" i="9"/>
  <c r="I138" i="9"/>
  <c r="E138" i="9"/>
  <c r="D138" i="9"/>
  <c r="C138" i="9"/>
  <c r="J136" i="9"/>
  <c r="I136" i="9"/>
  <c r="E136" i="9"/>
  <c r="D136" i="9"/>
  <c r="C136" i="9"/>
  <c r="J134" i="9"/>
  <c r="E134" i="9"/>
  <c r="E128" i="9" s="1"/>
  <c r="D134" i="9"/>
  <c r="D128" i="9" s="1"/>
  <c r="C134" i="9"/>
  <c r="J132" i="9"/>
  <c r="I132" i="9"/>
  <c r="E132" i="9"/>
  <c r="D132" i="9"/>
  <c r="C132" i="9"/>
  <c r="J129" i="9"/>
  <c r="I129" i="9"/>
  <c r="E129" i="9"/>
  <c r="D129" i="9"/>
  <c r="C129" i="9"/>
  <c r="J128" i="9"/>
  <c r="C128" i="9"/>
  <c r="L127" i="9"/>
  <c r="C125" i="9"/>
  <c r="J125" i="9"/>
  <c r="E125" i="9"/>
  <c r="D125" i="9"/>
  <c r="J123" i="9"/>
  <c r="I123" i="9"/>
  <c r="E123" i="9"/>
  <c r="D123" i="9"/>
  <c r="C123" i="9"/>
  <c r="J121" i="9"/>
  <c r="E121" i="9"/>
  <c r="D121" i="9"/>
  <c r="C121" i="9"/>
  <c r="J119" i="9"/>
  <c r="I119" i="9"/>
  <c r="H119" i="9"/>
  <c r="G119" i="9"/>
  <c r="E119" i="9"/>
  <c r="E114" i="9" s="1"/>
  <c r="D119" i="9"/>
  <c r="C119" i="9"/>
  <c r="J117" i="9"/>
  <c r="E117" i="9"/>
  <c r="D117" i="9"/>
  <c r="C117" i="9"/>
  <c r="C114" i="9" s="1"/>
  <c r="J115" i="9"/>
  <c r="I115" i="9"/>
  <c r="H115" i="9"/>
  <c r="E115" i="9"/>
  <c r="D115" i="9"/>
  <c r="C115" i="9"/>
  <c r="J112" i="9"/>
  <c r="I112" i="9"/>
  <c r="H112" i="9"/>
  <c r="E112" i="9"/>
  <c r="E111" i="9" s="1"/>
  <c r="D112" i="9"/>
  <c r="C112" i="9"/>
  <c r="J111" i="9"/>
  <c r="I111" i="9"/>
  <c r="H111" i="9"/>
  <c r="D111" i="9"/>
  <c r="C111" i="9"/>
  <c r="J109" i="9"/>
  <c r="E109" i="9"/>
  <c r="D109" i="9"/>
  <c r="D104" i="9" s="1"/>
  <c r="C109" i="9"/>
  <c r="J107" i="9"/>
  <c r="I107" i="9"/>
  <c r="H107" i="9"/>
  <c r="E107" i="9"/>
  <c r="D107" i="9"/>
  <c r="C107" i="9"/>
  <c r="J105" i="9"/>
  <c r="I105" i="9"/>
  <c r="H105" i="9"/>
  <c r="G105" i="9"/>
  <c r="E105" i="9"/>
  <c r="E104" i="9" s="1"/>
  <c r="D105" i="9"/>
  <c r="C105" i="9"/>
  <c r="J104" i="9"/>
  <c r="J101" i="9"/>
  <c r="J100" i="9" s="1"/>
  <c r="E101" i="9"/>
  <c r="D101" i="9"/>
  <c r="C101" i="9"/>
  <c r="E100" i="9"/>
  <c r="D100" i="9"/>
  <c r="C100" i="9"/>
  <c r="C98" i="9"/>
  <c r="J98" i="9"/>
  <c r="J89" i="9" s="1"/>
  <c r="I98" i="9"/>
  <c r="H98" i="9"/>
  <c r="E98" i="9"/>
  <c r="D98" i="9"/>
  <c r="J96" i="9"/>
  <c r="I96" i="9"/>
  <c r="H96" i="9"/>
  <c r="E96" i="9"/>
  <c r="D96" i="9"/>
  <c r="C96" i="9"/>
  <c r="J94" i="9"/>
  <c r="I94" i="9"/>
  <c r="H94" i="9"/>
  <c r="G94" i="9"/>
  <c r="E94" i="9"/>
  <c r="D94" i="9"/>
  <c r="D89" i="9" s="1"/>
  <c r="C94" i="9"/>
  <c r="J92" i="9"/>
  <c r="I92" i="9"/>
  <c r="H92" i="9"/>
  <c r="E92" i="9"/>
  <c r="D92" i="9"/>
  <c r="C92" i="9"/>
  <c r="C89" i="9" s="1"/>
  <c r="J90" i="9"/>
  <c r="I90" i="9"/>
  <c r="E90" i="9"/>
  <c r="E89" i="9" s="1"/>
  <c r="D90" i="9"/>
  <c r="C90" i="9"/>
  <c r="I89" i="9"/>
  <c r="J87" i="9"/>
  <c r="I87" i="9"/>
  <c r="E87" i="9"/>
  <c r="D87" i="9"/>
  <c r="C87" i="9"/>
  <c r="J85" i="9"/>
  <c r="J70" i="9" s="1"/>
  <c r="I85" i="9"/>
  <c r="G85" i="9"/>
  <c r="E85" i="9"/>
  <c r="D85" i="9"/>
  <c r="C85" i="9"/>
  <c r="J83" i="9"/>
  <c r="I83" i="9"/>
  <c r="E83" i="9"/>
  <c r="D83" i="9"/>
  <c r="C83" i="9"/>
  <c r="J81" i="9"/>
  <c r="E81" i="9"/>
  <c r="D81" i="9"/>
  <c r="C81" i="9"/>
  <c r="J79" i="9"/>
  <c r="I79" i="9"/>
  <c r="H79" i="9"/>
  <c r="E79" i="9"/>
  <c r="D79" i="9"/>
  <c r="C79" i="9"/>
  <c r="J77" i="9"/>
  <c r="E77" i="9"/>
  <c r="D77" i="9"/>
  <c r="C77" i="9"/>
  <c r="J75" i="9"/>
  <c r="E75" i="9"/>
  <c r="D75" i="9"/>
  <c r="C75" i="9"/>
  <c r="J73" i="9"/>
  <c r="I73" i="9"/>
  <c r="E73" i="9"/>
  <c r="E70" i="9" s="1"/>
  <c r="D73" i="9"/>
  <c r="C73" i="9"/>
  <c r="J71" i="9"/>
  <c r="I71" i="9"/>
  <c r="E71" i="9"/>
  <c r="D71" i="9"/>
  <c r="C71" i="9"/>
  <c r="C70" i="9"/>
  <c r="E62" i="9"/>
  <c r="D62" i="9"/>
  <c r="C62" i="9"/>
  <c r="E63" i="9"/>
  <c r="D63" i="9"/>
  <c r="C63" i="9"/>
  <c r="E68" i="9"/>
  <c r="D68" i="9"/>
  <c r="C68" i="9"/>
  <c r="E67" i="9"/>
  <c r="D67" i="9"/>
  <c r="C67" i="9"/>
  <c r="J68" i="9"/>
  <c r="I68" i="9"/>
  <c r="H68" i="9"/>
  <c r="H67" i="9" s="1"/>
  <c r="G68" i="9"/>
  <c r="G67" i="9" s="1"/>
  <c r="J67" i="9"/>
  <c r="I67" i="9"/>
  <c r="J63" i="9"/>
  <c r="J62" i="9" s="1"/>
  <c r="E60" i="9"/>
  <c r="D60" i="9"/>
  <c r="C60" i="9"/>
  <c r="E58" i="9"/>
  <c r="D58" i="9"/>
  <c r="C58" i="9"/>
  <c r="E56" i="9"/>
  <c r="D56" i="9"/>
  <c r="C56" i="9"/>
  <c r="E54" i="9"/>
  <c r="D54" i="9"/>
  <c r="C54" i="9"/>
  <c r="E52" i="9"/>
  <c r="D52" i="9"/>
  <c r="C52" i="9"/>
  <c r="C49" i="9" s="1"/>
  <c r="E50" i="9"/>
  <c r="D50" i="9"/>
  <c r="C50" i="9"/>
  <c r="E49" i="9"/>
  <c r="F46" i="9"/>
  <c r="E46" i="9"/>
  <c r="D46" i="9"/>
  <c r="C46" i="9"/>
  <c r="C42" i="9" s="1"/>
  <c r="F43" i="9"/>
  <c r="E43" i="9"/>
  <c r="D43" i="9"/>
  <c r="C43" i="9"/>
  <c r="F42" i="9"/>
  <c r="E42" i="9"/>
  <c r="D42" i="9"/>
  <c r="F40" i="9"/>
  <c r="E40" i="9"/>
  <c r="D40" i="9"/>
  <c r="C40" i="9"/>
  <c r="C29" i="9" s="1"/>
  <c r="F38" i="9"/>
  <c r="E38" i="9"/>
  <c r="D38" i="9"/>
  <c r="D29" i="9" s="1"/>
  <c r="C38" i="9"/>
  <c r="F30" i="9"/>
  <c r="E30" i="9"/>
  <c r="D30" i="9"/>
  <c r="C30" i="9"/>
  <c r="F29" i="9"/>
  <c r="E29" i="9"/>
  <c r="F24" i="9"/>
  <c r="E24" i="9"/>
  <c r="D24" i="9"/>
  <c r="C24" i="9"/>
  <c r="F22" i="9"/>
  <c r="E22" i="9"/>
  <c r="D22" i="9"/>
  <c r="C22" i="9"/>
  <c r="F21" i="9"/>
  <c r="E21" i="9"/>
  <c r="D21" i="9"/>
  <c r="C21" i="9"/>
  <c r="F19" i="9"/>
  <c r="E19" i="9"/>
  <c r="D19" i="9"/>
  <c r="C19" i="9"/>
  <c r="F18" i="9"/>
  <c r="E18" i="9"/>
  <c r="D18" i="9"/>
  <c r="C18" i="9"/>
  <c r="F12" i="9"/>
  <c r="E12" i="9"/>
  <c r="D12" i="9"/>
  <c r="C12" i="9"/>
  <c r="C11" i="9" s="1"/>
  <c r="F11" i="9"/>
  <c r="E11" i="9"/>
  <c r="D11" i="9"/>
  <c r="J60" i="9"/>
  <c r="I60" i="9"/>
  <c r="J58" i="9"/>
  <c r="J56" i="9"/>
  <c r="I56" i="9"/>
  <c r="H56" i="9"/>
  <c r="G54" i="9"/>
  <c r="J54" i="9"/>
  <c r="I54" i="9"/>
  <c r="H54" i="9"/>
  <c r="J52" i="9"/>
  <c r="I52" i="9"/>
  <c r="J50" i="9"/>
  <c r="J46" i="9"/>
  <c r="I46" i="9"/>
  <c r="J43" i="9"/>
  <c r="J42" i="9" s="1"/>
  <c r="J40" i="9"/>
  <c r="J38" i="9"/>
  <c r="I38" i="9"/>
  <c r="J30" i="9"/>
  <c r="J29" i="9" s="1"/>
  <c r="J24" i="9"/>
  <c r="J21" i="9"/>
  <c r="J22" i="9"/>
  <c r="J19" i="9"/>
  <c r="J18" i="9"/>
  <c r="J10" i="9" s="1"/>
  <c r="J12" i="9"/>
  <c r="J11" i="9"/>
  <c r="I15" i="11"/>
  <c r="H15" i="11" s="1"/>
  <c r="G15" i="11" s="1"/>
  <c r="F15" i="11" s="1"/>
  <c r="I14" i="11"/>
  <c r="H14" i="11" s="1"/>
  <c r="G14" i="11" s="1"/>
  <c r="F14" i="11" s="1"/>
  <c r="H13" i="11"/>
  <c r="G13" i="11" s="1"/>
  <c r="F13" i="11" s="1"/>
  <c r="I12" i="11"/>
  <c r="H12" i="11" s="1"/>
  <c r="G12" i="11" s="1"/>
  <c r="F12" i="11" s="1"/>
  <c r="G11" i="11"/>
  <c r="F11" i="11"/>
  <c r="G10" i="11"/>
  <c r="F10" i="11" s="1"/>
  <c r="I11" i="11"/>
  <c r="I10" i="11"/>
  <c r="H10" i="11"/>
  <c r="C15" i="11"/>
  <c r="C14" i="11"/>
  <c r="C13" i="11"/>
  <c r="C12" i="11"/>
  <c r="C11" i="11"/>
  <c r="C10" i="11"/>
  <c r="C9" i="11"/>
  <c r="C37" i="8"/>
  <c r="G20" i="8"/>
  <c r="F20" i="8" s="1"/>
  <c r="C20" i="8"/>
  <c r="F209" i="9" l="1"/>
  <c r="F208" i="9" s="1"/>
  <c r="G208" i="9"/>
  <c r="I19" i="9"/>
  <c r="I18" i="9" s="1"/>
  <c r="J49" i="9"/>
  <c r="I151" i="9"/>
  <c r="I144" i="9" s="1"/>
  <c r="I174" i="9"/>
  <c r="I169" i="9" s="1"/>
  <c r="I223" i="9"/>
  <c r="I81" i="9"/>
  <c r="I101" i="9"/>
  <c r="I100" i="9" s="1"/>
  <c r="I142" i="9"/>
  <c r="H51" i="9"/>
  <c r="G51" i="9" s="1"/>
  <c r="H257" i="9"/>
  <c r="H251" i="9"/>
  <c r="H249" i="9"/>
  <c r="G249" i="9" s="1"/>
  <c r="G248" i="9" s="1"/>
  <c r="I246" i="9"/>
  <c r="I245" i="9" s="1"/>
  <c r="I244" i="9" s="1"/>
  <c r="H246" i="9"/>
  <c r="H245" i="9" s="1"/>
  <c r="H244" i="9" s="1"/>
  <c r="G247" i="9"/>
  <c r="G236" i="9"/>
  <c r="F236" i="9" s="1"/>
  <c r="F235" i="9" s="1"/>
  <c r="F232" i="9" s="1"/>
  <c r="F231" i="9" s="1"/>
  <c r="H235" i="9"/>
  <c r="H232" i="9" s="1"/>
  <c r="H231" i="9" s="1"/>
  <c r="I227" i="9"/>
  <c r="I226" i="9" s="1"/>
  <c r="I225" i="9" s="1"/>
  <c r="H228" i="9"/>
  <c r="G228" i="9" s="1"/>
  <c r="F228" i="9" s="1"/>
  <c r="F227" i="9" s="1"/>
  <c r="F226" i="9" s="1"/>
  <c r="F225" i="9" s="1"/>
  <c r="F224" i="9"/>
  <c r="F223" i="9" s="1"/>
  <c r="G223" i="9"/>
  <c r="H223" i="9"/>
  <c r="H220" i="9" s="1"/>
  <c r="I220" i="9"/>
  <c r="H218" i="9"/>
  <c r="G219" i="9"/>
  <c r="I218" i="9"/>
  <c r="H217" i="9"/>
  <c r="I214" i="9"/>
  <c r="I211" i="9" s="1"/>
  <c r="H211" i="9" s="1"/>
  <c r="G211" i="9" s="1"/>
  <c r="F211" i="9" s="1"/>
  <c r="H206" i="9"/>
  <c r="H205" i="9"/>
  <c r="G205" i="9" s="1"/>
  <c r="F205" i="9" s="1"/>
  <c r="H203" i="9"/>
  <c r="G202" i="9"/>
  <c r="F202" i="9" s="1"/>
  <c r="F201" i="9" s="1"/>
  <c r="H201" i="9"/>
  <c r="G200" i="9"/>
  <c r="F200" i="9" s="1"/>
  <c r="F199" i="9" s="1"/>
  <c r="H199" i="9"/>
  <c r="I199" i="9"/>
  <c r="I198" i="9" s="1"/>
  <c r="G195" i="9"/>
  <c r="F195" i="9" s="1"/>
  <c r="F194" i="9" s="1"/>
  <c r="F193" i="9" s="1"/>
  <c r="H194" i="9"/>
  <c r="H193" i="9" s="1"/>
  <c r="I194" i="9"/>
  <c r="I193" i="9" s="1"/>
  <c r="H191" i="9"/>
  <c r="H189" i="9"/>
  <c r="I184" i="9"/>
  <c r="G182" i="9"/>
  <c r="H181" i="9"/>
  <c r="I181" i="9"/>
  <c r="G178" i="9"/>
  <c r="F178" i="9" s="1"/>
  <c r="H177" i="9"/>
  <c r="I177" i="9"/>
  <c r="F175" i="9"/>
  <c r="F174" i="9" s="1"/>
  <c r="G174" i="9"/>
  <c r="H174" i="9"/>
  <c r="H170" i="9"/>
  <c r="G171" i="9"/>
  <c r="F171" i="9" s="1"/>
  <c r="F170" i="9" s="1"/>
  <c r="G167" i="9"/>
  <c r="F167" i="9" s="1"/>
  <c r="F166" i="9" s="1"/>
  <c r="H166" i="9"/>
  <c r="I166" i="9"/>
  <c r="H165" i="9"/>
  <c r="G165" i="9" s="1"/>
  <c r="G164" i="9" s="1"/>
  <c r="H164" i="9"/>
  <c r="I162" i="9"/>
  <c r="I155" i="9" s="1"/>
  <c r="G163" i="9"/>
  <c r="H162" i="9"/>
  <c r="G161" i="9"/>
  <c r="H160" i="9"/>
  <c r="G157" i="9"/>
  <c r="F156" i="9" s="1"/>
  <c r="G152" i="9"/>
  <c r="G151" i="9" s="1"/>
  <c r="H151" i="9"/>
  <c r="H147" i="9"/>
  <c r="G143" i="9"/>
  <c r="H140" i="9"/>
  <c r="G141" i="9"/>
  <c r="F140" i="9" s="1"/>
  <c r="H138" i="9"/>
  <c r="I134" i="9"/>
  <c r="H134" i="9"/>
  <c r="H129" i="9"/>
  <c r="G257" i="9"/>
  <c r="F258" i="9"/>
  <c r="F257" i="9" s="1"/>
  <c r="G251" i="9"/>
  <c r="F252" i="9"/>
  <c r="F251" i="9" s="1"/>
  <c r="G237" i="9"/>
  <c r="G227" i="9"/>
  <c r="G226" i="9" s="1"/>
  <c r="G225" i="9" s="1"/>
  <c r="F222" i="9"/>
  <c r="F221" i="9" s="1"/>
  <c r="G221" i="9"/>
  <c r="F215" i="9"/>
  <c r="F214" i="9" s="1"/>
  <c r="G214" i="9"/>
  <c r="H214" i="9"/>
  <c r="G206" i="9"/>
  <c r="F207" i="9"/>
  <c r="F206" i="9" s="1"/>
  <c r="F203" i="9"/>
  <c r="G194" i="9"/>
  <c r="G193" i="9" s="1"/>
  <c r="G191" i="9"/>
  <c r="F190" i="9"/>
  <c r="F189" i="9" s="1"/>
  <c r="G189" i="9"/>
  <c r="G187" i="9"/>
  <c r="F188" i="9"/>
  <c r="F187" i="9" s="1"/>
  <c r="F185" i="9"/>
  <c r="F184" i="9" s="1"/>
  <c r="G184" i="9"/>
  <c r="H184" i="9"/>
  <c r="F179" i="9"/>
  <c r="G177" i="9"/>
  <c r="G172" i="9"/>
  <c r="F172" i="9"/>
  <c r="G170" i="9"/>
  <c r="G169" i="9" s="1"/>
  <c r="F164" i="9"/>
  <c r="G158" i="9"/>
  <c r="F159" i="9"/>
  <c r="F158" i="9" s="1"/>
  <c r="G153" i="9"/>
  <c r="F154" i="9"/>
  <c r="F153" i="9" s="1"/>
  <c r="F152" i="9"/>
  <c r="F151" i="9" s="1"/>
  <c r="F150" i="9"/>
  <c r="F149" i="9" s="1"/>
  <c r="G149" i="9"/>
  <c r="G147" i="9"/>
  <c r="F148" i="9"/>
  <c r="F147" i="9" s="1"/>
  <c r="G145" i="9"/>
  <c r="F146" i="9"/>
  <c r="F145" i="9" s="1"/>
  <c r="G140" i="9"/>
  <c r="F139" i="9"/>
  <c r="F138" i="9" s="1"/>
  <c r="F137" i="9"/>
  <c r="F136" i="9" s="1"/>
  <c r="G136" i="9"/>
  <c r="H136" i="9"/>
  <c r="G134" i="9"/>
  <c r="G132" i="9"/>
  <c r="G129" i="9"/>
  <c r="F130" i="9"/>
  <c r="F129" i="9" s="1"/>
  <c r="I125" i="9"/>
  <c r="G122" i="9"/>
  <c r="G121" i="9" s="1"/>
  <c r="H121" i="9"/>
  <c r="I121" i="9"/>
  <c r="I114" i="9" s="1"/>
  <c r="H118" i="9"/>
  <c r="F126" i="9"/>
  <c r="F125" i="9" s="1"/>
  <c r="G125" i="9"/>
  <c r="H125" i="9"/>
  <c r="G123" i="9"/>
  <c r="F124" i="9"/>
  <c r="F123" i="9" s="1"/>
  <c r="H123" i="9"/>
  <c r="F122" i="9"/>
  <c r="F121" i="9" s="1"/>
  <c r="F116" i="9"/>
  <c r="F115" i="9" s="1"/>
  <c r="G115" i="9"/>
  <c r="F113" i="9"/>
  <c r="F112" i="9" s="1"/>
  <c r="F111" i="9" s="1"/>
  <c r="H110" i="9"/>
  <c r="H109" i="9" s="1"/>
  <c r="H104" i="9" s="1"/>
  <c r="G107" i="9"/>
  <c r="F108" i="9"/>
  <c r="F107" i="9" s="1"/>
  <c r="H101" i="9"/>
  <c r="H100" i="9" s="1"/>
  <c r="G102" i="9"/>
  <c r="F102" i="9" s="1"/>
  <c r="F103" i="9"/>
  <c r="F99" i="9"/>
  <c r="F98" i="9" s="1"/>
  <c r="G98" i="9"/>
  <c r="G96" i="9"/>
  <c r="G92" i="9"/>
  <c r="F93" i="9"/>
  <c r="F92" i="9" s="1"/>
  <c r="F91" i="9"/>
  <c r="F90" i="9" s="1"/>
  <c r="G90" i="9"/>
  <c r="G89" i="9" s="1"/>
  <c r="H90" i="9"/>
  <c r="H89" i="9"/>
  <c r="H87" i="9"/>
  <c r="G88" i="9"/>
  <c r="F88" i="9" s="1"/>
  <c r="F87" i="9" s="1"/>
  <c r="G84" i="9"/>
  <c r="H83" i="9"/>
  <c r="H81" i="9"/>
  <c r="G82" i="9"/>
  <c r="F82" i="9" s="1"/>
  <c r="F81" i="9" s="1"/>
  <c r="H78" i="9"/>
  <c r="G78" i="9" s="1"/>
  <c r="G77" i="9" s="1"/>
  <c r="F78" i="9"/>
  <c r="F77" i="9" s="1"/>
  <c r="G76" i="9"/>
  <c r="H75" i="9"/>
  <c r="I75" i="9"/>
  <c r="I70" i="9" s="1"/>
  <c r="G79" i="9"/>
  <c r="G73" i="9"/>
  <c r="G71" i="9"/>
  <c r="I63" i="9"/>
  <c r="I62" i="9" s="1"/>
  <c r="G61" i="9"/>
  <c r="G60" i="9" s="1"/>
  <c r="H60" i="9"/>
  <c r="H58" i="9"/>
  <c r="H49" i="9" s="1"/>
  <c r="G59" i="9"/>
  <c r="I58" i="9"/>
  <c r="G56" i="9"/>
  <c r="G53" i="9"/>
  <c r="G50" i="9"/>
  <c r="F51" i="9"/>
  <c r="F50" i="9" s="1"/>
  <c r="H50" i="9"/>
  <c r="I49" i="9"/>
  <c r="H46" i="9"/>
  <c r="G47" i="9"/>
  <c r="G46" i="9" s="1"/>
  <c r="I43" i="9"/>
  <c r="I42" i="9" s="1"/>
  <c r="G45" i="9"/>
  <c r="G43" i="9" s="1"/>
  <c r="G42" i="9" s="1"/>
  <c r="H43" i="9"/>
  <c r="H40" i="9"/>
  <c r="I30" i="9"/>
  <c r="I29" i="9" s="1"/>
  <c r="H32" i="9"/>
  <c r="G32" i="9" s="1"/>
  <c r="G30" i="9" s="1"/>
  <c r="G29" i="9" s="1"/>
  <c r="I24" i="9"/>
  <c r="I21" i="9" s="1"/>
  <c r="G25" i="9"/>
  <c r="G24" i="9" s="1"/>
  <c r="H24" i="9"/>
  <c r="H23" i="9"/>
  <c r="G20" i="9"/>
  <c r="G19" i="9" s="1"/>
  <c r="H19" i="9"/>
  <c r="H18" i="9" s="1"/>
  <c r="G14" i="9"/>
  <c r="G12" i="9" s="1"/>
  <c r="G11" i="9" s="1"/>
  <c r="H12" i="9"/>
  <c r="H11" i="9" s="1"/>
  <c r="I12" i="9"/>
  <c r="I11" i="9" s="1"/>
  <c r="H38" i="9"/>
  <c r="D198" i="9"/>
  <c r="H198" i="9"/>
  <c r="C198" i="9"/>
  <c r="C127" i="9" s="1"/>
  <c r="E198" i="9"/>
  <c r="D155" i="9"/>
  <c r="D127" i="9" s="1"/>
  <c r="E155" i="9"/>
  <c r="E144" i="9"/>
  <c r="J127" i="9"/>
  <c r="J114" i="9"/>
  <c r="J48" i="9" s="1"/>
  <c r="D114" i="9"/>
  <c r="C104" i="9"/>
  <c r="D70" i="9"/>
  <c r="D49" i="9"/>
  <c r="H42" i="9"/>
  <c r="C11" i="8"/>
  <c r="H169" i="9" l="1"/>
  <c r="F101" i="9"/>
  <c r="F100" i="9" s="1"/>
  <c r="G166" i="9"/>
  <c r="H144" i="9"/>
  <c r="I128" i="9"/>
  <c r="F220" i="9"/>
  <c r="H248" i="9"/>
  <c r="F249" i="9"/>
  <c r="F248" i="9" s="1"/>
  <c r="F247" i="9"/>
  <c r="F246" i="9" s="1"/>
  <c r="F245" i="9" s="1"/>
  <c r="F244" i="9" s="1"/>
  <c r="G246" i="9"/>
  <c r="G245" i="9" s="1"/>
  <c r="G244" i="9" s="1"/>
  <c r="G235" i="9"/>
  <c r="H227" i="9"/>
  <c r="H226" i="9" s="1"/>
  <c r="H225" i="9" s="1"/>
  <c r="G220" i="9"/>
  <c r="G218" i="9"/>
  <c r="F219" i="9"/>
  <c r="F218" i="9" s="1"/>
  <c r="G217" i="9"/>
  <c r="H216" i="9"/>
  <c r="G203" i="9"/>
  <c r="G201" i="9"/>
  <c r="F198" i="9"/>
  <c r="G199" i="9"/>
  <c r="I176" i="9"/>
  <c r="I127" i="9" s="1"/>
  <c r="H176" i="9"/>
  <c r="F182" i="9"/>
  <c r="F181" i="9" s="1"/>
  <c r="G181" i="9"/>
  <c r="G176" i="9" s="1"/>
  <c r="F177" i="9"/>
  <c r="F169" i="9"/>
  <c r="F163" i="9"/>
  <c r="F162" i="9" s="1"/>
  <c r="G162" i="9"/>
  <c r="F161" i="9"/>
  <c r="F160" i="9" s="1"/>
  <c r="F155" i="9" s="1"/>
  <c r="G160" i="9"/>
  <c r="G156" i="9"/>
  <c r="H156" i="9"/>
  <c r="H155" i="9" s="1"/>
  <c r="F144" i="9"/>
  <c r="G142" i="9"/>
  <c r="F143" i="9"/>
  <c r="F142" i="9" s="1"/>
  <c r="F128" i="9" s="1"/>
  <c r="G128" i="9"/>
  <c r="H128" i="9"/>
  <c r="G232" i="9"/>
  <c r="G231" i="9" s="1"/>
  <c r="G144" i="9"/>
  <c r="H117" i="9"/>
  <c r="H114" i="9" s="1"/>
  <c r="G118" i="9"/>
  <c r="G110" i="9"/>
  <c r="G109" i="9" s="1"/>
  <c r="G104" i="9" s="1"/>
  <c r="F110" i="9"/>
  <c r="F109" i="9" s="1"/>
  <c r="F104" i="9" s="1"/>
  <c r="G101" i="9"/>
  <c r="G100" i="9" s="1"/>
  <c r="F89" i="9"/>
  <c r="G87" i="9"/>
  <c r="F84" i="9"/>
  <c r="F83" i="9" s="1"/>
  <c r="G83" i="9"/>
  <c r="G81" i="9"/>
  <c r="H77" i="9"/>
  <c r="H70" i="9" s="1"/>
  <c r="F76" i="9"/>
  <c r="F75" i="9" s="1"/>
  <c r="F70" i="9" s="1"/>
  <c r="G75" i="9"/>
  <c r="I48" i="9"/>
  <c r="G64" i="9"/>
  <c r="H63" i="9"/>
  <c r="H62" i="9" s="1"/>
  <c r="F61" i="9"/>
  <c r="F60" i="9" s="1"/>
  <c r="F59" i="9"/>
  <c r="F58" i="9" s="1"/>
  <c r="G58" i="9"/>
  <c r="F53" i="9"/>
  <c r="F52" i="9" s="1"/>
  <c r="G52" i="9"/>
  <c r="H30" i="9"/>
  <c r="H29" i="9" s="1"/>
  <c r="I10" i="9"/>
  <c r="G23" i="9"/>
  <c r="G22" i="9" s="1"/>
  <c r="G21" i="9" s="1"/>
  <c r="H22" i="9"/>
  <c r="H21" i="9" s="1"/>
  <c r="E127" i="9"/>
  <c r="G155" i="9" l="1"/>
  <c r="G216" i="9"/>
  <c r="F217" i="9"/>
  <c r="F216" i="9" s="1"/>
  <c r="G198" i="9"/>
  <c r="F176" i="9"/>
  <c r="H127" i="9"/>
  <c r="F118" i="9"/>
  <c r="F117" i="9" s="1"/>
  <c r="F114" i="9" s="1"/>
  <c r="G117" i="9"/>
  <c r="G114" i="9" s="1"/>
  <c r="G70" i="9"/>
  <c r="H48" i="9"/>
  <c r="G63" i="9"/>
  <c r="G62" i="9" s="1"/>
  <c r="F64" i="9"/>
  <c r="F63" i="9" s="1"/>
  <c r="F62" i="9" s="1"/>
  <c r="G49" i="9"/>
  <c r="F49" i="9"/>
  <c r="H10" i="9"/>
  <c r="G127" i="9" l="1"/>
  <c r="G48" i="9"/>
  <c r="G11" i="8" l="1"/>
  <c r="F11" i="8" l="1"/>
  <c r="F37" i="8" s="1"/>
  <c r="G37" i="8"/>
  <c r="E11" i="8"/>
  <c r="G37" i="7" l="1"/>
  <c r="E37" i="7"/>
  <c r="J21" i="6"/>
  <c r="I21" i="6"/>
  <c r="J7" i="6"/>
  <c r="I7" i="6"/>
  <c r="J20" i="6"/>
  <c r="I20" i="6"/>
  <c r="J6" i="6"/>
  <c r="I6" i="6"/>
  <c r="J19" i="6"/>
  <c r="I19" i="6"/>
  <c r="J5" i="6"/>
  <c r="I5" i="6"/>
  <c r="J17" i="6"/>
  <c r="I17" i="6"/>
  <c r="J18" i="6"/>
  <c r="I18" i="6"/>
  <c r="J4" i="6"/>
  <c r="I4" i="6"/>
  <c r="J3" i="6"/>
  <c r="I3" i="6"/>
  <c r="D23" i="6"/>
  <c r="C26" i="6" l="1"/>
  <c r="C23" i="6" l="1"/>
  <c r="F23" i="6" s="1"/>
  <c r="G23" i="6" s="1"/>
  <c r="C22" i="6"/>
  <c r="J16" i="6" l="1"/>
  <c r="J28" i="6" s="1"/>
  <c r="E12" i="6" s="1"/>
  <c r="I16" i="6"/>
  <c r="I28" i="6" s="1"/>
  <c r="D12" i="6" s="1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J2" i="6"/>
  <c r="J14" i="6" s="1"/>
  <c r="E11" i="6" s="1"/>
  <c r="I2" i="6"/>
  <c r="I14" i="6" s="1"/>
  <c r="D11" i="6" s="1"/>
  <c r="C12" i="6"/>
  <c r="C11" i="6"/>
  <c r="F49" i="19"/>
  <c r="E49" i="19"/>
  <c r="F34" i="19"/>
  <c r="E34" i="19"/>
  <c r="F19" i="19"/>
  <c r="E19" i="19"/>
  <c r="F4" i="19"/>
  <c r="E4" i="19"/>
  <c r="F48" i="19"/>
  <c r="E48" i="19"/>
  <c r="F33" i="19"/>
  <c r="E33" i="19"/>
  <c r="F3" i="19"/>
  <c r="E3" i="19"/>
  <c r="F17" i="19"/>
  <c r="E17" i="19"/>
  <c r="F22" i="19"/>
  <c r="E22" i="19"/>
  <c r="F21" i="19"/>
  <c r="E21" i="19"/>
  <c r="F20" i="19"/>
  <c r="E20" i="19"/>
  <c r="F47" i="19"/>
  <c r="E47" i="19"/>
  <c r="F32" i="19"/>
  <c r="E32" i="19"/>
  <c r="E16" i="19"/>
  <c r="F16" i="19"/>
  <c r="F2" i="19"/>
  <c r="E2" i="19"/>
  <c r="G58" i="19"/>
  <c r="G57" i="19"/>
  <c r="G56" i="19"/>
  <c r="G55" i="19"/>
  <c r="G53" i="19"/>
  <c r="G52" i="19"/>
  <c r="G51" i="19"/>
  <c r="G50" i="19"/>
  <c r="G48" i="19"/>
  <c r="G47" i="19"/>
  <c r="D28" i="19"/>
  <c r="G44" i="19"/>
  <c r="G59" i="19" s="1"/>
  <c r="G43" i="19"/>
  <c r="G42" i="19"/>
  <c r="G41" i="19"/>
  <c r="G39" i="19"/>
  <c r="G38" i="19"/>
  <c r="G37" i="19"/>
  <c r="G36" i="19"/>
  <c r="G35" i="19"/>
  <c r="G33" i="19"/>
  <c r="G32" i="19"/>
  <c r="G28" i="19"/>
  <c r="G27" i="19"/>
  <c r="G26" i="19"/>
  <c r="G25" i="19"/>
  <c r="G24" i="19"/>
  <c r="G23" i="19"/>
  <c r="G22" i="19"/>
  <c r="G21" i="19"/>
  <c r="G20" i="19"/>
  <c r="G19" i="19"/>
  <c r="G34" i="19" s="1"/>
  <c r="G49" i="19" s="1"/>
  <c r="G17" i="19"/>
  <c r="G16" i="19"/>
  <c r="F7" i="19"/>
  <c r="E7" i="19"/>
  <c r="F6" i="19"/>
  <c r="E6" i="19"/>
  <c r="F5" i="19"/>
  <c r="E5" i="19"/>
  <c r="B56" i="19"/>
  <c r="B51" i="19"/>
  <c r="B26" i="19"/>
  <c r="B22" i="19"/>
  <c r="F11" i="6" l="1"/>
  <c r="G11" i="6" s="1"/>
  <c r="D10" i="6"/>
  <c r="F30" i="19"/>
  <c r="E30" i="19"/>
  <c r="F14" i="19"/>
  <c r="E14" i="19"/>
  <c r="B57" i="19"/>
  <c r="C11" i="19" l="1"/>
  <c r="B23" i="19"/>
  <c r="F52" i="19" l="1"/>
  <c r="E52" i="19"/>
  <c r="F37" i="19"/>
  <c r="E37" i="19"/>
  <c r="F51" i="19"/>
  <c r="E51" i="19"/>
  <c r="F36" i="19"/>
  <c r="E36" i="19"/>
  <c r="F50" i="19"/>
  <c r="F60" i="19" s="1"/>
  <c r="B37" i="19" s="1"/>
  <c r="E50" i="19"/>
  <c r="E60" i="19" s="1"/>
  <c r="F35" i="19"/>
  <c r="F45" i="19" s="1"/>
  <c r="E35" i="19"/>
  <c r="E45" i="19" s="1"/>
  <c r="C33" i="19" s="1"/>
  <c r="D57" i="19" l="1"/>
  <c r="D58" i="19" s="1"/>
  <c r="B12" i="19" l="1"/>
  <c r="E65" i="19" l="1"/>
  <c r="D65" i="19"/>
  <c r="F65" i="19" l="1"/>
  <c r="B34" i="3"/>
  <c r="C34" i="3"/>
  <c r="D29" i="3"/>
  <c r="D34" i="3" s="1"/>
  <c r="C29" i="3"/>
  <c r="D21" i="3" s="1"/>
  <c r="D10" i="3"/>
  <c r="C10" i="3"/>
  <c r="B10" i="3"/>
  <c r="C28" i="4"/>
  <c r="C18" i="4"/>
  <c r="C27" i="4"/>
  <c r="C26" i="4"/>
  <c r="C17" i="4"/>
  <c r="C16" i="4"/>
  <c r="C13" i="4"/>
  <c r="C14" i="4"/>
  <c r="E33" i="4"/>
  <c r="B18" i="2" l="1"/>
  <c r="J260" i="9" l="1"/>
  <c r="I260" i="9"/>
  <c r="H260" i="9"/>
  <c r="E260" i="9"/>
  <c r="D260" i="9"/>
  <c r="C260" i="9"/>
  <c r="I18" i="11"/>
  <c r="H18" i="11"/>
  <c r="G18" i="11"/>
  <c r="F18" i="11"/>
  <c r="D18" i="11"/>
  <c r="C18" i="11"/>
  <c r="J13" i="11"/>
  <c r="E15" i="11"/>
  <c r="J15" i="11" s="1"/>
  <c r="E14" i="11"/>
  <c r="J14" i="11" s="1"/>
  <c r="E13" i="11"/>
  <c r="E12" i="11"/>
  <c r="J12" i="11" s="1"/>
  <c r="E11" i="11"/>
  <c r="J11" i="11" s="1"/>
  <c r="E10" i="11"/>
  <c r="J10" i="11" s="1"/>
  <c r="E9" i="11"/>
  <c r="I37" i="8"/>
  <c r="I43" i="8" s="1"/>
  <c r="G43" i="8"/>
  <c r="H43" i="8" s="1"/>
  <c r="F43" i="8"/>
  <c r="D43" i="8"/>
  <c r="C43" i="8"/>
  <c r="G22" i="8"/>
  <c r="H22" i="8" s="1"/>
  <c r="F22" i="8"/>
  <c r="D22" i="8"/>
  <c r="C22" i="8"/>
  <c r="E40" i="8"/>
  <c r="E39" i="8"/>
  <c r="E38" i="8"/>
  <c r="H37" i="8"/>
  <c r="E37" i="8"/>
  <c r="E43" i="8" s="1"/>
  <c r="H20" i="8"/>
  <c r="H11" i="8"/>
  <c r="E20" i="8"/>
  <c r="I20" i="8"/>
  <c r="I11" i="8"/>
  <c r="E22" i="8"/>
  <c r="G41" i="7"/>
  <c r="F41" i="7"/>
  <c r="F22" i="6"/>
  <c r="G22" i="6" s="1"/>
  <c r="E10" i="6"/>
  <c r="F28" i="6"/>
  <c r="F27" i="6"/>
  <c r="F26" i="6"/>
  <c r="G26" i="6" s="1"/>
  <c r="F25" i="6"/>
  <c r="F24" i="6"/>
  <c r="F21" i="6"/>
  <c r="G21" i="6" s="1"/>
  <c r="F20" i="6"/>
  <c r="F17" i="6"/>
  <c r="F16" i="6"/>
  <c r="G16" i="6" s="1"/>
  <c r="F15" i="6"/>
  <c r="G15" i="6" s="1"/>
  <c r="F14" i="6"/>
  <c r="F13" i="6"/>
  <c r="G13" i="6" s="1"/>
  <c r="F12" i="6"/>
  <c r="G12" i="6" s="1"/>
  <c r="C10" i="6"/>
  <c r="E19" i="6"/>
  <c r="D19" i="6"/>
  <c r="D8" i="6" s="1"/>
  <c r="G28" i="6"/>
  <c r="G27" i="6"/>
  <c r="G25" i="6"/>
  <c r="G24" i="6"/>
  <c r="G20" i="6"/>
  <c r="G17" i="6"/>
  <c r="G14" i="6"/>
  <c r="F29" i="3"/>
  <c r="F34" i="3"/>
  <c r="F28" i="3"/>
  <c r="F23" i="3"/>
  <c r="F21" i="3"/>
  <c r="F16" i="3"/>
  <c r="F10" i="3"/>
  <c r="F9" i="4"/>
  <c r="E9" i="4"/>
  <c r="C31" i="4"/>
  <c r="C20" i="4"/>
  <c r="D22" i="4" s="1"/>
  <c r="E18" i="11" l="1"/>
  <c r="J9" i="11"/>
  <c r="J18" i="11" s="1"/>
  <c r="I22" i="8"/>
  <c r="G10" i="6"/>
  <c r="E8" i="6"/>
  <c r="C19" i="6"/>
  <c r="C8" i="6" s="1"/>
  <c r="F19" i="6"/>
  <c r="G19" i="6"/>
  <c r="D33" i="4"/>
  <c r="F33" i="4" s="1"/>
  <c r="G8" i="6" l="1"/>
  <c r="F10" i="6"/>
  <c r="F8" i="6" s="1"/>
  <c r="D64" i="1" l="1"/>
  <c r="C64" i="1"/>
  <c r="D27" i="1"/>
  <c r="C27" i="1"/>
  <c r="G54" i="2"/>
  <c r="G52" i="2"/>
  <c r="F52" i="2"/>
  <c r="G35" i="2"/>
  <c r="G18" i="2"/>
  <c r="F18" i="2"/>
  <c r="F35" i="2" s="1"/>
  <c r="C35" i="2"/>
  <c r="C33" i="2"/>
  <c r="B33" i="2"/>
  <c r="B35" i="2" s="1"/>
  <c r="C26" i="2"/>
  <c r="C24" i="2"/>
  <c r="B24" i="2"/>
  <c r="C18" i="2"/>
  <c r="F54" i="2" l="1"/>
  <c r="G18" i="9"/>
  <c r="G10" i="9" s="1"/>
  <c r="G260" i="9" s="1"/>
  <c r="F127" i="9"/>
  <c r="F260" i="9" s="1"/>
</calcChain>
</file>

<file path=xl/comments1.xml><?xml version="1.0" encoding="utf-8"?>
<comments xmlns="http://schemas.openxmlformats.org/spreadsheetml/2006/main">
  <authors>
    <author>Ramón Octavio Montaño Figueroa</author>
  </authors>
  <commentList>
    <comment ref="B21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diferido</t>
        </r>
      </text>
    </comment>
    <comment ref="B24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terrenos + 
edificios</t>
        </r>
      </text>
    </comment>
  </commentList>
</comments>
</file>

<file path=xl/comments2.xml><?xml version="1.0" encoding="utf-8"?>
<comments xmlns="http://schemas.openxmlformats.org/spreadsheetml/2006/main">
  <authors>
    <author>Ramón Octavio Montaño Figueroa</author>
  </authors>
  <commentList>
    <comment ref="C17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Proyectos y convenios públicos + 
Otros ingresos</t>
        </r>
      </text>
    </comment>
    <comment ref="C29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??????</t>
        </r>
      </text>
    </comment>
  </commentList>
</comments>
</file>

<file path=xl/comments3.xml><?xml version="1.0" encoding="utf-8"?>
<comments xmlns="http://schemas.openxmlformats.org/spreadsheetml/2006/main">
  <authors>
    <author>Ramón Octavio Montaño Figueroa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Cargo - abono
EFECTIVO Y EQUIVALENTES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Suma inicio Deudores + cargo - abono
DEUDORES DIVERSOS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Terrenos + 
edificios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Terrenos + 
edificios</t>
        </r>
      </text>
    </comment>
    <comment ref="B23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Bienes muebles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Bienes muebles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Diferido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Diferido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saldo en DEUDORES DIVERSOS del año anterior</t>
        </r>
      </text>
    </comment>
    <comment ref="C33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cargo - abono ACREEDORES DIVERSOS  - DEDUCCIONES EN NÓMINA
</t>
        </r>
      </text>
    </comment>
    <comment ref="B37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cargo y abono
DEDUCCIONES EN NÓMINA + IMPUESTOS</t>
        </r>
      </text>
    </comment>
    <comment ref="B51" authorId="0">
      <text>
        <r>
          <rPr>
            <b/>
            <sz val="9"/>
            <color indexed="81"/>
            <rFont val="Tahoma"/>
            <charset val="1"/>
          </rPr>
          <t xml:space="preserve">Ramón Octavio Montaño Figueroa:
</t>
        </r>
        <r>
          <rPr>
            <sz val="9"/>
            <color indexed="81"/>
            <rFont val="Tahoma"/>
            <family val="2"/>
          </rPr>
          <t>Aportaciones</t>
        </r>
        <r>
          <rPr>
            <sz val="9"/>
            <color indexed="81"/>
            <rFont val="Tahoma"/>
            <charset val="1"/>
          </rPr>
          <t xml:space="preserve"> en el balance general del mes en curso</t>
        </r>
      </text>
    </comment>
    <comment ref="B56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del ejercicio</t>
        </r>
      </text>
    </comment>
    <comment ref="B57" authorId="0">
      <text>
        <r>
          <rPr>
            <b/>
            <sz val="9"/>
            <color indexed="81"/>
            <rFont val="Tahoma"/>
            <charset val="1"/>
          </rPr>
          <t>Ramón Octavio Montaño Figueroa:</t>
        </r>
        <r>
          <rPr>
            <sz val="9"/>
            <color indexed="81"/>
            <rFont val="Tahoma"/>
            <charset val="1"/>
          </rPr>
          <t xml:space="preserve">
ejercicios anteriores en el balance general del mes en curso</t>
        </r>
      </text>
    </comment>
  </commentList>
</comments>
</file>

<file path=xl/comments4.xml><?xml version="1.0" encoding="utf-8"?>
<comments xmlns="http://schemas.openxmlformats.org/spreadsheetml/2006/main">
  <authors>
    <author>Ramón Octavio Montaño Figueroa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BANCOS + CAJA 
inicial del año en curso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DEUDORES DIVERSOS 
inicial del año en curso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Anticipo a proveedores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Terrenos + edificios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Bienes muebles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CFE</t>
        </r>
      </text>
    </comment>
  </commentList>
</comments>
</file>

<file path=xl/comments5.xml><?xml version="1.0" encoding="utf-8"?>
<comments xmlns="http://schemas.openxmlformats.org/spreadsheetml/2006/main">
  <authors>
    <author>Ramón Octavio Montaño Figueroa</author>
  </authors>
  <commentList>
    <comment ref="E3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ACREEDORES DIVERSOS
saldo del mes del año anterior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ACREEDORES DIVERSOS
saldo del mes en curso</t>
        </r>
      </text>
    </comment>
  </commentList>
</comments>
</file>

<file path=xl/comments6.xml><?xml version="1.0" encoding="utf-8"?>
<comments xmlns="http://schemas.openxmlformats.org/spreadsheetml/2006/main">
  <authors>
    <author>Ramón Octavio Montaño Figueroa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del mes en curso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PRESUPUESTADO INGRESOS PROPIOS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8140 Ley de Ingresos Devengada: Representa los derechos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del ente público. En el caso de resoluciones en firme (definitivas) y pago en parcialidades se deberán reconocer y registrar cuando ocurre la notificación de la resolución y/o en la firma del convenio de pago en parcialidades, respectivamente. Su saldo representa la Ley de Ingresos Devengada pendiente de recaudar. (PRESUPUESTADO EN RECURSOS PROPIOS - LO RECAUDADO EN INGRESOS PROPIOS DEL MES EN CURSO)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INGRESOS PROPIOS O INGRESOS ACADÉMICOS de la balanza de comprobación del mes en curso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PRESUPUESTADO DEL ESTAO Y DE LA FEDERACIÓN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(PRESUPUESTADO EN RECURSOS PROPIOS - LO RECAUDADO ESTATAL + FEDERAL del mes en curso)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INGRESOS PROPIOS O INGRESOS ACADÉMICOS de la balanza de comprobación del mes en curso</t>
        </r>
      </text>
    </comment>
  </commentList>
</comments>
</file>

<file path=xl/comments7.xml><?xml version="1.0" encoding="utf-8"?>
<comments xmlns="http://schemas.openxmlformats.org/spreadsheetml/2006/main">
  <authors>
    <author>Ramón Octavio Montaño Figueroa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Plantilla ocupada al inicio del ejercicio revisable mensualmente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Fecha en que se determinó el período de pago, reconocimiento de una obligación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Es el momento que se refleja la emisión de una nómina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Cancelacíon total o parcial de las obligaciones de pago, que se concreta con el desembolso del efectivo o cualquier otro medio de pago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Capítulo 1000 
es lo ejercido</t>
        </r>
      </text>
    </comment>
    <comment ref="F48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Al formalizarse el contrato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Fecha en que se reciben de conformidad los bienes, reconocimiento de una obligación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Es el momento que se refleja la emisión de una cuenta por liquidar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Cancelacíon total o parcial de las obligaciones de pago, que se concreta con el desembolso del efectivo o cualquier otro medio de pago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Fecha en que se reciben de conformidad los bienes, reconocimiento de una obligación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Al formalizarse el contrato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Fecha en que se reciben de conformidad los bienes, reconocimiento de una obligación</t>
        </r>
      </text>
    </comment>
    <comment ref="H12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Es el momento que se refleja la emisión de una cuenta por liquidar</t>
        </r>
      </text>
    </comment>
    <comment ref="I12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Cancelacíon total o parcial de las obligaciones de pago, que se concreta con el desembolso del efectivo o cualquier otro medio de pago</t>
        </r>
      </text>
    </comment>
    <comment ref="K12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Fecha en que se reciben de conformidad los bienes, reconocimiento de una obligación</t>
        </r>
      </text>
    </comment>
    <comment ref="M12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Valor contrato CS WEB</t>
        </r>
      </text>
    </comment>
    <comment ref="F157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Valor del contrato subido a transparencia (SONORA PROFESIONAL)
Valor del contrato: (abogado)</t>
        </r>
      </text>
    </comment>
    <comment ref="F165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Valor del contrato subido a transparencia (ATLAS)</t>
        </r>
      </text>
    </comment>
    <comment ref="F173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Valor del contrato subido a transparencia (GNP, INBURSA)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Al formalizarse el contrato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Cuando se traslade la propiedad del bien, reconocimiento de una obligación</t>
        </r>
      </text>
    </comment>
    <comment ref="H23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Es el momento que se refleja la emisión de una cuenta por liquidar</t>
        </r>
      </text>
    </comment>
    <comment ref="I23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Cancelacíon total o parcial de las obligaciones de pago, que se concreta con el desembolso del efectivo o cualquier otro medio de pago</t>
        </r>
      </text>
    </comment>
    <comment ref="K23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Al formalizarse el contrato</t>
        </r>
      </text>
    </comment>
    <comment ref="L23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31" authorId="0">
      <text>
        <r>
          <rPr>
            <b/>
            <sz val="9"/>
            <color indexed="81"/>
            <rFont val="Tahoma"/>
            <family val="2"/>
          </rPr>
          <t>Ramón Octavio Montaño Figueroa: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<sst xmlns="http://schemas.openxmlformats.org/spreadsheetml/2006/main" count="969" uniqueCount="596">
  <si>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</si>
  <si>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</si>
  <si>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</si>
  <si>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</si>
  <si>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</si>
  <si>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</si>
  <si>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</si>
  <si>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</si>
  <si>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</si>
  <si>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</si>
  <si>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</si>
  <si>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</si>
  <si>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</si>
  <si>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</si>
  <si>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</si>
  <si>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</si>
  <si>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</si>
  <si>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</si>
  <si>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</si>
  <si>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</si>
  <si>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</si>
  <si>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</si>
  <si>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</si>
  <si>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</si>
  <si>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</si>
  <si>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</si>
  <si>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</si>
  <si>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</si>
  <si>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</si>
  <si>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</si>
  <si>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</si>
  <si>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</si>
  <si>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</si>
  <si>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</si>
  <si>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</si>
  <si>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</si>
  <si>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</si>
  <si>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</si>
  <si>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</si>
  <si>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</si>
  <si>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</si>
  <si>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</si>
  <si>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</si>
  <si>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</si>
  <si>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</si>
  <si>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</si>
  <si>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</si>
  <si>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</si>
  <si>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</si>
  <si>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</si>
  <si>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</si>
  <si>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</si>
  <si>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</si>
  <si>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</si>
  <si>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</si>
  <si>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ETCA-I-01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</si>
  <si>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</si>
  <si>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</si>
  <si>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</si>
  <si>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</si>
  <si>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</si>
  <si>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</si>
  <si>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</si>
  <si>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</si>
  <si>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</si>
  <si>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</si>
  <si>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</si>
  <si>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</si>
  <si>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</si>
  <si>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</si>
  <si>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</si>
  <si>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</si>
  <si>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</si>
  <si>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</si>
  <si>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</si>
  <si>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</si>
  <si>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</si>
  <si>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</si>
  <si>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</si>
  <si>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</si>
  <si>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</si>
  <si>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</si>
  <si>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</si>
  <si>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</si>
  <si>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</si>
  <si>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</si>
  <si>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</si>
  <si>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</si>
  <si>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</si>
  <si>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</si>
  <si>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</si>
  <si>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</si>
  <si>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</si>
  <si>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</si>
  <si>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</si>
  <si>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</si>
  <si>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</si>
  <si>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</si>
  <si>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</si>
  <si>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</si>
  <si>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</si>
  <si>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</si>
  <si>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</si>
  <si>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</si>
  <si>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</si>
  <si>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</si>
  <si>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</si>
  <si>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</si>
  <si>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</si>
  <si>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</si>
  <si>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</si>
  <si>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</si>
  <si>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</si>
  <si>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MOVIMIENTOS</t>
  </si>
  <si>
    <t>SALDOS</t>
  </si>
  <si>
    <t>EFECTIVO Y EQUIVALENTE</t>
  </si>
  <si>
    <t>S a l d o   I n i c i a l</t>
  </si>
  <si>
    <t>Ingresos</t>
  </si>
  <si>
    <t>Ingreso Federal</t>
  </si>
  <si>
    <t>Ingresos Propios (Estado y Propios)</t>
  </si>
  <si>
    <t>Devolución de Recursos</t>
  </si>
  <si>
    <t>Productos Financieros</t>
  </si>
  <si>
    <t>Ingresos Estraordinarios</t>
  </si>
  <si>
    <t>Traspaso de Cuentas</t>
  </si>
  <si>
    <t>Total Ingresos</t>
  </si>
  <si>
    <t xml:space="preserve">D i s p o n i b l e </t>
  </si>
  <si>
    <t>Egresos</t>
  </si>
  <si>
    <t>Gasto de Operación</t>
  </si>
  <si>
    <t>Traspaso entre Cuentas</t>
  </si>
  <si>
    <t>Gastos por Comprobar</t>
  </si>
  <si>
    <t>S a l d o   F i n a l</t>
  </si>
  <si>
    <t>ETCA-I-01-A</t>
  </si>
  <si>
    <t>ETCA-I-01-B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</si>
  <si>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</si>
  <si>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</si>
  <si>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</si>
  <si>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</si>
  <si>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</si>
  <si>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</si>
  <si>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</si>
  <si>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</si>
  <si>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</si>
  <si>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</si>
  <si>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</si>
  <si>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</si>
  <si>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</si>
  <si>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</si>
  <si>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</si>
  <si>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</si>
  <si>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</si>
  <si>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</si>
  <si>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</si>
  <si>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</si>
  <si>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ETCA-I-03</t>
  </si>
  <si>
    <t>ETCA-I-02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</si>
  <si>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</si>
  <si>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</si>
  <si>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</si>
  <si>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</si>
  <si>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</si>
  <si>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</si>
  <si>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</si>
  <si>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</si>
  <si>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</si>
  <si>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</si>
  <si>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</si>
  <si>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</si>
  <si>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</si>
  <si>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</si>
  <si>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</si>
  <si>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</si>
  <si>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</si>
  <si>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</si>
  <si>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</si>
  <si>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</si>
  <si>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</si>
  <si>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ETCA-I-07</t>
  </si>
  <si>
    <t>ETCA-I-06</t>
  </si>
  <si>
    <t>Estado Analítico de Ingresos</t>
  </si>
  <si>
    <t>Rubros de los Ingresos</t>
  </si>
  <si>
    <t>Ingresos Estimado</t>
  </si>
  <si>
    <t>Ampliaciones y Reducciones</t>
  </si>
  <si>
    <t>Ingresos Modificado</t>
  </si>
  <si>
    <t>(3= 1 +2)</t>
  </si>
  <si>
    <t>Ingresos Devengado</t>
  </si>
  <si>
    <t>Ingresos Recaudado</t>
  </si>
  <si>
    <t>% de Avance de la Recaudación:</t>
  </si>
  <si>
    <t>(5/3)</t>
  </si>
  <si>
    <t>Ingresos Excedentes</t>
  </si>
  <si>
    <t>(5-1)</t>
  </si>
  <si>
    <t>Corriente</t>
  </si>
  <si>
    <t>Capital</t>
  </si>
  <si>
    <t>Tributarios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</si>
  <si>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</si>
  <si>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</si>
  <si>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</si>
  <si>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</si>
  <si>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</si>
  <si>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 Ecológicos</t>
  </si>
  <si>
    <t>Accesorios</t>
  </si>
  <si>
    <t>Otros Impuestos</t>
  </si>
  <si>
    <t>Subtotal Tributarios</t>
  </si>
  <si>
    <t>No tributarios</t>
  </si>
  <si>
    <t>I. Derechos</t>
  </si>
  <si>
    <t>Ii. Productos</t>
  </si>
  <si>
    <t>Iii. Aprovechamientos</t>
  </si>
  <si>
    <t>Iv. Contribuciones de Mejoras</t>
  </si>
  <si>
    <t>Subtotal No Tributarios</t>
  </si>
  <si>
    <t>ETCA-I-08</t>
  </si>
  <si>
    <t>Estado Analítico del Ejercicio Presupuesto de Egresos</t>
  </si>
  <si>
    <t>Por Capítulo del Gasto</t>
  </si>
  <si>
    <t>Ejercicio del Presupuesto</t>
  </si>
  <si>
    <t>Egresos Aprobado</t>
  </si>
  <si>
    <t>Ampliaciones/ (Reducciones)</t>
  </si>
  <si>
    <t>Egresos Modificado</t>
  </si>
  <si>
    <t>Egresos Comprometido</t>
  </si>
  <si>
    <t>Egresos Devengado</t>
  </si>
  <si>
    <t>Egresos Ejercido</t>
  </si>
  <si>
    <t>Egreso Pagado</t>
  </si>
  <si>
    <t>Subejercicio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</si>
  <si>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</si>
  <si>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</si>
  <si>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</si>
  <si>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</si>
  <si>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</si>
  <si>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</si>
  <si>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</si>
  <si>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t>ETCA-I-09</t>
  </si>
  <si>
    <t>DP</t>
  </si>
  <si>
    <t>UR</t>
  </si>
  <si>
    <t>FL</t>
  </si>
  <si>
    <t>FN</t>
  </si>
  <si>
    <t>SF</t>
  </si>
  <si>
    <t>ER</t>
  </si>
  <si>
    <t>TP</t>
  </si>
  <si>
    <t>UG</t>
  </si>
  <si>
    <t>FF</t>
  </si>
  <si>
    <t>MT</t>
  </si>
  <si>
    <t>ANUAL</t>
  </si>
  <si>
    <t>ORIGINAL</t>
  </si>
  <si>
    <t>DEVENGADO</t>
  </si>
  <si>
    <t>REALIZADO</t>
  </si>
  <si>
    <t>ETCA-I-10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</si>
  <si>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</si>
  <si>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</si>
  <si>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Sistema Estatal de Evaluación</t>
  </si>
  <si>
    <t xml:space="preserve"> </t>
  </si>
  <si>
    <t>Por Partida del Gasto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</si>
  <si>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</si>
  <si>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</si>
  <si>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</si>
  <si>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</si>
  <si>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</si>
  <si>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</si>
  <si>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Honorarios asimilables a salarios</t>
  </si>
  <si>
    <t xml:space="preserve">Honorarios   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</si>
  <si>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</si>
  <si>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</si>
  <si>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</si>
  <si>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</si>
  <si>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Partida/Descripción</t>
  </si>
  <si>
    <t>No</t>
  </si>
  <si>
    <t>Formato</t>
  </si>
  <si>
    <t>Observaciones</t>
  </si>
  <si>
    <t>ETCA-I-04</t>
  </si>
  <si>
    <t>ETCA-I-05</t>
  </si>
  <si>
    <t>ETCA-I-9/A</t>
  </si>
  <si>
    <t>Estado de Posicion Financiers</t>
  </si>
  <si>
    <t>Esstado de Actividades</t>
  </si>
  <si>
    <t xml:space="preserve">Estado de Variación de la Hacienda Pública </t>
  </si>
  <si>
    <t>Conrado</t>
  </si>
  <si>
    <t>Corujo</t>
  </si>
  <si>
    <t>Por Capitulo del Gasto</t>
  </si>
  <si>
    <t>Subsecretaria de Egresos</t>
  </si>
  <si>
    <t>Dirección General de Evaluación y Seguimiento del Gasto Público</t>
  </si>
  <si>
    <t>ETCA-I-11</t>
  </si>
  <si>
    <t>Informe sobre Pasivos Contingentes</t>
  </si>
  <si>
    <t>Notas a los Estados Financieros</t>
  </si>
  <si>
    <t>ETCA-I-12</t>
  </si>
  <si>
    <t>Gasto Por Categoría Programática, Metas y Programas</t>
  </si>
  <si>
    <t>Salvador</t>
  </si>
  <si>
    <t>Indicando Monto Aprobado</t>
  </si>
  <si>
    <t>ETCA-I-13</t>
  </si>
  <si>
    <t>Endeudamiento Neto</t>
  </si>
  <si>
    <t>José Corujo</t>
  </si>
  <si>
    <t>Interéses de la Deuda</t>
  </si>
  <si>
    <t>Flujo de Fondos</t>
  </si>
  <si>
    <t>ETCA-I-14</t>
  </si>
  <si>
    <t>Gasto Por Proyectos de Inversión</t>
  </si>
  <si>
    <t>Indicadores de Resultados</t>
  </si>
  <si>
    <t>ETCA-I-15</t>
  </si>
  <si>
    <t>SIIAF, Incorporar Momentos Contables.</t>
  </si>
  <si>
    <t>Dirección General de Deuda Pública.</t>
  </si>
  <si>
    <t>Responsable</t>
  </si>
  <si>
    <t>Descripción</t>
  </si>
  <si>
    <t>ETCA "Evaluación Trimestral Contabilidad Armonizada"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</si>
  <si>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</si>
  <si>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</si>
  <si>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</si>
  <si>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</si>
  <si>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</si>
  <si>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</si>
  <si>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Saldo Inicial del Ejercicio</t>
  </si>
  <si>
    <t>Evaluación de Informes Trimestrales 2014</t>
  </si>
  <si>
    <t>Saldo Final del Ejercicio</t>
  </si>
  <si>
    <r>
      <t xml:space="preserve">Ley General de Contabilidad Gubernamental  </t>
    </r>
    <r>
      <rPr>
        <b/>
        <sz val="10"/>
        <color theme="1"/>
        <rFont val="Calibri"/>
        <family val="2"/>
        <scheme val="minor"/>
      </rPr>
      <t>(DIC-2013)</t>
    </r>
  </si>
  <si>
    <t>Artículos del 44 al 59</t>
  </si>
  <si>
    <t>Considerar Saldo Inicial y Final del Ejercicio.</t>
  </si>
  <si>
    <t>Se muestra por capítulo.</t>
  </si>
  <si>
    <t>Se muestra por patida.</t>
  </si>
  <si>
    <t>ETCA-II-08</t>
  </si>
  <si>
    <t>ETCA-II-09</t>
  </si>
  <si>
    <t>ETCA-II-9/A</t>
  </si>
  <si>
    <t>ETCA-II-10</t>
  </si>
  <si>
    <t>ETCA-II-11</t>
  </si>
  <si>
    <t>ETCA-II-12</t>
  </si>
  <si>
    <t>ETCA-III-13</t>
  </si>
  <si>
    <t>ETCA-III-14</t>
  </si>
  <si>
    <t>ETCA-III-15</t>
  </si>
  <si>
    <t xml:space="preserve">Servicio de la Deuda Pública </t>
  </si>
  <si>
    <t>(Pesos)</t>
  </si>
  <si>
    <t>Periodo:</t>
  </si>
  <si>
    <t>Presupuesto</t>
  </si>
  <si>
    <t>Devengado</t>
  </si>
  <si>
    <t>Deuda de Largo Plazo</t>
  </si>
  <si>
    <t>Amortización de Capital</t>
  </si>
  <si>
    <t>Pago de Intereses</t>
  </si>
  <si>
    <t>Deuda de Corto Plazo</t>
  </si>
  <si>
    <t>Adeudos de Ejercicios Fiscales Anteriores</t>
  </si>
  <si>
    <t>Obligaciones Solidarias</t>
  </si>
  <si>
    <t xml:space="preserve">Servicio de Deuda </t>
  </si>
  <si>
    <t xml:space="preserve">     Total de Pasivos Circulantes</t>
  </si>
  <si>
    <t xml:space="preserve">     Total de Activos Circulantes</t>
  </si>
  <si>
    <t>Total Egresos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</si>
  <si>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</si>
  <si>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</si>
  <si>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</si>
  <si>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</si>
  <si>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</si>
  <si>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</si>
  <si>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</si>
  <si>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</si>
  <si>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</si>
  <si>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</si>
  <si>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</si>
  <si>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</si>
  <si>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</si>
  <si>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</si>
  <si>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</si>
  <si>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</si>
  <si>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(6)</t>
  </si>
  <si>
    <t>(7)</t>
  </si>
  <si>
    <t>(8)</t>
  </si>
  <si>
    <t>ACUMULADO</t>
  </si>
  <si>
    <t>GOBIERNO DEL ESTADO DE SONORA</t>
  </si>
  <si>
    <t>SECRETARIA DE HACIENDA</t>
  </si>
  <si>
    <t>SISTEMA ESTATAL DE EVALUACION</t>
  </si>
  <si>
    <t>INFORME DE AVANCE PROGRAMATICO-PRESUPUESTAL DEL EJERCICIO 2014</t>
  </si>
  <si>
    <t>DEPENDENCIA:</t>
  </si>
  <si>
    <t>CLAVE PROGRAMATICA</t>
  </si>
  <si>
    <t>D   E   S   C   R   I   P   C   I   O   N</t>
  </si>
  <si>
    <t>UNIDAD MEDIDA</t>
  </si>
  <si>
    <t>TRIMESTRE</t>
  </si>
  <si>
    <t>% AVANCE</t>
  </si>
  <si>
    <t>ES</t>
  </si>
  <si>
    <t>NUM</t>
  </si>
  <si>
    <t>TB</t>
  </si>
  <si>
    <t>MODIFICADO</t>
  </si>
  <si>
    <t>No.</t>
  </si>
  <si>
    <t>CONCEPTO</t>
  </si>
  <si>
    <t>DOCUMENTO FUENTE</t>
  </si>
  <si>
    <t>PERIODICIDAD</t>
  </si>
  <si>
    <t>REGISTRO</t>
  </si>
  <si>
    <t>CONTABLE</t>
  </si>
  <si>
    <t>PRESUPUESTAL</t>
  </si>
  <si>
    <t>CARGO</t>
  </si>
  <si>
    <t>ABONO</t>
  </si>
  <si>
    <r>
      <t>↭</t>
    </r>
    <r>
      <rPr>
        <sz val="8"/>
        <color theme="1"/>
        <rFont val="Arial Narrow"/>
        <family val="2"/>
      </rPr>
      <t xml:space="preserve"> </t>
    </r>
    <r>
      <rPr>
        <b/>
        <sz val="8"/>
        <color theme="1"/>
        <rFont val="Arial Narrow"/>
        <family val="2"/>
      </rPr>
      <t>Registros automáticos.</t>
    </r>
  </si>
  <si>
    <t>Por Tipo de Programa Presupuestario</t>
  </si>
  <si>
    <t>AI</t>
  </si>
  <si>
    <t>Por Actividad Institucional</t>
  </si>
  <si>
    <t>UNIVERSIDAD DE LA SIERRA</t>
  </si>
  <si>
    <t>2013-1</t>
  </si>
  <si>
    <t>UYNIVERSIDAD DE LA SIERRA</t>
  </si>
  <si>
    <t>Hacienda Pública / Patrimonio Neto Final del Ejercicio 2013-1</t>
  </si>
  <si>
    <t>Saldo Neto en la Hacienda Pública / Patrimonio 2014</t>
  </si>
  <si>
    <r>
      <t>(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2014-1</t>
    </r>
    <r>
      <rPr>
        <b/>
        <sz val="11"/>
        <color theme="1"/>
        <rFont val="Arial Narrow"/>
        <family val="2"/>
      </rPr>
      <t>)</t>
    </r>
  </si>
  <si>
    <r>
      <t>(</t>
    </r>
    <r>
      <rPr>
        <b/>
        <u/>
        <sz val="11"/>
        <color theme="1"/>
        <rFont val="Arial Narrow"/>
        <family val="2"/>
      </rPr>
      <t>2014-1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>)</t>
    </r>
  </si>
  <si>
    <t>INFORMACIÓN  SOBRE PASIVOS CONTINGENTES</t>
  </si>
  <si>
    <t>México</t>
  </si>
  <si>
    <t>SERVICIOS PERSONALES</t>
  </si>
  <si>
    <t>Ayuda para energía eléctrica</t>
  </si>
  <si>
    <t>Remuneraciones al personal de carácter transitorio</t>
  </si>
  <si>
    <t>Prima Vacacional</t>
  </si>
  <si>
    <t>Gratificación de fin de año</t>
  </si>
  <si>
    <t>Compensaciones por ajuste de calendario</t>
  </si>
  <si>
    <t>Compensaciones por bono navideño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</si>
  <si>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</si>
  <si>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</si>
  <si>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</si>
  <si>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</si>
  <si>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de ISSSTESON</t>
  </si>
  <si>
    <t>Asignación para préstamo a corto plazo</t>
  </si>
  <si>
    <t>Asignación para préstamo prendarios</t>
  </si>
  <si>
    <t>Otras prestaciones de Seg. Social</t>
  </si>
  <si>
    <t>Cuotas para infraestructura, equipamiento y mantenimiento hospitalario</t>
  </si>
  <si>
    <t>Aportaciones a fondos de vivienda</t>
  </si>
  <si>
    <t>Cuotas al FOVISSSTESON</t>
  </si>
  <si>
    <t>Pagos por defunción, pensiones y jubilados.</t>
  </si>
  <si>
    <t>Otras prestaciones sociales y económicas</t>
  </si>
  <si>
    <t>Prestaciones contractuales</t>
  </si>
  <si>
    <t>Apoyo para canastilla de maternidad</t>
  </si>
  <si>
    <t>Ayuda para guardería a madres trabajadoras.</t>
  </si>
  <si>
    <t>Otras prestaciones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</si>
  <si>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</si>
  <si>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</si>
  <si>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</si>
  <si>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</si>
  <si>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</si>
  <si>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</si>
  <si>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</si>
  <si>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>Material impreso e información digital</t>
  </si>
  <si>
    <t>Material para información</t>
  </si>
  <si>
    <t>Material de Limpieza</t>
  </si>
  <si>
    <t>Materiales y útiles de enseñanza</t>
  </si>
  <si>
    <t>Materiales educativos</t>
  </si>
  <si>
    <t>Alimentos y utensilios</t>
  </si>
  <si>
    <t>Productos alimenticios para personas</t>
  </si>
  <si>
    <t>Productos Alimenticios para el personal</t>
  </si>
  <si>
    <t>Productos alimenticios para personas derivado de la prestación de servicios públicos en unidades de salud, educativas y otras</t>
  </si>
  <si>
    <t>Adquisición de agua potable</t>
  </si>
  <si>
    <t>Productos alimenticios, agropecuarios y forestales aquiridos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</si>
  <si>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</si>
  <si>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</si>
  <si>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</si>
  <si>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</si>
  <si>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</si>
  <si>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</si>
  <si>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</si>
  <si>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</si>
  <si>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</si>
  <si>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</si>
  <si>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</si>
  <si>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</si>
  <si>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Productos Químicos</t>
  </si>
  <si>
    <t>Fertilizantes, pesticidas y otros agroquímicos</t>
  </si>
  <si>
    <t>Medicinas y prod. Farmacéuticos</t>
  </si>
  <si>
    <t>Materiales, accesorios y suministros de laboratorio</t>
  </si>
  <si>
    <t>Fibras sintéticas, hules, plásticos y derivados</t>
  </si>
  <si>
    <t>Combustibles</t>
  </si>
  <si>
    <t>Lubricantes y aditivos</t>
  </si>
  <si>
    <t>Vestuarios, blancos, prendas de producción y artículos deportivos</t>
  </si>
  <si>
    <t>Vestuario y uniformes</t>
  </si>
  <si>
    <t>Prendas de seguridad y protección personal</t>
  </si>
  <si>
    <t>Artículos Deportivos</t>
  </si>
  <si>
    <t>Materiales y suministros para seguridad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</si>
  <si>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</si>
  <si>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</si>
  <si>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</si>
  <si>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</si>
  <si>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</si>
  <si>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</si>
  <si>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</si>
  <si>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trasporte</t>
  </si>
  <si>
    <t>SERVICIOS GENERALES</t>
  </si>
  <si>
    <t>Servicios básicos</t>
  </si>
  <si>
    <t>Energía eléctrica</t>
  </si>
  <si>
    <t>Servicio Energía Eléctrica</t>
  </si>
  <si>
    <t>Servicios e instalaciones para centros escolares</t>
  </si>
  <si>
    <t>Gas</t>
  </si>
  <si>
    <t>Agua</t>
  </si>
  <si>
    <t>Agua Potable</t>
  </si>
  <si>
    <t>Telefonía tradicional</t>
  </si>
  <si>
    <t>Telefonía celular</t>
  </si>
  <si>
    <t>Servicios de acceso a internet, redes y procesamientos de información</t>
  </si>
  <si>
    <t>Servicios postales y telegráficos</t>
  </si>
  <si>
    <t>Servicio Postal</t>
  </si>
  <si>
    <t>Servicio de arrendamiento</t>
  </si>
  <si>
    <t>Arrendamiento de Edificios</t>
  </si>
  <si>
    <t>Arrendamiento de mobiliario y equipo de administración, educacional y recreativo</t>
  </si>
  <si>
    <t>Arrendamiento de muebles, maquinaria y equipo</t>
  </si>
  <si>
    <t>Arrendamiento maquinaria, otros equipos y herramientas</t>
  </si>
  <si>
    <t>Arrendamiento de activos intangibles</t>
  </si>
  <si>
    <t>Patentes, regalías y otros</t>
  </si>
  <si>
    <t>Otros arrendamientos</t>
  </si>
  <si>
    <t>Servicios profesionales, científicos, técnicos y otros servicios</t>
  </si>
  <si>
    <t>Servicios legales, de contabilidad, auditorias y relacionados</t>
  </si>
  <si>
    <t>Servicios de consultoría en tecnologías de la información</t>
  </si>
  <si>
    <t>Servicios de informática</t>
  </si>
  <si>
    <t>Servicios de capacitación</t>
  </si>
  <si>
    <t>Servicios de apoyo administrativo, traducción, fotocopiado e impresión</t>
  </si>
  <si>
    <t>Impresiones y publicaciones oficiales</t>
  </si>
  <si>
    <t>Servicios de vigilancia</t>
  </si>
  <si>
    <t>Servicios Profesionales, científicos y técnicos integrales</t>
  </si>
  <si>
    <t>Servicios Profesionales, cientificos y tecnicos integrales</t>
  </si>
  <si>
    <t xml:space="preserve">Servicios integrales  </t>
  </si>
  <si>
    <t>Servicios financieros, bancarios y comerciales</t>
  </si>
  <si>
    <t>Servicios financieros y bancarios</t>
  </si>
  <si>
    <t>Seguros de bienes patrimoniales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</si>
  <si>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</si>
  <si>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</si>
  <si>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</si>
  <si>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</si>
  <si>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Mantenimiento y conservación de áreas deportivas</t>
  </si>
  <si>
    <t>Mantenimiento y conservación de planteles escolares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</si>
  <si>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</si>
  <si>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</si>
  <si>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escueles, laboratorios y talleres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</si>
  <si>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</si>
  <si>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</si>
  <si>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</si>
  <si>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</si>
  <si>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</si>
  <si>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</si>
  <si>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Mantenimiento y conservación de maquinaria y equipo</t>
  </si>
  <si>
    <t>Servicios de limpieza y manejo de desechos</t>
  </si>
  <si>
    <t>Servicios de comunicación social y publicidad</t>
  </si>
  <si>
    <t>Difusión por radio, televisión y otros medios de mensajes comerciales</t>
  </si>
  <si>
    <t>Difusión por radio, televisión y otros medios de mensajes comerciales para promover la venta de productos o servicios.</t>
  </si>
  <si>
    <t>Servicios de la industria fílmica del sonido y del video</t>
  </si>
  <si>
    <t>Servicios de la industria fílmica del sonido y del video.</t>
  </si>
  <si>
    <t>Servicios de traslado y viáticos</t>
  </si>
  <si>
    <t>Pasajes aéreos</t>
  </si>
  <si>
    <t>Pasajes terrestres</t>
  </si>
  <si>
    <t>Viáticos en el país</t>
  </si>
  <si>
    <t>Gastos de camino</t>
  </si>
  <si>
    <t>Servicios integrales de traslado y viáticos</t>
  </si>
  <si>
    <t>Otros servicios de traslado y hospedaje</t>
  </si>
  <si>
    <t>Cuotas</t>
  </si>
  <si>
    <t>Gastos para operativos y trabajos de campo en áreas rurales</t>
  </si>
  <si>
    <t>Servicios oficiales</t>
  </si>
  <si>
    <t>Gastos de ceremonial</t>
  </si>
  <si>
    <t>Gastos de orden social y cultural</t>
  </si>
  <si>
    <t>Congresos y convenciones</t>
  </si>
  <si>
    <t>Gastos de representación</t>
  </si>
  <si>
    <t>Gastos de atención y promoción</t>
  </si>
  <si>
    <t>Otros servicios generales</t>
  </si>
  <si>
    <t>Impuestos y derechos</t>
  </si>
  <si>
    <t>Penas, multas, accesorios y actualizaciones</t>
  </si>
  <si>
    <t>TRANSFERENCIAS, ASIGNACIONES, SUBSIDIOS Y OTRAS AYUDAS</t>
  </si>
  <si>
    <t>Ayudas sociales</t>
  </si>
  <si>
    <t>Becas y otras ayudas para programas de capacitación</t>
  </si>
  <si>
    <t>Becas de educación media y superior</t>
  </si>
  <si>
    <t>Fomento deportivo</t>
  </si>
  <si>
    <t>Apoyo a la investigación científica y tecnológica de instituciones académicas y sector público</t>
  </si>
  <si>
    <t>BIENES MUEBLES E INMUEBLES</t>
  </si>
  <si>
    <t>Mobiliario y equipo de administración</t>
  </si>
  <si>
    <t>Muebles de oficina y estantería</t>
  </si>
  <si>
    <t>Equipo de cómputo y tecnologías de la información</t>
  </si>
  <si>
    <t>Equipo de cómputo y de tecnologías de la información</t>
  </si>
  <si>
    <t>Otros mobiliarios y equipos de administración</t>
  </si>
  <si>
    <t>Equipos de administración</t>
  </si>
  <si>
    <t>Maquinaria, otros equipos y herramientas</t>
  </si>
  <si>
    <t>Maquinaría y equipo agropecuario</t>
  </si>
  <si>
    <t>Sistemas de aire acondicionado, calefacción y refrigeración industrial</t>
  </si>
  <si>
    <t>OBRA PÚBLICA</t>
  </si>
  <si>
    <t>Infraestructura y equipamiento en materia de educación superior</t>
  </si>
  <si>
    <t>INVERSIONES FINANCIERAS Y OTRAS PROVISIONES</t>
  </si>
  <si>
    <t>Inversiones en fideicomisos públicos financieros</t>
  </si>
  <si>
    <t>INFRAESTRUCTURA Y EQUIPAMIENTO EN MATERIA DE EDUCACIÓN SUPERIOR</t>
  </si>
  <si>
    <t>PIFI 2013</t>
  </si>
  <si>
    <t>PROMEP</t>
  </si>
  <si>
    <t>Becas de formc. universitarias de madres solteras</t>
  </si>
  <si>
    <t>SAGARHPA</t>
  </si>
  <si>
    <t>CONACYT</t>
  </si>
  <si>
    <t>INVERSIONES EN FIDEICOMISOS PÚBLICOS FINANCIEROS</t>
  </si>
  <si>
    <t>Fideicomiso Becas</t>
  </si>
  <si>
    <t>Al 30 de Junio de 2014</t>
  </si>
  <si>
    <t>Del 01 de Enero al 30 de Junio de 2014</t>
  </si>
  <si>
    <t>Del 01 de Enero al 31 de Junio de 2014</t>
  </si>
  <si>
    <t>TRIMESTRE: SEGUNDO 2014</t>
  </si>
  <si>
    <t>Cambios en la Hacienda Pública / Patrimonio Neto del Ejercicio 2014</t>
  </si>
  <si>
    <t>EJERCICIO</t>
  </si>
  <si>
    <t>Cargo</t>
  </si>
  <si>
    <t>Abono</t>
  </si>
  <si>
    <t>Efectivo y Equivalentes                                                    BANCOS + CAJA</t>
  </si>
  <si>
    <t>Derechos a Recibir Efectivo o Equivalentes DEUDORES DIVERSOS</t>
  </si>
  <si>
    <t>Suma inicio deudores</t>
  </si>
  <si>
    <t>Cuentas por Pagar a Corto Plazo ACREEDORES DIVERSOS - DEDUCCIONES EN NÓMINA</t>
  </si>
  <si>
    <t>abril</t>
  </si>
  <si>
    <t>mayo</t>
  </si>
  <si>
    <t>junio</t>
  </si>
  <si>
    <t xml:space="preserve">Fondos y Bienes de Terceros en Garantía y/o Administración a Corto Plazo DEDUCCIONES EN NÓMINA + IMPUESTOS </t>
  </si>
  <si>
    <t xml:space="preserve">Sistema Estatal de Evaluación 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</si>
  <si>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</si>
  <si>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</si>
  <si>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</si>
  <si>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</si>
  <si>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</si>
  <si>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</si>
  <si>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</si>
  <si>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</si>
  <si>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</si>
  <si>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acumulado</t>
  </si>
  <si>
    <t>ENERO-JUNIO 2014</t>
  </si>
  <si>
    <t>Combustibles, lubricantes y aditivos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</si>
</sst>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#,##0_ ;[Red]\-\(#,##0\ \)"/>
  </numFmts>
  <fonts count="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3"/>
      <name val="Calibri"/>
      <family val="2"/>
      <scheme val="minor"/>
    </font>
    <font>
      <sz val="11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2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0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6" fillId="0" borderId="0"/>
    <xf numFmtId="4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62" fillId="0" borderId="0">
      <alignment vertical="top"/>
    </xf>
    <xf numFmtId="0" fontId="30" fillId="0" borderId="0"/>
  </cellStyleXfs>
  <cellXfs count="543">
    <xf numFmtId="0" fontId="0" fillId="0" borderId="0" xfId="0"/>
    <xf numFmtId="0" fontId="0" fillId="0" borderId="0" xfId="0" applyFont="1"/>
    <xf numFmtId="0" fontId="10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0" fillId="0" borderId="0" xfId="0" applyFont="1"/>
    <xf numFmtId="0" fontId="10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25" fillId="0" borderId="0" xfId="0" applyFont="1"/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/>
    <xf numFmtId="0" fontId="0" fillId="0" borderId="30" xfId="0" applyBorder="1"/>
    <xf numFmtId="0" fontId="0" fillId="0" borderId="31" xfId="0" applyBorder="1"/>
    <xf numFmtId="0" fontId="1" fillId="0" borderId="0" xfId="0" applyFont="1"/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Fill="1" applyBorder="1"/>
    <xf numFmtId="0" fontId="41" fillId="2" borderId="26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41" fillId="0" borderId="27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7" fillId="2" borderId="26" xfId="0" applyFont="1" applyFill="1" applyBorder="1" applyAlignment="1">
      <alignment horizontal="center"/>
    </xf>
    <xf numFmtId="0" fontId="33" fillId="0" borderId="26" xfId="0" applyFont="1" applyBorder="1"/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6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0" xfId="0" applyFont="1" applyBorder="1"/>
    <xf numFmtId="0" fontId="43" fillId="0" borderId="26" xfId="0" applyFont="1" applyBorder="1"/>
    <xf numFmtId="0" fontId="39" fillId="0" borderId="27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19" fillId="0" borderId="21" xfId="0" applyFont="1" applyBorder="1"/>
    <xf numFmtId="0" fontId="4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left" vertical="justify" wrapText="1"/>
    </xf>
    <xf numFmtId="0" fontId="33" fillId="0" borderId="6" xfId="0" applyFont="1" applyBorder="1" applyAlignment="1">
      <alignment horizontal="left" vertical="justify" wrapText="1"/>
    </xf>
    <xf numFmtId="0" fontId="33" fillId="0" borderId="0" xfId="0" applyFont="1" applyBorder="1" applyAlignment="1">
      <alignment horizontal="left" vertical="justify" wrapText="1"/>
    </xf>
    <xf numFmtId="0" fontId="22" fillId="0" borderId="6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9" xfId="0" applyFont="1" applyBorder="1"/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6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20" fillId="0" borderId="2" xfId="0" applyFont="1" applyBorder="1" applyAlignment="1">
      <alignment horizontal="justify" vertical="top" wrapText="1"/>
    </xf>
    <xf numFmtId="0" fontId="18" fillId="0" borderId="3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justify" vertical="top" wrapText="1"/>
    </xf>
    <xf numFmtId="0" fontId="16" fillId="0" borderId="6" xfId="0" applyFont="1" applyBorder="1" applyAlignment="1">
      <alignment vertical="top" wrapText="1"/>
    </xf>
    <xf numFmtId="0" fontId="0" fillId="0" borderId="6" xfId="0" applyFont="1" applyBorder="1"/>
    <xf numFmtId="0" fontId="0" fillId="0" borderId="8" xfId="0" applyFont="1" applyBorder="1"/>
    <xf numFmtId="0" fontId="0" fillId="0" borderId="10" xfId="0" applyFont="1" applyBorder="1"/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2" xfId="0" applyFont="1" applyBorder="1"/>
    <xf numFmtId="0" fontId="10" fillId="0" borderId="3" xfId="0" applyFont="1" applyBorder="1"/>
    <xf numFmtId="0" fontId="13" fillId="0" borderId="6" xfId="0" applyFont="1" applyBorder="1"/>
    <xf numFmtId="0" fontId="10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/>
    <xf numFmtId="0" fontId="9" fillId="0" borderId="6" xfId="0" applyFont="1" applyBorder="1"/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7" fillId="3" borderId="5" xfId="0" applyFont="1" applyFill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26" fillId="3" borderId="5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Alignment="1"/>
    <xf numFmtId="0" fontId="7" fillId="3" borderId="6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justify" vertical="top"/>
    </xf>
    <xf numFmtId="0" fontId="19" fillId="3" borderId="6" xfId="0" applyFont="1" applyFill="1" applyBorder="1" applyAlignment="1">
      <alignment horizontal="justify" vertical="top"/>
    </xf>
    <xf numFmtId="0" fontId="13" fillId="3" borderId="7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justify" vertical="top"/>
    </xf>
    <xf numFmtId="0" fontId="19" fillId="3" borderId="8" xfId="0" applyFont="1" applyFill="1" applyBorder="1" applyAlignment="1">
      <alignment horizontal="justify" vertical="top"/>
    </xf>
    <xf numFmtId="0" fontId="3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justify" vertical="top"/>
    </xf>
    <xf numFmtId="0" fontId="45" fillId="3" borderId="3" xfId="0" applyFont="1" applyFill="1" applyBorder="1" applyAlignment="1">
      <alignment horizontal="center" vertical="top"/>
    </xf>
    <xf numFmtId="0" fontId="45" fillId="3" borderId="4" xfId="0" applyFont="1" applyFill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justify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justify" vertical="center"/>
    </xf>
    <xf numFmtId="0" fontId="27" fillId="3" borderId="7" xfId="0" applyFont="1" applyFill="1" applyBorder="1" applyAlignment="1">
      <alignment horizontal="justify" vertical="center"/>
    </xf>
    <xf numFmtId="0" fontId="8" fillId="3" borderId="6" xfId="0" applyFont="1" applyFill="1" applyBorder="1" applyAlignment="1">
      <alignment horizontal="justify" vertical="center"/>
    </xf>
    <xf numFmtId="0" fontId="28" fillId="3" borderId="7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10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9" fillId="0" borderId="2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9" fontId="20" fillId="0" borderId="6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3" fontId="32" fillId="0" borderId="21" xfId="0" applyNumberFormat="1" applyFont="1" applyBorder="1" applyAlignment="1">
      <alignment vertical="center" wrapText="1"/>
    </xf>
    <xf numFmtId="3" fontId="32" fillId="0" borderId="15" xfId="6" applyNumberFormat="1" applyFont="1" applyBorder="1" applyAlignment="1">
      <alignment horizontal="center" vertical="center" wrapText="1"/>
    </xf>
    <xf numFmtId="3" fontId="32" fillId="0" borderId="21" xfId="0" applyNumberFormat="1" applyFont="1" applyBorder="1" applyAlignment="1">
      <alignment horizontal="right" vertical="center" wrapText="1"/>
    </xf>
    <xf numFmtId="0" fontId="32" fillId="0" borderId="6" xfId="0" applyFont="1" applyBorder="1" applyAlignment="1">
      <alignment vertical="center"/>
    </xf>
    <xf numFmtId="3" fontId="32" fillId="0" borderId="7" xfId="6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3" fontId="32" fillId="0" borderId="34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/>
    <xf numFmtId="0" fontId="10" fillId="0" borderId="15" xfId="0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center" vertical="center" wrapText="1"/>
    </xf>
    <xf numFmtId="3" fontId="10" fillId="0" borderId="7" xfId="6" applyNumberFormat="1" applyFont="1" applyBorder="1" applyAlignment="1">
      <alignment horizontal="center" vertical="center" wrapText="1"/>
    </xf>
    <xf numFmtId="3" fontId="10" fillId="0" borderId="0" xfId="0" applyNumberFormat="1" applyFont="1"/>
    <xf numFmtId="49" fontId="30" fillId="0" borderId="0" xfId="7" applyNumberFormat="1" applyFont="1" applyAlignment="1">
      <alignment vertical="center"/>
    </xf>
    <xf numFmtId="0" fontId="30" fillId="0" borderId="0" xfId="7" applyFont="1" applyAlignment="1">
      <alignment vertical="center"/>
    </xf>
    <xf numFmtId="0" fontId="30" fillId="0" borderId="0" xfId="7" applyFont="1" applyAlignment="1">
      <alignment vertical="top"/>
    </xf>
    <xf numFmtId="0" fontId="30" fillId="0" borderId="0" xfId="7" applyFont="1" applyAlignment="1">
      <alignment horizontal="center" vertical="center"/>
    </xf>
    <xf numFmtId="49" fontId="48" fillId="0" borderId="0" xfId="7" applyNumberFormat="1" applyFont="1" applyAlignment="1">
      <alignment horizontal="centerContinuous" vertical="center"/>
    </xf>
    <xf numFmtId="0" fontId="30" fillId="0" borderId="0" xfId="7" applyFont="1" applyAlignment="1">
      <alignment horizontal="centerContinuous" vertical="center"/>
    </xf>
    <xf numFmtId="0" fontId="30" fillId="0" borderId="0" xfId="7" applyFont="1" applyAlignment="1">
      <alignment horizontal="centerContinuous" vertical="top"/>
    </xf>
    <xf numFmtId="49" fontId="31" fillId="0" borderId="0" xfId="7" applyNumberFormat="1" applyFont="1" applyAlignment="1">
      <alignment horizontal="centerContinuous" vertical="center"/>
    </xf>
    <xf numFmtId="49" fontId="30" fillId="0" borderId="0" xfId="7" applyNumberFormat="1" applyFont="1" applyAlignment="1">
      <alignment horizontal="centerContinuous" vertical="center"/>
    </xf>
    <xf numFmtId="49" fontId="49" fillId="0" borderId="0" xfId="7" applyNumberFormat="1" applyFont="1" applyAlignment="1">
      <alignment vertical="center"/>
    </xf>
    <xf numFmtId="0" fontId="49" fillId="0" borderId="0" xfId="7" applyFont="1" applyAlignment="1">
      <alignment vertical="center"/>
    </xf>
    <xf numFmtId="0" fontId="47" fillId="0" borderId="0" xfId="7" applyFont="1"/>
    <xf numFmtId="0" fontId="50" fillId="0" borderId="0" xfId="7" applyFont="1" applyAlignment="1">
      <alignment vertical="top"/>
    </xf>
    <xf numFmtId="0" fontId="47" fillId="0" borderId="0" xfId="7" applyFont="1" applyAlignment="1">
      <alignment vertical="top"/>
    </xf>
    <xf numFmtId="0" fontId="49" fillId="0" borderId="0" xfId="7" applyFont="1" applyAlignment="1">
      <alignment vertical="top"/>
    </xf>
    <xf numFmtId="0" fontId="49" fillId="0" borderId="0" xfId="7" applyFont="1" applyAlignment="1">
      <alignment horizontal="center" vertical="center"/>
    </xf>
    <xf numFmtId="0" fontId="30" fillId="0" borderId="0" xfId="7" applyFont="1" applyAlignment="1">
      <alignment horizontal="left" vertical="center"/>
    </xf>
    <xf numFmtId="0" fontId="51" fillId="0" borderId="0" xfId="7" applyFont="1" applyAlignment="1">
      <alignment horizontal="center" vertical="center"/>
    </xf>
    <xf numFmtId="49" fontId="30" fillId="0" borderId="37" xfId="7" applyNumberFormat="1" applyFont="1" applyBorder="1" applyAlignment="1">
      <alignment horizontal="centerContinuous" vertical="center"/>
    </xf>
    <xf numFmtId="0" fontId="30" fillId="0" borderId="38" xfId="7" applyFont="1" applyBorder="1" applyAlignment="1">
      <alignment horizontal="centerContinuous" vertical="center"/>
    </xf>
    <xf numFmtId="0" fontId="30" fillId="0" borderId="38" xfId="7" applyFont="1" applyBorder="1" applyAlignment="1">
      <alignment horizontal="centerContinuous" vertical="top"/>
    </xf>
    <xf numFmtId="0" fontId="30" fillId="0" borderId="26" xfId="7" applyFont="1" applyBorder="1" applyAlignment="1">
      <alignment horizontal="center" vertical="center"/>
    </xf>
    <xf numFmtId="0" fontId="30" fillId="0" borderId="30" xfId="7" applyFont="1" applyBorder="1" applyAlignment="1">
      <alignment horizontal="center" vertical="center"/>
    </xf>
    <xf numFmtId="0" fontId="53" fillId="0" borderId="44" xfId="7" applyFont="1" applyBorder="1" applyAlignment="1">
      <alignment vertical="top"/>
    </xf>
    <xf numFmtId="0" fontId="53" fillId="0" borderId="27" xfId="7" applyFont="1" applyBorder="1" applyAlignment="1">
      <alignment vertical="top"/>
    </xf>
    <xf numFmtId="0" fontId="53" fillId="0" borderId="27" xfId="7" applyFont="1" applyBorder="1" applyAlignment="1">
      <alignment horizontal="left" vertical="justify" wrapText="1"/>
    </xf>
    <xf numFmtId="0" fontId="53" fillId="0" borderId="27" xfId="7" applyFont="1" applyBorder="1" applyAlignment="1">
      <alignment horizontal="left" vertical="top" indent="1"/>
    </xf>
    <xf numFmtId="3" fontId="53" fillId="0" borderId="27" xfId="7" applyNumberFormat="1" applyFont="1" applyBorder="1" applyAlignment="1">
      <alignment vertical="top"/>
    </xf>
    <xf numFmtId="4" fontId="53" fillId="0" borderId="28" xfId="7" applyNumberFormat="1" applyFont="1" applyBorder="1" applyAlignment="1">
      <alignment vertical="top"/>
    </xf>
    <xf numFmtId="0" fontId="53" fillId="0" borderId="0" xfId="7" applyFont="1" applyAlignment="1">
      <alignment vertical="top"/>
    </xf>
    <xf numFmtId="0" fontId="53" fillId="0" borderId="45" xfId="7" applyFont="1" applyBorder="1" applyAlignment="1">
      <alignment vertical="top"/>
    </xf>
    <xf numFmtId="0" fontId="53" fillId="0" borderId="0" xfId="7" applyFont="1" applyBorder="1" applyAlignment="1">
      <alignment vertical="top"/>
    </xf>
    <xf numFmtId="0" fontId="53" fillId="0" borderId="0" xfId="7" applyFont="1" applyBorder="1" applyAlignment="1">
      <alignment horizontal="left" vertical="justify" wrapText="1"/>
    </xf>
    <xf numFmtId="0" fontId="53" fillId="0" borderId="0" xfId="7" applyFont="1" applyBorder="1" applyAlignment="1">
      <alignment horizontal="left" vertical="top" indent="1"/>
    </xf>
    <xf numFmtId="3" fontId="53" fillId="0" borderId="0" xfId="7" applyNumberFormat="1" applyFont="1" applyBorder="1" applyAlignment="1">
      <alignment vertical="top"/>
    </xf>
    <xf numFmtId="4" fontId="53" fillId="0" borderId="15" xfId="7" applyNumberFormat="1" applyFont="1" applyBorder="1" applyAlignment="1">
      <alignment vertical="top"/>
    </xf>
    <xf numFmtId="0" fontId="53" fillId="0" borderId="15" xfId="7" applyFont="1" applyBorder="1" applyAlignment="1">
      <alignment vertical="top"/>
    </xf>
    <xf numFmtId="0" fontId="53" fillId="0" borderId="46" xfId="7" applyFont="1" applyBorder="1" applyAlignment="1">
      <alignment vertical="top"/>
    </xf>
    <xf numFmtId="0" fontId="53" fillId="0" borderId="16" xfId="7" applyFont="1" applyBorder="1" applyAlignment="1">
      <alignment vertical="top"/>
    </xf>
    <xf numFmtId="0" fontId="53" fillId="0" borderId="16" xfId="7" applyFont="1" applyBorder="1" applyAlignment="1">
      <alignment horizontal="left" vertical="justify" wrapText="1"/>
    </xf>
    <xf numFmtId="0" fontId="53" fillId="0" borderId="16" xfId="7" applyFont="1" applyBorder="1" applyAlignment="1">
      <alignment horizontal="left" vertical="top" indent="1"/>
    </xf>
    <xf numFmtId="0" fontId="53" fillId="0" borderId="29" xfId="7" applyFont="1" applyBorder="1" applyAlignment="1">
      <alignment vertical="top"/>
    </xf>
    <xf numFmtId="0" fontId="53" fillId="0" borderId="0" xfId="7" applyFont="1" applyAlignment="1">
      <alignment horizontal="left" vertical="justify" wrapText="1"/>
    </xf>
    <xf numFmtId="0" fontId="53" fillId="0" borderId="0" xfId="7" applyFont="1" applyAlignment="1">
      <alignment horizontal="left" vertical="top" indent="1"/>
    </xf>
    <xf numFmtId="0" fontId="53" fillId="0" borderId="0" xfId="7" applyFont="1" applyAlignment="1">
      <alignment horizontal="center" vertical="top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justify" vertical="top" wrapText="1"/>
    </xf>
    <xf numFmtId="0" fontId="54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justify" vertical="top" wrapText="1"/>
    </xf>
    <xf numFmtId="0" fontId="54" fillId="0" borderId="19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justify" vertical="top" wrapText="1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vertical="top" wrapText="1"/>
    </xf>
    <xf numFmtId="0" fontId="0" fillId="0" borderId="0" xfId="0" applyBorder="1"/>
    <xf numFmtId="165" fontId="0" fillId="0" borderId="0" xfId="8" applyNumberFormat="1" applyFont="1"/>
    <xf numFmtId="165" fontId="7" fillId="0" borderId="0" xfId="8" applyNumberFormat="1" applyFont="1" applyFill="1" applyBorder="1" applyAlignment="1">
      <alignment horizontal="center"/>
    </xf>
    <xf numFmtId="165" fontId="7" fillId="0" borderId="0" xfId="8" applyNumberFormat="1" applyFont="1" applyFill="1" applyBorder="1" applyAlignment="1">
      <alignment vertical="top"/>
    </xf>
    <xf numFmtId="165" fontId="7" fillId="0" borderId="0" xfId="8" applyNumberFormat="1" applyFont="1" applyFill="1" applyBorder="1" applyAlignment="1">
      <alignment horizontal="center" vertical="top"/>
    </xf>
    <xf numFmtId="165" fontId="7" fillId="0" borderId="0" xfId="8" applyNumberFormat="1" applyFont="1" applyFill="1" applyBorder="1" applyAlignment="1">
      <alignment vertical="top" wrapText="1"/>
    </xf>
    <xf numFmtId="165" fontId="0" fillId="0" borderId="0" xfId="8" applyNumberFormat="1" applyFont="1" applyBorder="1"/>
    <xf numFmtId="165" fontId="2" fillId="0" borderId="0" xfId="8" applyNumberFormat="1" applyFont="1" applyFill="1" applyBorder="1" applyAlignment="1">
      <alignment vertical="top"/>
    </xf>
    <xf numFmtId="165" fontId="21" fillId="0" borderId="3" xfId="8" applyNumberFormat="1" applyFont="1" applyBorder="1" applyAlignment="1">
      <alignment horizontal="center" vertical="top" wrapText="1"/>
    </xf>
    <xf numFmtId="165" fontId="22" fillId="0" borderId="0" xfId="8" applyNumberFormat="1" applyFont="1" applyBorder="1" applyAlignment="1">
      <alignment vertical="top" wrapText="1"/>
    </xf>
    <xf numFmtId="165" fontId="13" fillId="0" borderId="0" xfId="8" applyNumberFormat="1" applyFont="1" applyBorder="1" applyAlignment="1">
      <alignment vertical="top" wrapText="1"/>
    </xf>
    <xf numFmtId="165" fontId="33" fillId="0" borderId="0" xfId="8" applyNumberFormat="1" applyFont="1" applyBorder="1" applyAlignment="1">
      <alignment vertical="top" wrapText="1"/>
    </xf>
    <xf numFmtId="165" fontId="33" fillId="0" borderId="0" xfId="8" applyNumberFormat="1" applyFont="1" applyBorder="1" applyAlignment="1">
      <alignment vertical="justify" wrapText="1"/>
    </xf>
    <xf numFmtId="165" fontId="16" fillId="0" borderId="0" xfId="8" applyNumberFormat="1" applyFont="1" applyBorder="1" applyAlignment="1">
      <alignment vertical="top" wrapText="1"/>
    </xf>
    <xf numFmtId="165" fontId="24" fillId="0" borderId="0" xfId="8" applyNumberFormat="1" applyFont="1" applyBorder="1" applyAlignment="1">
      <alignment vertical="top" wrapText="1"/>
    </xf>
    <xf numFmtId="165" fontId="33" fillId="0" borderId="0" xfId="8" applyNumberFormat="1" applyFont="1" applyBorder="1" applyAlignment="1">
      <alignment horizontal="left" vertical="justify" wrapText="1"/>
    </xf>
    <xf numFmtId="165" fontId="23" fillId="0" borderId="0" xfId="8" applyNumberFormat="1" applyFont="1" applyBorder="1" applyAlignment="1">
      <alignment vertical="top" wrapText="1"/>
    </xf>
    <xf numFmtId="165" fontId="0" fillId="0" borderId="9" xfId="8" applyNumberFormat="1" applyFont="1" applyBorder="1"/>
    <xf numFmtId="49" fontId="21" fillId="0" borderId="3" xfId="8" applyNumberFormat="1" applyFont="1" applyBorder="1" applyAlignment="1">
      <alignment horizontal="center" vertical="top" wrapText="1"/>
    </xf>
    <xf numFmtId="165" fontId="21" fillId="0" borderId="4" xfId="8" applyNumberFormat="1" applyFont="1" applyBorder="1" applyAlignment="1">
      <alignment horizontal="center" vertical="top" wrapText="1"/>
    </xf>
    <xf numFmtId="165" fontId="33" fillId="0" borderId="7" xfId="8" applyNumberFormat="1" applyFont="1" applyBorder="1" applyAlignment="1">
      <alignment vertical="top" wrapText="1"/>
    </xf>
    <xf numFmtId="165" fontId="37" fillId="0" borderId="0" xfId="8" applyNumberFormat="1" applyFont="1" applyBorder="1" applyAlignment="1">
      <alignment vertical="top" wrapText="1"/>
    </xf>
    <xf numFmtId="165" fontId="37" fillId="0" borderId="7" xfId="8" applyNumberFormat="1" applyFont="1" applyBorder="1" applyAlignment="1">
      <alignment vertical="top" wrapText="1"/>
    </xf>
    <xf numFmtId="165" fontId="10" fillId="0" borderId="0" xfId="8" applyNumberFormat="1" applyFont="1" applyBorder="1" applyAlignment="1">
      <alignment horizontal="left" vertical="top"/>
    </xf>
    <xf numFmtId="165" fontId="10" fillId="0" borderId="7" xfId="8" applyNumberFormat="1" applyFont="1" applyBorder="1" applyAlignment="1">
      <alignment horizontal="left" vertical="top"/>
    </xf>
    <xf numFmtId="165" fontId="12" fillId="0" borderId="0" xfId="8" applyNumberFormat="1" applyFont="1" applyBorder="1" applyAlignment="1">
      <alignment horizontal="left" vertical="top"/>
    </xf>
    <xf numFmtId="165" fontId="12" fillId="0" borderId="7" xfId="8" applyNumberFormat="1" applyFont="1" applyBorder="1" applyAlignment="1">
      <alignment horizontal="left" vertical="top"/>
    </xf>
    <xf numFmtId="165" fontId="13" fillId="0" borderId="0" xfId="8" applyNumberFormat="1" applyFont="1" applyBorder="1" applyAlignment="1">
      <alignment horizontal="left" vertical="top"/>
    </xf>
    <xf numFmtId="165" fontId="13" fillId="0" borderId="7" xfId="8" applyNumberFormat="1" applyFont="1" applyBorder="1" applyAlignment="1">
      <alignment horizontal="left" vertical="top"/>
    </xf>
    <xf numFmtId="165" fontId="10" fillId="0" borderId="0" xfId="8" applyNumberFormat="1" applyFont="1" applyBorder="1"/>
    <xf numFmtId="165" fontId="10" fillId="0" borderId="0" xfId="0" applyNumberFormat="1" applyFont="1" applyBorder="1"/>
    <xf numFmtId="165" fontId="10" fillId="2" borderId="7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2" borderId="7" xfId="8" applyNumberFormat="1" applyFont="1" applyFill="1" applyBorder="1" applyAlignment="1">
      <alignment vertical="center"/>
    </xf>
    <xf numFmtId="165" fontId="26" fillId="3" borderId="7" xfId="8" applyNumberFormat="1" applyFont="1" applyFill="1" applyBorder="1" applyAlignment="1">
      <alignment horizontal="justify" vertical="center" wrapText="1"/>
    </xf>
    <xf numFmtId="165" fontId="17" fillId="3" borderId="7" xfId="8" applyNumberFormat="1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10" xfId="0" applyFont="1" applyFill="1" applyBorder="1" applyAlignment="1">
      <alignment horizontal="justify" vertical="center" wrapText="1"/>
    </xf>
    <xf numFmtId="165" fontId="8" fillId="3" borderId="7" xfId="8" applyNumberFormat="1" applyFont="1" applyFill="1" applyBorder="1" applyAlignment="1">
      <alignment horizontal="justify" vertical="center"/>
    </xf>
    <xf numFmtId="165" fontId="8" fillId="3" borderId="7" xfId="0" applyNumberFormat="1" applyFont="1" applyFill="1" applyBorder="1" applyAlignment="1">
      <alignment horizontal="justify" vertical="center"/>
    </xf>
    <xf numFmtId="165" fontId="11" fillId="3" borderId="7" xfId="0" applyNumberFormat="1" applyFont="1" applyFill="1" applyBorder="1" applyAlignment="1">
      <alignment horizontal="justify" vertical="center"/>
    </xf>
    <xf numFmtId="165" fontId="10" fillId="0" borderId="7" xfId="8" applyNumberFormat="1" applyFont="1" applyBorder="1" applyAlignment="1">
      <alignment horizontal="justify" vertical="top" wrapText="1"/>
    </xf>
    <xf numFmtId="165" fontId="20" fillId="0" borderId="1" xfId="0" applyNumberFormat="1" applyFont="1" applyFill="1" applyBorder="1" applyAlignment="1">
      <alignment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10" fillId="0" borderId="7" xfId="8" applyNumberFormat="1" applyFont="1" applyBorder="1" applyAlignment="1">
      <alignment horizontal="justify" vertical="center" wrapText="1"/>
    </xf>
    <xf numFmtId="165" fontId="10" fillId="0" borderId="5" xfId="8" applyNumberFormat="1" applyFont="1" applyBorder="1" applyAlignment="1">
      <alignment vertical="center" wrapText="1"/>
    </xf>
    <xf numFmtId="165" fontId="10" fillId="0" borderId="10" xfId="8" applyNumberFormat="1" applyFont="1" applyBorder="1" applyAlignment="1">
      <alignment horizontal="justify" vertical="center" wrapText="1"/>
    </xf>
    <xf numFmtId="10" fontId="10" fillId="0" borderId="0" xfId="6" applyNumberFormat="1" applyFont="1" applyBorder="1" applyAlignment="1">
      <alignment horizontal="right" vertical="center" wrapText="1"/>
    </xf>
    <xf numFmtId="10" fontId="10" fillId="0" borderId="9" xfId="6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horizontal="justify" vertical="center" wrapText="1"/>
    </xf>
    <xf numFmtId="10" fontId="10" fillId="0" borderId="17" xfId="6" applyNumberFormat="1" applyFont="1" applyBorder="1" applyAlignment="1">
      <alignment horizontal="right" vertical="center" wrapText="1"/>
    </xf>
    <xf numFmtId="10" fontId="10" fillId="0" borderId="14" xfId="6" applyNumberFormat="1" applyFont="1" applyBorder="1" applyAlignment="1">
      <alignment horizontal="right" vertical="center" wrapText="1"/>
    </xf>
    <xf numFmtId="165" fontId="7" fillId="0" borderId="10" xfId="8" applyNumberFormat="1" applyFont="1" applyBorder="1" applyAlignment="1">
      <alignment horizontal="justify" vertical="center" wrapText="1"/>
    </xf>
    <xf numFmtId="0" fontId="47" fillId="4" borderId="17" xfId="0" applyFont="1" applyFill="1" applyBorder="1" applyAlignment="1">
      <alignment horizontal="right" vertical="center" wrapText="1"/>
    </xf>
    <xf numFmtId="0" fontId="47" fillId="4" borderId="17" xfId="0" applyFont="1" applyFill="1" applyBorder="1" applyAlignment="1">
      <alignment vertical="center" wrapText="1"/>
    </xf>
    <xf numFmtId="165" fontId="47" fillId="4" borderId="14" xfId="8" applyNumberFormat="1" applyFont="1" applyFill="1" applyBorder="1" applyAlignment="1">
      <alignment horizontal="right" vertical="center"/>
    </xf>
    <xf numFmtId="0" fontId="30" fillId="0" borderId="31" xfId="0" applyFont="1" applyBorder="1" applyAlignment="1">
      <alignment horizontal="right" vertical="center" wrapText="1"/>
    </xf>
    <xf numFmtId="4" fontId="57" fillId="6" borderId="26" xfId="0" applyNumberFormat="1" applyFont="1" applyFill="1" applyBorder="1" applyAlignment="1">
      <alignment horizontal="left" vertical="center" wrapText="1"/>
    </xf>
    <xf numFmtId="165" fontId="20" fillId="0" borderId="31" xfId="8" applyNumberFormat="1" applyFont="1" applyFill="1" applyBorder="1" applyAlignment="1">
      <alignment vertical="center"/>
    </xf>
    <xf numFmtId="165" fontId="20" fillId="4" borderId="26" xfId="8" applyNumberFormat="1" applyFont="1" applyFill="1" applyBorder="1" applyAlignment="1">
      <alignment vertical="center"/>
    </xf>
    <xf numFmtId="4" fontId="57" fillId="0" borderId="26" xfId="0" applyNumberFormat="1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vertical="top" wrapText="1"/>
    </xf>
    <xf numFmtId="165" fontId="16" fillId="0" borderId="31" xfId="8" applyNumberFormat="1" applyFont="1" applyFill="1" applyBorder="1" applyAlignment="1">
      <alignment vertical="center"/>
    </xf>
    <xf numFmtId="165" fontId="16" fillId="4" borderId="26" xfId="8" applyNumberFormat="1" applyFont="1" applyFill="1" applyBorder="1" applyAlignment="1">
      <alignment vertical="center"/>
    </xf>
    <xf numFmtId="166" fontId="30" fillId="0" borderId="31" xfId="8" applyNumberFormat="1" applyFont="1" applyFill="1" applyBorder="1" applyAlignment="1">
      <alignment vertical="center"/>
    </xf>
    <xf numFmtId="0" fontId="30" fillId="4" borderId="31" xfId="0" applyFont="1" applyFill="1" applyBorder="1" applyAlignment="1">
      <alignment horizontal="left" vertical="center" wrapText="1"/>
    </xf>
    <xf numFmtId="0" fontId="0" fillId="4" borderId="31" xfId="0" applyNumberFormat="1" applyFont="1" applyFill="1" applyBorder="1" applyAlignment="1">
      <alignment vertical="center" wrapText="1"/>
    </xf>
    <xf numFmtId="0" fontId="30" fillId="0" borderId="26" xfId="0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vertical="top" wrapText="1"/>
    </xf>
    <xf numFmtId="166" fontId="32" fillId="0" borderId="31" xfId="8" applyNumberFormat="1" applyFont="1" applyFill="1" applyBorder="1" applyAlignment="1">
      <alignment vertical="center"/>
    </xf>
    <xf numFmtId="0" fontId="47" fillId="4" borderId="17" xfId="0" applyFont="1" applyFill="1" applyBorder="1" applyAlignment="1">
      <alignment horizontal="left" vertical="center" wrapText="1"/>
    </xf>
    <xf numFmtId="165" fontId="47" fillId="4" borderId="17" xfId="8" applyNumberFormat="1" applyFont="1" applyFill="1" applyBorder="1" applyAlignment="1">
      <alignment horizontal="right" vertical="center"/>
    </xf>
    <xf numFmtId="0" fontId="58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0" fillId="0" borderId="26" xfId="0" applyNumberFormat="1" applyFont="1" applyBorder="1" applyAlignment="1">
      <alignment vertical="top" wrapText="1"/>
    </xf>
    <xf numFmtId="0" fontId="30" fillId="4" borderId="26" xfId="0" applyFont="1" applyFill="1" applyBorder="1" applyAlignment="1">
      <alignment horizontal="left" vertical="center" wrapText="1"/>
    </xf>
    <xf numFmtId="0" fontId="0" fillId="4" borderId="26" xfId="0" applyFill="1" applyBorder="1" applyAlignment="1">
      <alignment vertical="center" wrapText="1"/>
    </xf>
    <xf numFmtId="165" fontId="16" fillId="4" borderId="31" xfId="8" applyNumberFormat="1" applyFont="1" applyFill="1" applyBorder="1" applyAlignment="1">
      <alignment vertical="center"/>
    </xf>
    <xf numFmtId="0" fontId="0" fillId="4" borderId="26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vertical="center" wrapText="1"/>
    </xf>
    <xf numFmtId="0" fontId="0" fillId="0" borderId="50" xfId="0" applyBorder="1" applyAlignment="1">
      <alignment horizontal="left" vertical="center"/>
    </xf>
    <xf numFmtId="0" fontId="0" fillId="0" borderId="50" xfId="0" applyFont="1" applyBorder="1" applyAlignment="1">
      <alignment vertical="center" wrapText="1"/>
    </xf>
    <xf numFmtId="0" fontId="16" fillId="0" borderId="0" xfId="0" applyFont="1"/>
    <xf numFmtId="0" fontId="30" fillId="4" borderId="26" xfId="0" applyFont="1" applyFill="1" applyBorder="1" applyAlignment="1">
      <alignment horizontal="left"/>
    </xf>
    <xf numFmtId="165" fontId="16" fillId="0" borderId="26" xfId="8" applyNumberFormat="1" applyFont="1" applyFill="1" applyBorder="1" applyAlignment="1">
      <alignment vertical="center"/>
    </xf>
    <xf numFmtId="43" fontId="16" fillId="0" borderId="31" xfId="8" applyFont="1" applyFill="1" applyBorder="1" applyAlignment="1">
      <alignment vertical="center"/>
    </xf>
    <xf numFmtId="0" fontId="30" fillId="4" borderId="26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left"/>
    </xf>
    <xf numFmtId="0" fontId="10" fillId="0" borderId="16" xfId="0" applyFont="1" applyBorder="1"/>
    <xf numFmtId="4" fontId="10" fillId="0" borderId="0" xfId="0" applyNumberFormat="1" applyFont="1" applyAlignment="1">
      <alignment vertical="center"/>
    </xf>
    <xf numFmtId="0" fontId="61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10" fillId="0" borderId="0" xfId="0" applyNumberFormat="1" applyFont="1" applyAlignment="1"/>
    <xf numFmtId="0" fontId="10" fillId="7" borderId="0" xfId="0" applyFont="1" applyFill="1" applyAlignment="1">
      <alignment horizontal="center"/>
    </xf>
    <xf numFmtId="4" fontId="10" fillId="3" borderId="0" xfId="0" applyNumberFormat="1" applyFont="1" applyFill="1" applyBorder="1" applyAlignment="1">
      <alignment horizontal="center" vertical="top"/>
    </xf>
    <xf numFmtId="4" fontId="10" fillId="3" borderId="7" xfId="0" applyNumberFormat="1" applyFont="1" applyFill="1" applyBorder="1" applyAlignment="1">
      <alignment horizontal="right" vertical="top"/>
    </xf>
    <xf numFmtId="4" fontId="10" fillId="5" borderId="0" xfId="0" applyNumberFormat="1" applyFont="1" applyFill="1" applyAlignment="1"/>
    <xf numFmtId="4" fontId="10" fillId="3" borderId="0" xfId="0" applyNumberFormat="1" applyFont="1" applyFill="1" applyBorder="1" applyAlignment="1">
      <alignment horizontal="right" vertical="top"/>
    </xf>
    <xf numFmtId="0" fontId="10" fillId="3" borderId="7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 vertical="top"/>
    </xf>
    <xf numFmtId="4" fontId="7" fillId="0" borderId="0" xfId="0" applyNumberFormat="1" applyFont="1" applyAlignment="1"/>
    <xf numFmtId="0" fontId="7" fillId="3" borderId="0" xfId="0" applyFont="1" applyFill="1" applyBorder="1" applyAlignment="1">
      <alignment horizontal="right" vertical="top"/>
    </xf>
    <xf numFmtId="0" fontId="7" fillId="3" borderId="7" xfId="0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right" vertical="top"/>
    </xf>
    <xf numFmtId="0" fontId="13" fillId="3" borderId="7" xfId="0" applyFont="1" applyFill="1" applyBorder="1" applyAlignment="1">
      <alignment horizontal="right" vertical="top"/>
    </xf>
    <xf numFmtId="4" fontId="10" fillId="3" borderId="7" xfId="0" applyNumberFormat="1" applyFont="1" applyFill="1" applyBorder="1" applyAlignment="1">
      <alignment horizontal="center" vertical="top"/>
    </xf>
    <xf numFmtId="4" fontId="8" fillId="3" borderId="0" xfId="0" applyNumberFormat="1" applyFont="1" applyFill="1" applyBorder="1" applyAlignment="1">
      <alignment horizontal="right" vertical="top"/>
    </xf>
    <xf numFmtId="0" fontId="11" fillId="3" borderId="7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right" vertical="top"/>
    </xf>
    <xf numFmtId="0" fontId="8" fillId="3" borderId="7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justify" vertical="top"/>
    </xf>
    <xf numFmtId="0" fontId="8" fillId="3" borderId="7" xfId="0" applyFont="1" applyFill="1" applyBorder="1" applyAlignment="1">
      <alignment horizontal="justify" vertical="top"/>
    </xf>
    <xf numFmtId="0" fontId="13" fillId="3" borderId="0" xfId="0" applyFont="1" applyFill="1" applyBorder="1" applyAlignment="1">
      <alignment horizontal="justify" vertical="top"/>
    </xf>
    <xf numFmtId="0" fontId="13" fillId="3" borderId="7" xfId="0" applyFont="1" applyFill="1" applyBorder="1" applyAlignment="1">
      <alignment horizontal="justify" vertical="top"/>
    </xf>
    <xf numFmtId="0" fontId="8" fillId="3" borderId="9" xfId="0" applyFont="1" applyFill="1" applyBorder="1" applyAlignment="1">
      <alignment horizontal="justify" vertical="top"/>
    </xf>
    <xf numFmtId="0" fontId="8" fillId="3" borderId="10" xfId="0" applyFont="1" applyFill="1" applyBorder="1" applyAlignment="1">
      <alignment horizontal="justify" vertical="top"/>
    </xf>
    <xf numFmtId="4" fontId="0" fillId="0" borderId="0" xfId="0" applyNumberFormat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9" fillId="3" borderId="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165" fontId="10" fillId="0" borderId="6" xfId="8" applyNumberFormat="1" applyFont="1" applyBorder="1" applyAlignment="1">
      <alignment horizontal="justify" vertical="top" wrapText="1"/>
    </xf>
    <xf numFmtId="165" fontId="10" fillId="0" borderId="7" xfId="8" applyNumberFormat="1" applyFont="1" applyBorder="1" applyAlignment="1">
      <alignment horizontal="justify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justify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0" fillId="0" borderId="26" xfId="7" applyFont="1" applyBorder="1" applyAlignment="1">
      <alignment horizontal="center" vertical="center"/>
    </xf>
    <xf numFmtId="0" fontId="30" fillId="0" borderId="30" xfId="7" applyFont="1" applyBorder="1" applyAlignment="1">
      <alignment horizontal="center" vertical="center"/>
    </xf>
    <xf numFmtId="0" fontId="30" fillId="5" borderId="26" xfId="7" applyFont="1" applyFill="1" applyBorder="1" applyAlignment="1">
      <alignment horizontal="center" vertical="center"/>
    </xf>
    <xf numFmtId="0" fontId="30" fillId="5" borderId="30" xfId="7" applyFont="1" applyFill="1" applyBorder="1" applyAlignment="1">
      <alignment horizontal="center" vertical="center"/>
    </xf>
    <xf numFmtId="0" fontId="47" fillId="0" borderId="0" xfId="7" applyFont="1" applyAlignment="1">
      <alignment horizontal="right" vertical="center"/>
    </xf>
    <xf numFmtId="0" fontId="30" fillId="0" borderId="0" xfId="7" applyFont="1"/>
    <xf numFmtId="0" fontId="52" fillId="0" borderId="38" xfId="7" applyFont="1" applyBorder="1" applyAlignment="1">
      <alignment horizontal="center" vertical="center"/>
    </xf>
    <xf numFmtId="0" fontId="52" fillId="0" borderId="26" xfId="7" applyFont="1" applyBorder="1" applyAlignment="1">
      <alignment horizontal="center" vertical="center"/>
    </xf>
    <xf numFmtId="0" fontId="52" fillId="0" borderId="30" xfId="7" applyFont="1" applyBorder="1" applyAlignment="1">
      <alignment horizontal="center" vertical="center"/>
    </xf>
    <xf numFmtId="0" fontId="30" fillId="0" borderId="38" xfId="7" applyFont="1" applyBorder="1" applyAlignment="1">
      <alignment horizontal="center" vertical="center" wrapText="1"/>
    </xf>
    <xf numFmtId="0" fontId="30" fillId="0" borderId="26" xfId="7" applyFont="1" applyBorder="1" applyAlignment="1">
      <alignment horizontal="center" vertical="center" wrapText="1"/>
    </xf>
    <xf numFmtId="0" fontId="30" fillId="0" borderId="30" xfId="7" applyFont="1" applyBorder="1" applyAlignment="1">
      <alignment horizontal="center" vertical="center" wrapText="1"/>
    </xf>
    <xf numFmtId="0" fontId="30" fillId="0" borderId="39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 wrapText="1"/>
    </xf>
    <xf numFmtId="0" fontId="30" fillId="0" borderId="43" xfId="7" applyFont="1" applyBorder="1" applyAlignment="1">
      <alignment horizontal="center" vertical="center" wrapText="1"/>
    </xf>
    <xf numFmtId="49" fontId="30" fillId="0" borderId="40" xfId="7" applyNumberFormat="1" applyFont="1" applyBorder="1" applyAlignment="1">
      <alignment horizontal="center" vertical="center"/>
    </xf>
    <xf numFmtId="49" fontId="30" fillId="0" borderId="42" xfId="7" applyNumberFormat="1" applyFont="1" applyBorder="1" applyAlignment="1">
      <alignment horizontal="center" vertical="center"/>
    </xf>
    <xf numFmtId="0" fontId="56" fillId="0" borderId="30" xfId="7" applyFont="1" applyBorder="1" applyAlignment="1">
      <alignment horizontal="center" vertical="justify" wrapText="1"/>
    </xf>
    <xf numFmtId="0" fontId="56" fillId="0" borderId="21" xfId="7" applyFont="1" applyBorder="1" applyAlignment="1">
      <alignment horizontal="center" vertical="justify" wrapText="1"/>
    </xf>
    <xf numFmtId="0" fontId="56" fillId="0" borderId="31" xfId="7" applyFont="1" applyBorder="1" applyAlignment="1">
      <alignment horizontal="center" vertical="justify" wrapText="1"/>
    </xf>
    <xf numFmtId="0" fontId="56" fillId="0" borderId="30" xfId="7" applyFont="1" applyBorder="1" applyAlignment="1">
      <alignment horizontal="center" vertical="center" wrapText="1"/>
    </xf>
    <xf numFmtId="0" fontId="56" fillId="0" borderId="21" xfId="7" applyFont="1" applyBorder="1" applyAlignment="1">
      <alignment horizontal="center" vertical="center" wrapText="1"/>
    </xf>
    <xf numFmtId="0" fontId="56" fillId="0" borderId="31" xfId="7" applyFont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4" fontId="7" fillId="0" borderId="26" xfId="0" applyNumberFormat="1" applyFont="1" applyBorder="1" applyAlignment="1"/>
    <xf numFmtId="0" fontId="7" fillId="0" borderId="0" xfId="0" applyFont="1" applyAlignment="1"/>
    <xf numFmtId="0" fontId="28" fillId="3" borderId="0" xfId="0" applyFont="1" applyFill="1" applyBorder="1" applyAlignment="1">
      <alignment horizontal="right" vertical="center"/>
    </xf>
    <xf numFmtId="4" fontId="10" fillId="5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165" fontId="47" fillId="4" borderId="0" xfId="8" applyNumberFormat="1" applyFont="1" applyFill="1" applyBorder="1" applyAlignment="1">
      <alignment horizontal="right" vertical="center"/>
    </xf>
    <xf numFmtId="165" fontId="20" fillId="0" borderId="0" xfId="8" applyNumberFormat="1" applyFont="1" applyFill="1" applyBorder="1" applyAlignment="1">
      <alignment vertical="center"/>
    </xf>
    <xf numFmtId="166" fontId="32" fillId="0" borderId="0" xfId="8" applyNumberFormat="1" applyFont="1" applyFill="1" applyBorder="1" applyAlignment="1">
      <alignment vertical="center"/>
    </xf>
    <xf numFmtId="165" fontId="16" fillId="0" borderId="0" xfId="8" applyNumberFormat="1" applyFont="1" applyFill="1" applyBorder="1" applyAlignment="1">
      <alignment vertical="center"/>
    </xf>
    <xf numFmtId="166" fontId="30" fillId="0" borderId="0" xfId="8" applyNumberFormat="1" applyFont="1" applyFill="1" applyBorder="1" applyAlignment="1">
      <alignment vertical="center"/>
    </xf>
    <xf numFmtId="165" fontId="20" fillId="0" borderId="4" xfId="8" applyNumberFormat="1" applyFont="1" applyFill="1" applyBorder="1" applyAlignment="1">
      <alignment horizontal="center" vertical="center" wrapText="1"/>
    </xf>
    <xf numFmtId="165" fontId="20" fillId="0" borderId="10" xfId="8" applyNumberFormat="1" applyFont="1" applyFill="1" applyBorder="1" applyAlignment="1">
      <alignment horizontal="center" vertical="center" wrapText="1"/>
    </xf>
    <xf numFmtId="165" fontId="20" fillId="0" borderId="7" xfId="8" applyNumberFormat="1" applyFont="1" applyFill="1" applyBorder="1" applyAlignment="1">
      <alignment horizontal="center" vertical="center" wrapText="1"/>
    </xf>
    <xf numFmtId="165" fontId="16" fillId="0" borderId="0" xfId="8" applyNumberFormat="1" applyFont="1"/>
    <xf numFmtId="165" fontId="0" fillId="0" borderId="0" xfId="8" applyNumberFormat="1" applyFont="1" applyAlignment="1">
      <alignment vertical="center"/>
    </xf>
    <xf numFmtId="165" fontId="29" fillId="0" borderId="4" xfId="8" applyNumberFormat="1" applyFont="1" applyFill="1" applyBorder="1" applyAlignment="1">
      <alignment horizontal="center" vertical="center" wrapText="1"/>
    </xf>
    <xf numFmtId="165" fontId="20" fillId="0" borderId="1" xfId="8" applyNumberFormat="1" applyFont="1" applyFill="1" applyBorder="1" applyAlignment="1">
      <alignment horizontal="center" vertical="center" wrapText="1"/>
    </xf>
    <xf numFmtId="165" fontId="20" fillId="0" borderId="14" xfId="8" applyNumberFormat="1" applyFont="1" applyFill="1" applyBorder="1" applyAlignment="1">
      <alignment horizontal="center" vertical="center" wrapText="1"/>
    </xf>
    <xf numFmtId="165" fontId="30" fillId="4" borderId="31" xfId="8" applyNumberFormat="1" applyFont="1" applyFill="1" applyBorder="1" applyAlignment="1">
      <alignment horizontal="right" vertical="center"/>
    </xf>
    <xf numFmtId="165" fontId="30" fillId="0" borderId="31" xfId="8" applyNumberFormat="1" applyFont="1" applyFill="1" applyBorder="1" applyAlignment="1">
      <alignment vertical="center"/>
    </xf>
    <xf numFmtId="165" fontId="32" fillId="0" borderId="31" xfId="8" applyNumberFormat="1" applyFont="1" applyFill="1" applyBorder="1" applyAlignment="1">
      <alignment vertical="center"/>
    </xf>
    <xf numFmtId="165" fontId="15" fillId="0" borderId="0" xfId="8" applyNumberFormat="1" applyFont="1" applyBorder="1" applyAlignment="1">
      <alignment horizontal="left" vertical="center"/>
    </xf>
    <xf numFmtId="165" fontId="0" fillId="0" borderId="0" xfId="8" applyNumberFormat="1" applyFont="1" applyBorder="1" applyAlignment="1">
      <alignment horizontal="left" vertical="center"/>
    </xf>
  </cellXfs>
  <cellStyles count="12">
    <cellStyle name="Euro" xfId="2"/>
    <cellStyle name="Euro 2" xfId="3"/>
    <cellStyle name="Euro 3" xfId="4"/>
    <cellStyle name="Millares" xfId="8" builtinId="3"/>
    <cellStyle name="Millares 2" xfId="9"/>
    <cellStyle name="Normal" xfId="0" builtinId="0"/>
    <cellStyle name="Normal 2" xfId="1"/>
    <cellStyle name="Normal 2 2" xfId="10"/>
    <cellStyle name="Normal 2 2 2" xfId="11"/>
    <cellStyle name="Normal 3" xfId="7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2152650</xdr:colOff>
      <xdr:row>1</xdr:row>
      <xdr:rowOff>142875</xdr:rowOff>
    </xdr:from>
    <xdr:to>
      <xdr:col>0</xdr:col>
      <xdr:colOff>2494056</xdr:colOff>
      <xdr:row>3</xdr:row>
      <xdr:rowOff>72798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333375"/>
          <a:ext cx="341406" cy="3109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2954655" cy="264560"/>
    <xdr:sp macro="" textlink="">
      <xdr:nvSpPr>
        <xdr:cNvPr id="2" name="1 CuadroTexto"/>
        <xdr:cNvSpPr txBox="1"/>
      </xdr:nvSpPr>
      <xdr:spPr>
        <a:xfrm>
          <a:off x="3219450" y="933450"/>
          <a:ext cx="29546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MX" sz="1100"/>
            <a:t>			</a:t>
          </a:r>
        </a:p>
      </xdr:txBody>
    </xdr:sp>
    <xdr:clientData/>
  </xdr:oneCellAnchor>
  <xdr:oneCellAnchor>
    <xdr:from>
      <xdr:col>7</xdr:col>
      <xdr:colOff>651667</xdr:colOff>
      <xdr:row>4</xdr:row>
      <xdr:rowOff>171928</xdr:rowOff>
    </xdr:from>
    <xdr:ext cx="2152191" cy="254557"/>
    <xdr:sp macro="" textlink="">
      <xdr:nvSpPr>
        <xdr:cNvPr id="3" name="2 CuadroTexto"/>
        <xdr:cNvSpPr txBox="1"/>
      </xdr:nvSpPr>
      <xdr:spPr>
        <a:xfrm>
          <a:off x="8443117" y="962503"/>
          <a:ext cx="215219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8</xdr:col>
      <xdr:colOff>690105</xdr:colOff>
      <xdr:row>0</xdr:row>
      <xdr:rowOff>0</xdr:rowOff>
    </xdr:from>
    <xdr:ext cx="1046953" cy="416781"/>
    <xdr:sp macro="" textlink="">
      <xdr:nvSpPr>
        <xdr:cNvPr id="4" name="3 CuadroTexto"/>
        <xdr:cNvSpPr txBox="1"/>
      </xdr:nvSpPr>
      <xdr:spPr>
        <a:xfrm>
          <a:off x="7871955" y="923626"/>
          <a:ext cx="1046953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38100</xdr:rowOff>
    </xdr:from>
    <xdr:to>
      <xdr:col>7</xdr:col>
      <xdr:colOff>695325</xdr:colOff>
      <xdr:row>1</xdr:row>
      <xdr:rowOff>66675</xdr:rowOff>
    </xdr:to>
    <xdr:sp macro="" textlink="">
      <xdr:nvSpPr>
        <xdr:cNvPr id="2" name="1 CuadroTexto"/>
        <xdr:cNvSpPr txBox="1"/>
      </xdr:nvSpPr>
      <xdr:spPr>
        <a:xfrm>
          <a:off x="7086600" y="38100"/>
          <a:ext cx="7810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/>
            <a:t>ETCA-II-11</a:t>
          </a:r>
        </a:p>
      </xdr:txBody>
    </xdr:sp>
    <xdr:clientData/>
  </xdr:twoCellAnchor>
  <xdr:twoCellAnchor>
    <xdr:from>
      <xdr:col>5</xdr:col>
      <xdr:colOff>476249</xdr:colOff>
      <xdr:row>2</xdr:row>
      <xdr:rowOff>219076</xdr:rowOff>
    </xdr:from>
    <xdr:to>
      <xdr:col>7</xdr:col>
      <xdr:colOff>752474</xdr:colOff>
      <xdr:row>3</xdr:row>
      <xdr:rowOff>180975</xdr:rowOff>
    </xdr:to>
    <xdr:sp macro="" textlink="">
      <xdr:nvSpPr>
        <xdr:cNvPr id="3" name="2 CuadroTexto"/>
        <xdr:cNvSpPr txBox="1"/>
      </xdr:nvSpPr>
      <xdr:spPr>
        <a:xfrm>
          <a:off x="6124574" y="571501"/>
          <a:ext cx="180022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ES" sz="1100" b="1"/>
            <a:t>TRIMESTRE: SEGUNDO 2014</a:t>
          </a:r>
        </a:p>
      </xdr:txBody>
    </xdr:sp>
    <xdr:clientData/>
  </xdr:twoCellAnchor>
  <xdr:oneCellAnchor>
    <xdr:from>
      <xdr:col>2</xdr:col>
      <xdr:colOff>362439</xdr:colOff>
      <xdr:row>9</xdr:row>
      <xdr:rowOff>183648</xdr:rowOff>
    </xdr:from>
    <xdr:ext cx="2932727" cy="937629"/>
    <xdr:sp macro="" textlink="">
      <xdr:nvSpPr>
        <xdr:cNvPr id="4" name="3 Rectángulo"/>
        <xdr:cNvSpPr/>
      </xdr:nvSpPr>
      <xdr:spPr>
        <a:xfrm>
          <a:off x="2657964" y="2060073"/>
          <a:ext cx="2932727" cy="93762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136071</xdr:colOff>
      <xdr:row>66</xdr:row>
      <xdr:rowOff>68036</xdr:rowOff>
    </xdr:from>
    <xdr:to>
      <xdr:col>12</xdr:col>
      <xdr:colOff>244929</xdr:colOff>
      <xdr:row>77</xdr:row>
      <xdr:rowOff>0</xdr:rowOff>
    </xdr:to>
    <xdr:cxnSp macro="">
      <xdr:nvCxnSpPr>
        <xdr:cNvPr id="3" name="2 Conector recto de flecha"/>
        <xdr:cNvCxnSpPr/>
      </xdr:nvCxnSpPr>
      <xdr:spPr>
        <a:xfrm flipH="1" flipV="1">
          <a:off x="1646464" y="11987893"/>
          <a:ext cx="1578429" cy="17281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163286</xdr:colOff>
      <xdr:row>10</xdr:row>
      <xdr:rowOff>54428</xdr:rowOff>
    </xdr:from>
    <xdr:to>
      <xdr:col>12</xdr:col>
      <xdr:colOff>299357</xdr:colOff>
      <xdr:row>20</xdr:row>
      <xdr:rowOff>136071</xdr:rowOff>
    </xdr:to>
    <xdr:cxnSp macro="">
      <xdr:nvCxnSpPr>
        <xdr:cNvPr id="5" name="4 Conector recto de flecha"/>
        <xdr:cNvCxnSpPr/>
      </xdr:nvCxnSpPr>
      <xdr:spPr>
        <a:xfrm flipH="1" flipV="1">
          <a:off x="1673679" y="2503714"/>
          <a:ext cx="1605642" cy="1714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310336</xdr:colOff>
      <xdr:row>3</xdr:row>
      <xdr:rowOff>152878</xdr:rowOff>
    </xdr:from>
    <xdr:ext cx="2113014" cy="254557"/>
    <xdr:sp macro="" textlink="">
      <xdr:nvSpPr>
        <xdr:cNvPr id="3" name="2 CuadroTexto"/>
        <xdr:cNvSpPr txBox="1"/>
      </xdr:nvSpPr>
      <xdr:spPr>
        <a:xfrm>
          <a:off x="7196911" y="743428"/>
          <a:ext cx="211301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SEGUNDO2014</a:t>
          </a:r>
        </a:p>
      </xdr:txBody>
    </xdr:sp>
    <xdr:clientData/>
  </xdr:oneCellAnchor>
  <xdr:oneCellAnchor>
    <xdr:from>
      <xdr:col>3</xdr:col>
      <xdr:colOff>195946</xdr:colOff>
      <xdr:row>0</xdr:row>
      <xdr:rowOff>9525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311246" y="9525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  <xdr:twoCellAnchor editAs="oneCell">
    <xdr:from>
      <xdr:col>1</xdr:col>
      <xdr:colOff>2009775</xdr:colOff>
      <xdr:row>1</xdr:row>
      <xdr:rowOff>85725</xdr:rowOff>
    </xdr:from>
    <xdr:to>
      <xdr:col>1</xdr:col>
      <xdr:colOff>2351181</xdr:colOff>
      <xdr:row>2</xdr:row>
      <xdr:rowOff>196623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0" y="276225"/>
          <a:ext cx="341406" cy="3109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242091</xdr:colOff>
      <xdr:row>3</xdr:row>
      <xdr:rowOff>152878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3642516" y="74342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3</xdr:col>
      <xdr:colOff>214996</xdr:colOff>
      <xdr:row>0</xdr:row>
      <xdr:rowOff>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4786996" y="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twoCellAnchor editAs="oneCell">
    <xdr:from>
      <xdr:col>1</xdr:col>
      <xdr:colOff>733425</xdr:colOff>
      <xdr:row>1</xdr:row>
      <xdr:rowOff>57150</xdr:rowOff>
    </xdr:from>
    <xdr:to>
      <xdr:col>1</xdr:col>
      <xdr:colOff>1074831</xdr:colOff>
      <xdr:row>2</xdr:row>
      <xdr:rowOff>168048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247650"/>
          <a:ext cx="341406" cy="3109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32541</xdr:colOff>
      <xdr:row>3</xdr:row>
      <xdr:rowOff>133828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4861716" y="72437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4</xdr:col>
      <xdr:colOff>525808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59833" y="9239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twoCellAnchor editAs="oneCell">
    <xdr:from>
      <xdr:col>0</xdr:col>
      <xdr:colOff>981075</xdr:colOff>
      <xdr:row>1</xdr:row>
      <xdr:rowOff>142875</xdr:rowOff>
    </xdr:from>
    <xdr:to>
      <xdr:col>0</xdr:col>
      <xdr:colOff>1322481</xdr:colOff>
      <xdr:row>3</xdr:row>
      <xdr:rowOff>53748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333375"/>
          <a:ext cx="341406" cy="3109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2" name="4 CuadroTexto"/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3</xdr:col>
      <xdr:colOff>1419225</xdr:colOff>
      <xdr:row>28</xdr:row>
      <xdr:rowOff>161926</xdr:rowOff>
    </xdr:from>
    <xdr:to>
      <xdr:col>3</xdr:col>
      <xdr:colOff>1543051</xdr:colOff>
      <xdr:row>29</xdr:row>
      <xdr:rowOff>123825</xdr:rowOff>
    </xdr:to>
    <xdr:cxnSp macro="">
      <xdr:nvCxnSpPr>
        <xdr:cNvPr id="3" name="Conector recto de flecha 5"/>
        <xdr:cNvCxnSpPr/>
      </xdr:nvCxnSpPr>
      <xdr:spPr>
        <a:xfrm flipV="1">
          <a:off x="9077325" y="3057526"/>
          <a:ext cx="123826" cy="1428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65</xdr:row>
      <xdr:rowOff>0</xdr:rowOff>
    </xdr:from>
    <xdr:to>
      <xdr:col>2</xdr:col>
      <xdr:colOff>1104900</xdr:colOff>
      <xdr:row>76</xdr:row>
      <xdr:rowOff>135829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53800"/>
          <a:ext cx="7629525" cy="2231329"/>
        </a:xfrm>
        <a:prstGeom prst="rect">
          <a:avLst/>
        </a:prstGeom>
      </xdr:spPr>
    </xdr:pic>
    <xdr:clientData/>
  </xdr:twoCellAnchor>
  <xdr:twoCellAnchor editAs="oneCell">
    <xdr:from>
      <xdr:col>0</xdr:col>
      <xdr:colOff>1086415</xdr:colOff>
      <xdr:row>4</xdr:row>
      <xdr:rowOff>7285</xdr:rowOff>
    </xdr:from>
    <xdr:to>
      <xdr:col>0</xdr:col>
      <xdr:colOff>1428751</xdr:colOff>
      <xdr:row>5</xdr:row>
      <xdr:rowOff>117410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6415" y="1159810"/>
          <a:ext cx="342336" cy="310150"/>
        </a:xfrm>
        <a:prstGeom prst="rect">
          <a:avLst/>
        </a:prstGeom>
      </xdr:spPr>
    </xdr:pic>
    <xdr:clientData/>
  </xdr:twoCellAnchor>
  <xdr:oneCellAnchor>
    <xdr:from>
      <xdr:col>1</xdr:col>
      <xdr:colOff>200025</xdr:colOff>
      <xdr:row>5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118266</xdr:colOff>
      <xdr:row>5</xdr:row>
      <xdr:rowOff>143353</xdr:rowOff>
    </xdr:from>
    <xdr:ext cx="2152192" cy="254557"/>
    <xdr:sp macro="" textlink="">
      <xdr:nvSpPr>
        <xdr:cNvPr id="7" name="6 CuadroTexto"/>
        <xdr:cNvSpPr txBox="1"/>
      </xdr:nvSpPr>
      <xdr:spPr>
        <a:xfrm>
          <a:off x="5509416" y="112442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2</xdr:col>
      <xdr:colOff>182908</xdr:colOff>
      <xdr:row>2</xdr:row>
      <xdr:rowOff>9525</xdr:rowOff>
    </xdr:from>
    <xdr:ext cx="858825" cy="254557"/>
    <xdr:sp macro="" textlink="">
      <xdr:nvSpPr>
        <xdr:cNvPr id="8" name="7 CuadroTexto"/>
        <xdr:cNvSpPr txBox="1"/>
      </xdr:nvSpPr>
      <xdr:spPr>
        <a:xfrm>
          <a:off x="6707533" y="7715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432591</xdr:colOff>
      <xdr:row>3</xdr:row>
      <xdr:rowOff>152878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5233191" y="74342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5</xdr:col>
      <xdr:colOff>897283</xdr:colOff>
      <xdr:row>0</xdr:row>
      <xdr:rowOff>28575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545608" y="2857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184942</xdr:colOff>
      <xdr:row>3</xdr:row>
      <xdr:rowOff>152878</xdr:rowOff>
    </xdr:from>
    <xdr:ext cx="2152191" cy="254557"/>
    <xdr:sp macro="" textlink="">
      <xdr:nvSpPr>
        <xdr:cNvPr id="3" name="2 CuadroTexto"/>
        <xdr:cNvSpPr txBox="1"/>
      </xdr:nvSpPr>
      <xdr:spPr>
        <a:xfrm>
          <a:off x="5042692" y="743428"/>
          <a:ext cx="215219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6</xdr:col>
      <xdr:colOff>325783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1700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632616</xdr:colOff>
      <xdr:row>3</xdr:row>
      <xdr:rowOff>171928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6595266" y="762478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8</xdr:col>
      <xdr:colOff>67530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7858980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651666</xdr:colOff>
      <xdr:row>4</xdr:row>
      <xdr:rowOff>171928</xdr:rowOff>
    </xdr:from>
    <xdr:ext cx="2152192" cy="254557"/>
    <xdr:sp macro="" textlink="">
      <xdr:nvSpPr>
        <xdr:cNvPr id="3" name="2 CuadroTexto"/>
        <xdr:cNvSpPr txBox="1"/>
      </xdr:nvSpPr>
      <xdr:spPr>
        <a:xfrm>
          <a:off x="8271666" y="962503"/>
          <a:ext cx="215219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2014</a:t>
          </a:r>
        </a:p>
      </xdr:txBody>
    </xdr:sp>
    <xdr:clientData/>
  </xdr:oneCellAnchor>
  <xdr:oneCellAnchor>
    <xdr:from>
      <xdr:col>9</xdr:col>
      <xdr:colOff>77055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9525855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4/06%20junio/Balanza%20de%20comprobaci&#243;n%20junio%202014%20(no%20subir%20a%20transparencia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4/06%20junio/Estado%20de%20Actividades%20o%20Estado%20de%20resultados%20junio%20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3/12%20diciembre/Balanza%20de%20comprobaci&#243;n%20diciembre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4/01%20enero/Balanza%20de%20comprobaci&#243;n%20enero%20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4/02%20febrero/Balanza%20de%20comprobaci&#243;n%20febrero%202014%20(no%20subir%20a%20transparencia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Avance%20financieros/2014/Estados%20financieros/01-03%20EF%202014%20UniSierra%20II%20Trim%20RF080712%20FinalFormulado%20enero%20a%20marzo%202014%20(ETCA)%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presupuesto/2014/Presupuesto%202014%20autorizad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Adquisiciones%20y%20servicios/Adquisiciones%20y%20servicios%202014%20(Transparenci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2/12%20diciembre/Balanza%20de%20comprobaci&#243;n%20diciembre%202012xls%20ANTERI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2/12%20diciembre/Balance%20general%20diciembr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3/12%20diciembre/Balance%20general%20diciembre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4/06%20junio/Estado%20de%20Situaci&#243;n%20Financiera%20o%20Balance%20general%20junio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4/04%20abril/Balanza%20de%20comprobaci&#243;n%20abril%202014%20(no%20subir%20a%20transparenci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4/05%20mayo/Balanza%20de%20comprobaci&#243;n%20mayo%202014%20(no%20subir%20a%20transparencia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Transparencia/2014/03marzo/Balanza%20de%20comprobaci&#243;n%20marzo%202014%20(no%20subir%20a%20transparencia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l%20mes/Avance%20financieros/2014/Estados%20financieros/04-06%20EF%202014%20UniSierra%20II%20Trim%20RF080712%20FinalFormulado%20abril%20a%20juni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J15">
            <v>17139.16</v>
          </cell>
          <cell r="K15">
            <v>17139.16</v>
          </cell>
          <cell r="M15">
            <v>9999.9599999999991</v>
          </cell>
        </row>
        <row r="20">
          <cell r="J20">
            <v>3305046.04</v>
          </cell>
          <cell r="K20">
            <v>3406825.14</v>
          </cell>
          <cell r="M20">
            <v>5966557.2000000002</v>
          </cell>
        </row>
        <row r="36">
          <cell r="J36">
            <v>142814</v>
          </cell>
          <cell r="K36">
            <v>151387.14000000001</v>
          </cell>
        </row>
        <row r="127">
          <cell r="M127">
            <v>1</v>
          </cell>
        </row>
        <row r="135">
          <cell r="J135">
            <v>548205.04</v>
          </cell>
        </row>
        <row r="254">
          <cell r="J254">
            <v>2434456.7599999998</v>
          </cell>
          <cell r="K254">
            <v>2838142.49</v>
          </cell>
          <cell r="P254">
            <v>4751104.82</v>
          </cell>
        </row>
        <row r="257">
          <cell r="K257">
            <v>60000</v>
          </cell>
        </row>
        <row r="258">
          <cell r="P258">
            <v>148984.16</v>
          </cell>
        </row>
        <row r="260">
          <cell r="P260">
            <v>626.4</v>
          </cell>
        </row>
        <row r="262">
          <cell r="P262">
            <v>17139.32</v>
          </cell>
        </row>
        <row r="263">
          <cell r="P263">
            <v>1869.03</v>
          </cell>
        </row>
        <row r="264">
          <cell r="P264">
            <v>10048</v>
          </cell>
        </row>
        <row r="265">
          <cell r="P265">
            <v>1850</v>
          </cell>
        </row>
        <row r="267">
          <cell r="P267">
            <v>8120</v>
          </cell>
        </row>
        <row r="272">
          <cell r="P272">
            <v>0</v>
          </cell>
        </row>
        <row r="273">
          <cell r="P273">
            <v>0</v>
          </cell>
        </row>
        <row r="274">
          <cell r="P274">
            <v>2473.1999999999998</v>
          </cell>
        </row>
        <row r="277">
          <cell r="P277">
            <v>934</v>
          </cell>
        </row>
        <row r="278">
          <cell r="P278">
            <v>0</v>
          </cell>
        </row>
        <row r="279">
          <cell r="P279">
            <v>89551.73</v>
          </cell>
        </row>
        <row r="288">
          <cell r="J288">
            <v>2109303.6</v>
          </cell>
          <cell r="K288">
            <v>2599092.23</v>
          </cell>
        </row>
        <row r="300">
          <cell r="P300">
            <v>1</v>
          </cell>
        </row>
        <row r="307">
          <cell r="J307">
            <v>148618.19</v>
          </cell>
          <cell r="K307">
            <v>158166.79</v>
          </cell>
        </row>
        <row r="320">
          <cell r="P320">
            <v>85821314.370000005</v>
          </cell>
        </row>
        <row r="353">
          <cell r="P353">
            <v>14287182.5</v>
          </cell>
        </row>
        <row r="354">
          <cell r="P354">
            <v>4236000</v>
          </cell>
        </row>
        <row r="358">
          <cell r="P358">
            <v>10051182.5</v>
          </cell>
        </row>
        <row r="365">
          <cell r="P365">
            <v>838096</v>
          </cell>
        </row>
        <row r="377">
          <cell r="P377">
            <v>484150</v>
          </cell>
        </row>
        <row r="386">
          <cell r="P386">
            <v>887.67</v>
          </cell>
        </row>
        <row r="391">
          <cell r="P391">
            <v>94.91</v>
          </cell>
        </row>
        <row r="398">
          <cell r="M398">
            <v>13404937.17</v>
          </cell>
        </row>
        <row r="401">
          <cell r="M401">
            <v>3454056.24</v>
          </cell>
        </row>
        <row r="402">
          <cell r="M402">
            <v>3712823.92</v>
          </cell>
        </row>
        <row r="403">
          <cell r="M403">
            <v>2168465.64</v>
          </cell>
        </row>
        <row r="404">
          <cell r="M404">
            <v>135345.23000000001</v>
          </cell>
        </row>
        <row r="405">
          <cell r="M405">
            <v>1445644.9</v>
          </cell>
        </row>
        <row r="408">
          <cell r="M408">
            <v>371513.34</v>
          </cell>
        </row>
        <row r="411">
          <cell r="M411">
            <v>160055.49</v>
          </cell>
        </row>
        <row r="413">
          <cell r="M413">
            <v>68334.94</v>
          </cell>
        </row>
        <row r="416">
          <cell r="M416">
            <v>555100.27</v>
          </cell>
        </row>
        <row r="417">
          <cell r="M417">
            <v>89</v>
          </cell>
        </row>
        <row r="418">
          <cell r="M418">
            <v>1369.83</v>
          </cell>
        </row>
        <row r="419">
          <cell r="M419">
            <v>27164.400000000001</v>
          </cell>
        </row>
        <row r="420">
          <cell r="M420">
            <v>27164.400000000001</v>
          </cell>
        </row>
        <row r="421">
          <cell r="M421">
            <v>23273.45</v>
          </cell>
        </row>
        <row r="422">
          <cell r="M422">
            <v>203642.16</v>
          </cell>
        </row>
        <row r="424">
          <cell r="M424">
            <v>929021.67</v>
          </cell>
        </row>
        <row r="427">
          <cell r="M427">
            <v>4463.8999999999996</v>
          </cell>
        </row>
        <row r="428">
          <cell r="M428">
            <v>46578.73</v>
          </cell>
        </row>
        <row r="430">
          <cell r="M430">
            <v>70829.66</v>
          </cell>
        </row>
        <row r="431">
          <cell r="M431">
            <v>244289.7</v>
          </cell>
        </row>
        <row r="434">
          <cell r="M434">
            <v>13255.14</v>
          </cell>
        </row>
        <row r="436">
          <cell r="M436">
            <v>375.6</v>
          </cell>
        </row>
        <row r="438">
          <cell r="M438">
            <v>10662.74</v>
          </cell>
        </row>
        <row r="440">
          <cell r="M440">
            <v>2347.9899999999998</v>
          </cell>
        </row>
        <row r="443">
          <cell r="M443">
            <v>26144.77</v>
          </cell>
        </row>
        <row r="444">
          <cell r="M444">
            <v>2354.98</v>
          </cell>
        </row>
        <row r="445">
          <cell r="M445">
            <v>8552.98</v>
          </cell>
        </row>
        <row r="448">
          <cell r="M448">
            <v>60</v>
          </cell>
        </row>
        <row r="450">
          <cell r="M450">
            <v>1980</v>
          </cell>
        </row>
        <row r="452">
          <cell r="M452">
            <v>10298.17</v>
          </cell>
        </row>
        <row r="454">
          <cell r="M454">
            <v>2782.77</v>
          </cell>
        </row>
        <row r="456">
          <cell r="M456">
            <v>5651.9</v>
          </cell>
        </row>
        <row r="459">
          <cell r="M459">
            <v>120219.43</v>
          </cell>
        </row>
        <row r="460">
          <cell r="M460">
            <v>6765.89</v>
          </cell>
        </row>
        <row r="463">
          <cell r="M463">
            <v>4664.59</v>
          </cell>
        </row>
        <row r="466">
          <cell r="M466">
            <v>689.01</v>
          </cell>
        </row>
        <row r="468">
          <cell r="M468">
            <v>19882.400000000001</v>
          </cell>
        </row>
        <row r="470">
          <cell r="M470">
            <v>7601.34</v>
          </cell>
        </row>
        <row r="471">
          <cell r="M471">
            <v>1211236.3700000001</v>
          </cell>
        </row>
        <row r="474">
          <cell r="M474">
            <v>288617</v>
          </cell>
        </row>
        <row r="477">
          <cell r="M477">
            <v>17126.919999999998</v>
          </cell>
        </row>
        <row r="479">
          <cell r="M479">
            <v>93334.64</v>
          </cell>
        </row>
        <row r="481">
          <cell r="M481">
            <v>7594.32</v>
          </cell>
        </row>
        <row r="483">
          <cell r="M483">
            <v>107051.6</v>
          </cell>
        </row>
        <row r="485">
          <cell r="M485">
            <v>4648.03</v>
          </cell>
        </row>
        <row r="488">
          <cell r="M488">
            <v>5653.2</v>
          </cell>
        </row>
        <row r="490">
          <cell r="M490">
            <v>10579.2</v>
          </cell>
        </row>
        <row r="492">
          <cell r="M492">
            <v>56273.89</v>
          </cell>
        </row>
        <row r="496">
          <cell r="M496">
            <v>120408</v>
          </cell>
        </row>
        <row r="498">
          <cell r="M498">
            <v>10400</v>
          </cell>
        </row>
        <row r="500">
          <cell r="M500">
            <v>1334</v>
          </cell>
        </row>
        <row r="502">
          <cell r="M502">
            <v>118146</v>
          </cell>
        </row>
        <row r="504">
          <cell r="M504">
            <v>34800</v>
          </cell>
        </row>
        <row r="507">
          <cell r="M507">
            <v>29858.240000000002</v>
          </cell>
        </row>
        <row r="509">
          <cell r="M509">
            <v>50</v>
          </cell>
        </row>
        <row r="512">
          <cell r="M512">
            <v>9156</v>
          </cell>
        </row>
        <row r="513">
          <cell r="M513">
            <v>320</v>
          </cell>
        </row>
        <row r="514">
          <cell r="M514">
            <v>7377.6</v>
          </cell>
        </row>
        <row r="516">
          <cell r="M516">
            <v>3132</v>
          </cell>
        </row>
        <row r="518">
          <cell r="M518">
            <v>5960</v>
          </cell>
        </row>
        <row r="520">
          <cell r="M520">
            <v>11098.98</v>
          </cell>
        </row>
        <row r="522">
          <cell r="M522">
            <v>3591.36</v>
          </cell>
        </row>
        <row r="524">
          <cell r="M524">
            <v>11133</v>
          </cell>
        </row>
        <row r="527">
          <cell r="M527">
            <v>47622.19</v>
          </cell>
        </row>
        <row r="530">
          <cell r="M530">
            <v>55260.69</v>
          </cell>
        </row>
        <row r="532">
          <cell r="M532">
            <v>979</v>
          </cell>
        </row>
        <row r="534">
          <cell r="M534">
            <v>44250</v>
          </cell>
        </row>
        <row r="535">
          <cell r="M535">
            <v>40480</v>
          </cell>
        </row>
        <row r="537">
          <cell r="M537">
            <v>788.8</v>
          </cell>
        </row>
        <row r="539">
          <cell r="M539">
            <v>1688</v>
          </cell>
        </row>
        <row r="542">
          <cell r="M542">
            <v>6427.8</v>
          </cell>
        </row>
        <row r="544">
          <cell r="M544">
            <v>15700</v>
          </cell>
        </row>
        <row r="546">
          <cell r="M546">
            <v>340.91</v>
          </cell>
        </row>
        <row r="549">
          <cell r="M549">
            <v>39710</v>
          </cell>
        </row>
        <row r="551">
          <cell r="M551">
            <v>345</v>
          </cell>
        </row>
        <row r="552">
          <cell r="M552">
            <v>995714</v>
          </cell>
        </row>
        <row r="555">
          <cell r="M555">
            <v>995250</v>
          </cell>
        </row>
        <row r="556">
          <cell r="M556">
            <v>464</v>
          </cell>
        </row>
        <row r="560">
          <cell r="M560">
            <v>4616.8</v>
          </cell>
        </row>
        <row r="566">
          <cell r="M566">
            <v>1254045.8500000001</v>
          </cell>
        </row>
        <row r="572">
          <cell r="M572">
            <v>23200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1">
          <cell r="T51">
            <v>4616.8</v>
          </cell>
        </row>
        <row r="60">
          <cell r="L60">
            <v>-523586.57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G13">
            <v>93768322.980000004</v>
          </cell>
        </row>
        <row r="15">
          <cell r="M15">
            <v>-0.04</v>
          </cell>
        </row>
        <row r="20">
          <cell r="M20">
            <v>5263641.08</v>
          </cell>
        </row>
        <row r="38">
          <cell r="M38">
            <v>2913823.08</v>
          </cell>
        </row>
        <row r="250">
          <cell r="P250">
            <v>5248548.26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G13">
            <v>92936836.170000002</v>
          </cell>
        </row>
        <row r="15">
          <cell r="J15">
            <v>10000</v>
          </cell>
          <cell r="K15">
            <v>0</v>
          </cell>
        </row>
        <row r="20">
          <cell r="J20">
            <v>2973358.03</v>
          </cell>
          <cell r="K20">
            <v>2094909.45</v>
          </cell>
        </row>
        <row r="38">
          <cell r="G38">
            <v>2913823.08</v>
          </cell>
          <cell r="J38">
            <v>151819</v>
          </cell>
          <cell r="K38">
            <v>2945148.27</v>
          </cell>
        </row>
        <row r="251">
          <cell r="J251">
            <v>4593764.55</v>
          </cell>
          <cell r="K251">
            <v>2182486.9700000002</v>
          </cell>
        </row>
        <row r="287">
          <cell r="J287">
            <v>1574071.73</v>
          </cell>
          <cell r="K287">
            <v>1961516.12</v>
          </cell>
        </row>
        <row r="305">
          <cell r="J305">
            <v>180991.44</v>
          </cell>
          <cell r="K305">
            <v>152136.35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5">
          <cell r="J15">
            <v>9580.19</v>
          </cell>
          <cell r="K15">
            <v>18037.09</v>
          </cell>
        </row>
        <row r="20">
          <cell r="J20">
            <v>2000058.63</v>
          </cell>
          <cell r="K20">
            <v>3203066.67</v>
          </cell>
        </row>
        <row r="38">
          <cell r="J38">
            <v>733921.18</v>
          </cell>
          <cell r="K38">
            <v>149688.32000000001</v>
          </cell>
        </row>
        <row r="250">
          <cell r="J250">
            <v>1721748.38</v>
          </cell>
          <cell r="K250">
            <v>2853686.18</v>
          </cell>
        </row>
        <row r="291">
          <cell r="J291">
            <v>1545035.38</v>
          </cell>
          <cell r="K291">
            <v>1983167.59</v>
          </cell>
        </row>
        <row r="309">
          <cell r="J309">
            <v>149852.29</v>
          </cell>
          <cell r="K309">
            <v>147161.88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SE"/>
      <sheetName val="Plan de Cuentas"/>
      <sheetName val="ER"/>
      <sheetName val="Indice"/>
      <sheetName val="BC ENE2011"/>
      <sheetName val="BC dic2013 AC"/>
      <sheetName val="BC ene2014 AC"/>
      <sheetName val="BC feb2014 AC"/>
      <sheetName val="BC mar2014 AC"/>
      <sheetName val="ESF_MAR"/>
      <sheetName val="EA_MAR"/>
      <sheetName val="EFE_MAR"/>
      <sheetName val="EVHPP_ENE"/>
      <sheetName val="EVHPP_FEB"/>
      <sheetName val="EVHPP_MAR"/>
      <sheetName val="ECAMBIOS-ENE"/>
      <sheetName val="ECAMBIOS-FEB"/>
      <sheetName val="ECAMBIOS-MAR"/>
      <sheetName val="llenar ISP_MAR"/>
      <sheetName val="RAA_ENE"/>
      <sheetName val="RAA_FEB"/>
      <sheetName val="RAA_MAR"/>
      <sheetName val="RADP_ENE"/>
      <sheetName val="RADP_FEB"/>
      <sheetName val="RADP_MAR"/>
      <sheetName val="EAIP_ENE"/>
      <sheetName val="EAIP_FEB"/>
      <sheetName val="EAIP_MAR"/>
      <sheetName val="EEPECG_ENE"/>
      <sheetName val="EEPECG_FEB"/>
      <sheetName val="EEPECG_MAR"/>
      <sheetName val="EAEPE_ENE"/>
      <sheetName val="EAEPE_FEB"/>
      <sheetName val="EAEPEPG_MAR"/>
      <sheetName val="EN_ENE"/>
      <sheetName val="EN_FEB"/>
      <sheetName val="EN_MAR"/>
      <sheetName val="ID_ENE"/>
      <sheetName val="ID_FEB"/>
      <sheetName val="ID_MAR"/>
      <sheetName val="AP"/>
      <sheetName val="feb 2012"/>
      <sheetName val="mar 201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6">
          <cell r="T216">
            <v>71000.56</v>
          </cell>
        </row>
        <row r="217">
          <cell r="T217">
            <v>53488331.299999997</v>
          </cell>
        </row>
        <row r="233">
          <cell r="T233">
            <v>31221742.190000001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Plantilla de personal"/>
      <sheetName val="6. Metas"/>
      <sheetName val="7. Presupuesto"/>
      <sheetName val="8. Resumen"/>
      <sheetName val="9. Fuente Financiamiento"/>
    </sheetNames>
    <sheetDataSet>
      <sheetData sheetId="0" refreshError="1"/>
      <sheetData sheetId="1" refreshError="1"/>
      <sheetData sheetId="2" refreshError="1"/>
      <sheetData sheetId="3">
        <row r="8">
          <cell r="F8">
            <v>27304182</v>
          </cell>
          <cell r="G8">
            <v>1863149.6600000001</v>
          </cell>
          <cell r="H8">
            <v>10508063.326044334</v>
          </cell>
        </row>
        <row r="23">
          <cell r="J23">
            <v>31123816.306044333</v>
          </cell>
        </row>
        <row r="62">
          <cell r="J62">
            <v>1547386.11</v>
          </cell>
        </row>
        <row r="141">
          <cell r="J141">
            <v>4232562.51</v>
          </cell>
        </row>
        <row r="245">
          <cell r="J245">
            <v>2725430.5234999186</v>
          </cell>
        </row>
        <row r="253">
          <cell r="J253">
            <v>211218.28</v>
          </cell>
        </row>
        <row r="271">
          <cell r="J271">
            <v>2170806.5900000003</v>
          </cell>
        </row>
        <row r="275">
          <cell r="J275">
            <v>28659.110000000095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>
        <row r="38">
          <cell r="C38">
            <v>83520</v>
          </cell>
        </row>
        <row r="40">
          <cell r="C40">
            <v>111360</v>
          </cell>
        </row>
        <row r="41">
          <cell r="C41">
            <v>96741</v>
          </cell>
        </row>
        <row r="42">
          <cell r="C42">
            <v>104347</v>
          </cell>
        </row>
        <row r="43">
          <cell r="C43">
            <v>180000</v>
          </cell>
        </row>
        <row r="44">
          <cell r="C44">
            <v>300000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75">
          <cell r="P275">
            <v>71363057.719999999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7">
          <cell r="AB67">
            <v>6310587.2599999998</v>
          </cell>
        </row>
        <row r="71">
          <cell r="AA71">
            <v>-2766079.1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8">
          <cell r="AB68">
            <v>3442563.76</v>
          </cell>
        </row>
        <row r="72">
          <cell r="AA72">
            <v>-610833.91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2">
          <cell r="AB52">
            <v>85821314.370000005</v>
          </cell>
        </row>
        <row r="69">
          <cell r="AB69">
            <v>2786711.59</v>
          </cell>
        </row>
        <row r="73">
          <cell r="AA73">
            <v>-1527628.81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G13">
            <v>93493455.280000001</v>
          </cell>
        </row>
        <row r="15">
          <cell r="J15">
            <v>8773.7199999999993</v>
          </cell>
          <cell r="K15">
            <v>8773.7199999999993</v>
          </cell>
        </row>
        <row r="20">
          <cell r="J20">
            <v>3477382.34</v>
          </cell>
          <cell r="K20">
            <v>3246099.11</v>
          </cell>
        </row>
        <row r="36">
          <cell r="J36">
            <v>127543</v>
          </cell>
          <cell r="K36">
            <v>717384.14</v>
          </cell>
        </row>
        <row r="250">
          <cell r="J250">
            <v>2318935.5</v>
          </cell>
          <cell r="K250">
            <v>2319946.5499999998</v>
          </cell>
        </row>
        <row r="292">
          <cell r="J292">
            <v>1513618.7</v>
          </cell>
          <cell r="K292">
            <v>1987873.23</v>
          </cell>
        </row>
        <row r="311">
          <cell r="J311">
            <v>149910.24</v>
          </cell>
          <cell r="K311">
            <v>147374.26999999999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J13">
            <v>1990982.47</v>
          </cell>
        </row>
        <row r="15">
          <cell r="J15">
            <v>15843.92</v>
          </cell>
          <cell r="K15">
            <v>15843.92</v>
          </cell>
        </row>
        <row r="20">
          <cell r="J20">
            <v>1769039.86</v>
          </cell>
          <cell r="K20">
            <v>3549021.62</v>
          </cell>
        </row>
        <row r="36">
          <cell r="J36">
            <v>153004</v>
          </cell>
          <cell r="K36">
            <v>148690.14000000001</v>
          </cell>
        </row>
        <row r="255">
          <cell r="J255">
            <v>2519443.06</v>
          </cell>
          <cell r="K255">
            <v>2307443.04</v>
          </cell>
        </row>
        <row r="294">
          <cell r="J294">
            <v>2243900.5299999998</v>
          </cell>
          <cell r="K294">
            <v>2011465.37</v>
          </cell>
        </row>
        <row r="313">
          <cell r="J313">
            <v>148879.17000000001</v>
          </cell>
          <cell r="K313">
            <v>146983.98000000001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J13">
            <v>5953470.5099999998</v>
          </cell>
        </row>
        <row r="15">
          <cell r="J15">
            <v>16806.04</v>
          </cell>
          <cell r="K15">
            <v>8349.14</v>
          </cell>
        </row>
        <row r="20">
          <cell r="J20">
            <v>5505944.4699999997</v>
          </cell>
          <cell r="K20">
            <v>2827991.26</v>
          </cell>
        </row>
        <row r="36">
          <cell r="J36">
            <v>426740</v>
          </cell>
          <cell r="K36">
            <v>429757.14</v>
          </cell>
        </row>
        <row r="248">
          <cell r="J248">
            <v>2059633.05</v>
          </cell>
          <cell r="K248">
            <v>2648832.63</v>
          </cell>
        </row>
        <row r="292">
          <cell r="J292">
            <v>1507222.86</v>
          </cell>
          <cell r="K292">
            <v>2000504.9</v>
          </cell>
        </row>
        <row r="311">
          <cell r="J311">
            <v>146945.91</v>
          </cell>
          <cell r="K311">
            <v>150166.63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SE"/>
      <sheetName val="Plan de Cuentas"/>
      <sheetName val="ER"/>
      <sheetName val="Indice"/>
      <sheetName val="BC ENE2011"/>
      <sheetName val="BC dic2013 AC"/>
      <sheetName val="BC abr2014 AC"/>
      <sheetName val="BC may2014 AC"/>
      <sheetName val="BC jun2014 AC"/>
      <sheetName val="ESF_ABR"/>
      <sheetName val="ESF_ABR (imprimir)"/>
      <sheetName val="ESF_MAY"/>
      <sheetName val="ESF_MAY (imprimir)"/>
      <sheetName val="ESF_JUN"/>
      <sheetName val="ESF_JUN (imprimir)"/>
      <sheetName val="EA_ABR"/>
      <sheetName val="EA_ABR (imprimir)"/>
      <sheetName val="EA_MAY"/>
      <sheetName val="EA_MAY (imprimir)"/>
      <sheetName val="EA_JUN"/>
      <sheetName val="EA_JUN (imprimir)"/>
      <sheetName val="EFE_ABR"/>
      <sheetName val="EFE_ABR (imprimir)"/>
      <sheetName val="EFE_MAY"/>
      <sheetName val="EFE_MAY (imprimir)"/>
      <sheetName val="EFE_JUN"/>
      <sheetName val="EFE_JUN (imprimir)"/>
      <sheetName val="EVHPP_ABR"/>
      <sheetName val="EVHPP_MAY"/>
      <sheetName val="EVHPP_JUN"/>
      <sheetName val="ECAMBIOS-ABR"/>
      <sheetName val="ECAMBIOS-MAY"/>
      <sheetName val="ECAMBIOS-JUN"/>
      <sheetName val="llenar ISP_MAR"/>
      <sheetName val="RAA_ABR"/>
      <sheetName val="RAA_MAY"/>
      <sheetName val="RAA_JUN"/>
      <sheetName val="RADP_ABR"/>
      <sheetName val="RADP_MAY"/>
      <sheetName val="RADP_JUN"/>
      <sheetName val="EAIP_ABR"/>
      <sheetName val="EAIP_MAY"/>
      <sheetName val="EAIP_JUN"/>
      <sheetName val="EEPECG_ABR"/>
      <sheetName val="EEPECG_MAY"/>
      <sheetName val="EEPECG_JUN"/>
      <sheetName val="EAEPE_ABR"/>
      <sheetName val="EAEPE_MAY"/>
      <sheetName val="EAEPEPG_JUN"/>
      <sheetName val="EN_ABR"/>
      <sheetName val="EN_MAY"/>
      <sheetName val="EN_JUN"/>
      <sheetName val="ID_ABR"/>
      <sheetName val="ID_MAY"/>
      <sheetName val="ID_JUN"/>
      <sheetName val="AP"/>
      <sheetName val="feb 2012"/>
      <sheetName val="mar 201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2">
          <cell r="T212">
            <v>71000.56</v>
          </cell>
        </row>
        <row r="217">
          <cell r="T217">
            <v>53488331.299999997</v>
          </cell>
        </row>
        <row r="234">
          <cell r="T234">
            <v>32332983.07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>
      <selection activeCell="G1" sqref="G1"/>
    </sheetView>
  </sheetViews>
  <sheetFormatPr baseColWidth="10" defaultRowHeight="15" x14ac:dyDescent="0.25"/>
  <cols>
    <col min="1" max="1" width="50.7109375" style="1" customWidth="1"/>
    <col min="2" max="2" width="13" style="307" bestFit="1" customWidth="1"/>
    <col min="3" max="3" width="13" style="307" customWidth="1"/>
    <col min="4" max="4" width="0.42578125" style="1" hidden="1" customWidth="1"/>
    <col min="5" max="5" width="50.7109375" style="1" customWidth="1"/>
    <col min="6" max="7" width="11.28515625" style="1" customWidth="1"/>
    <col min="8" max="16384" width="11.42578125" style="1"/>
  </cols>
  <sheetData>
    <row r="1" spans="1:7" x14ac:dyDescent="0.25">
      <c r="A1" s="67"/>
      <c r="C1" s="308" t="s">
        <v>245</v>
      </c>
      <c r="D1" s="69"/>
      <c r="E1" s="69"/>
      <c r="G1" s="68" t="s">
        <v>55</v>
      </c>
    </row>
    <row r="2" spans="1:7" x14ac:dyDescent="0.25">
      <c r="B2" s="309"/>
      <c r="C2" s="310" t="s">
        <v>381</v>
      </c>
      <c r="D2" s="67"/>
      <c r="E2" s="67"/>
      <c r="F2" s="67"/>
      <c r="G2" s="67"/>
    </row>
    <row r="3" spans="1:7" x14ac:dyDescent="0.25">
      <c r="B3" s="311"/>
      <c r="C3" s="310" t="s">
        <v>56</v>
      </c>
      <c r="D3" s="66"/>
      <c r="E3" s="66"/>
      <c r="F3" s="66"/>
      <c r="G3" s="66"/>
    </row>
    <row r="4" spans="1:7" x14ac:dyDescent="0.25">
      <c r="A4" s="66"/>
      <c r="C4" s="310" t="s">
        <v>567</v>
      </c>
      <c r="D4" s="67"/>
      <c r="E4" s="67"/>
      <c r="F4" s="66"/>
      <c r="G4" s="66"/>
    </row>
    <row r="5" spans="1:7" ht="15.75" thickBot="1" x14ac:dyDescent="0.3">
      <c r="A5" s="66"/>
      <c r="B5" s="312"/>
      <c r="C5" s="313" t="s">
        <v>142</v>
      </c>
      <c r="D5" s="87"/>
      <c r="E5" s="87"/>
      <c r="F5" s="66"/>
      <c r="G5" s="68" t="s">
        <v>570</v>
      </c>
    </row>
    <row r="6" spans="1:7" x14ac:dyDescent="0.25">
      <c r="A6" s="88" t="s">
        <v>57</v>
      </c>
      <c r="B6" s="324">
        <v>2014</v>
      </c>
      <c r="C6" s="314" t="s">
        <v>382</v>
      </c>
      <c r="D6" s="89"/>
      <c r="E6" s="90" t="s">
        <v>58</v>
      </c>
      <c r="F6" s="324">
        <v>2014</v>
      </c>
      <c r="G6" s="325" t="s">
        <v>382</v>
      </c>
    </row>
    <row r="7" spans="1:7" x14ac:dyDescent="0.25">
      <c r="A7" s="76"/>
      <c r="B7" s="315"/>
      <c r="C7" s="315"/>
      <c r="D7" s="59"/>
      <c r="E7" s="77"/>
      <c r="F7" s="77"/>
      <c r="G7" s="78"/>
    </row>
    <row r="8" spans="1:7" x14ac:dyDescent="0.25">
      <c r="A8" s="79" t="s">
        <v>59</v>
      </c>
      <c r="B8" s="316"/>
      <c r="C8" s="316"/>
      <c r="D8" s="59"/>
      <c r="E8" s="80" t="s">
        <v>60</v>
      </c>
      <c r="F8" s="80"/>
      <c r="G8" s="81"/>
    </row>
    <row r="9" spans="1:7" ht="16.5" x14ac:dyDescent="0.25">
      <c r="A9" s="75" t="s">
        <v>61</v>
      </c>
      <c r="B9" s="317">
        <v>5976557</v>
      </c>
      <c r="C9" s="317">
        <v>5263641</v>
      </c>
      <c r="D9" s="60"/>
      <c r="E9" s="73" t="s">
        <v>62</v>
      </c>
      <c r="F9" s="317">
        <v>439406.71000000043</v>
      </c>
      <c r="G9" s="326">
        <v>5248548</v>
      </c>
    </row>
    <row r="10" spans="1:7" ht="16.5" x14ac:dyDescent="0.25">
      <c r="A10" s="75" t="s">
        <v>63</v>
      </c>
      <c r="B10" s="317"/>
      <c r="C10" s="317"/>
      <c r="D10" s="60"/>
      <c r="E10" s="73" t="s">
        <v>64</v>
      </c>
      <c r="F10" s="317"/>
      <c r="G10" s="326"/>
    </row>
    <row r="11" spans="1:7" ht="16.5" x14ac:dyDescent="0.25">
      <c r="A11" s="75" t="s">
        <v>65</v>
      </c>
      <c r="B11" s="317">
        <v>107609.10999999999</v>
      </c>
      <c r="C11" s="317">
        <v>2913823</v>
      </c>
      <c r="D11" s="60"/>
      <c r="E11" s="74" t="s">
        <v>66</v>
      </c>
      <c r="F11" s="317"/>
      <c r="G11" s="326"/>
    </row>
    <row r="12" spans="1:7" ht="16.5" x14ac:dyDescent="0.25">
      <c r="A12" s="75" t="s">
        <v>67</v>
      </c>
      <c r="B12" s="317"/>
      <c r="C12" s="317"/>
      <c r="D12" s="60"/>
      <c r="E12" s="73" t="s">
        <v>68</v>
      </c>
      <c r="F12" s="317"/>
      <c r="G12" s="326"/>
    </row>
    <row r="13" spans="1:7" ht="16.5" x14ac:dyDescent="0.25">
      <c r="A13" s="75" t="s">
        <v>69</v>
      </c>
      <c r="B13" s="317"/>
      <c r="C13" s="317"/>
      <c r="D13" s="60"/>
      <c r="E13" s="73" t="s">
        <v>70</v>
      </c>
      <c r="F13" s="317"/>
      <c r="G13" s="326"/>
    </row>
    <row r="14" spans="1:7" ht="33" x14ac:dyDescent="0.25">
      <c r="A14" s="55" t="s">
        <v>71</v>
      </c>
      <c r="B14" s="318"/>
      <c r="C14" s="318"/>
      <c r="D14" s="60"/>
      <c r="E14" s="56" t="s">
        <v>72</v>
      </c>
      <c r="F14" s="317">
        <v>4456677.3400000008</v>
      </c>
      <c r="G14" s="326">
        <v>168187</v>
      </c>
    </row>
    <row r="15" spans="1:7" ht="16.5" x14ac:dyDescent="0.25">
      <c r="A15" s="75" t="s">
        <v>73</v>
      </c>
      <c r="B15" s="317"/>
      <c r="C15" s="317"/>
      <c r="D15" s="60"/>
      <c r="E15" s="73" t="s">
        <v>74</v>
      </c>
      <c r="F15" s="317"/>
      <c r="G15" s="326"/>
    </row>
    <row r="16" spans="1:7" ht="16.5" x14ac:dyDescent="0.25">
      <c r="A16" s="57"/>
      <c r="B16" s="319"/>
      <c r="C16" s="319"/>
      <c r="D16" s="59"/>
      <c r="E16" s="73" t="s">
        <v>75</v>
      </c>
      <c r="F16" s="317"/>
      <c r="G16" s="326"/>
    </row>
    <row r="17" spans="1:7" ht="16.5" x14ac:dyDescent="0.25">
      <c r="A17" s="57"/>
      <c r="B17" s="319"/>
      <c r="C17" s="319"/>
      <c r="D17" s="59"/>
      <c r="E17" s="59"/>
      <c r="F17" s="317"/>
      <c r="G17" s="326"/>
    </row>
    <row r="18" spans="1:7" ht="16.5" x14ac:dyDescent="0.25">
      <c r="A18" s="82" t="s">
        <v>332</v>
      </c>
      <c r="B18" s="322">
        <f>SUM(B9:B17)</f>
        <v>6084166.1100000003</v>
      </c>
      <c r="C18" s="322">
        <f>SUM(C9:C17)</f>
        <v>8177464</v>
      </c>
      <c r="D18" s="59"/>
      <c r="E18" s="71" t="s">
        <v>331</v>
      </c>
      <c r="F18" s="327">
        <f>SUM(F9:F17)</f>
        <v>4896084.0500000007</v>
      </c>
      <c r="G18" s="328">
        <f>SUM(G9:G17)</f>
        <v>5416735</v>
      </c>
    </row>
    <row r="19" spans="1:7" ht="16.5" x14ac:dyDescent="0.25">
      <c r="A19" s="57"/>
      <c r="B19" s="320"/>
      <c r="C19" s="320"/>
      <c r="D19" s="59"/>
      <c r="E19" s="70"/>
      <c r="F19" s="317"/>
      <c r="G19" s="326"/>
    </row>
    <row r="20" spans="1:7" ht="16.5" x14ac:dyDescent="0.25">
      <c r="A20" s="79" t="s">
        <v>76</v>
      </c>
      <c r="B20" s="316"/>
      <c r="C20" s="316"/>
      <c r="D20" s="59"/>
      <c r="E20" s="80" t="s">
        <v>77</v>
      </c>
      <c r="F20" s="317"/>
      <c r="G20" s="326"/>
    </row>
    <row r="21" spans="1:7" ht="16.5" x14ac:dyDescent="0.25">
      <c r="A21" s="75" t="s">
        <v>78</v>
      </c>
      <c r="B21" s="317">
        <v>71001</v>
      </c>
      <c r="C21" s="317">
        <v>71001</v>
      </c>
      <c r="D21" s="60"/>
      <c r="E21" s="73" t="s">
        <v>79</v>
      </c>
      <c r="F21" s="317"/>
      <c r="G21" s="326"/>
    </row>
    <row r="22" spans="1:7" ht="16.5" x14ac:dyDescent="0.25">
      <c r="A22" s="55" t="s">
        <v>80</v>
      </c>
      <c r="B22" s="318"/>
      <c r="C22" s="318"/>
      <c r="D22" s="60"/>
      <c r="E22" s="74" t="s">
        <v>81</v>
      </c>
      <c r="F22" s="317"/>
      <c r="G22" s="326"/>
    </row>
    <row r="23" spans="1:7" ht="16.5" x14ac:dyDescent="0.25">
      <c r="A23" s="75"/>
      <c r="B23" s="317"/>
      <c r="C23" s="317"/>
      <c r="D23" s="60"/>
      <c r="E23" s="73" t="s">
        <v>82</v>
      </c>
      <c r="F23" s="317"/>
      <c r="G23" s="326"/>
    </row>
    <row r="24" spans="1:7" ht="16.5" customHeight="1" x14ac:dyDescent="0.25">
      <c r="A24" s="55" t="s">
        <v>83</v>
      </c>
      <c r="B24" s="318">
        <f>52876778+611553</f>
        <v>53488331</v>
      </c>
      <c r="C24" s="321">
        <f>52876778+611553</f>
        <v>53488331</v>
      </c>
      <c r="D24" s="60"/>
      <c r="E24" s="73" t="s">
        <v>84</v>
      </c>
      <c r="F24" s="317"/>
      <c r="G24" s="326"/>
    </row>
    <row r="25" spans="1:7" ht="33" x14ac:dyDescent="0.25">
      <c r="A25" s="75"/>
      <c r="B25" s="317"/>
      <c r="C25" s="317"/>
      <c r="D25" s="60"/>
      <c r="E25" s="56" t="s">
        <v>85</v>
      </c>
      <c r="F25" s="317"/>
      <c r="G25" s="326"/>
    </row>
    <row r="26" spans="1:7" ht="16.5" x14ac:dyDescent="0.25">
      <c r="A26" s="75" t="s">
        <v>86</v>
      </c>
      <c r="B26" s="317">
        <v>32332983.07</v>
      </c>
      <c r="C26" s="317">
        <f>31200040</f>
        <v>31200040</v>
      </c>
      <c r="D26" s="60"/>
      <c r="E26" s="83"/>
      <c r="F26" s="317"/>
      <c r="G26" s="326"/>
    </row>
    <row r="27" spans="1:7" ht="16.5" x14ac:dyDescent="0.25">
      <c r="A27" s="75" t="s">
        <v>87</v>
      </c>
      <c r="B27" s="317"/>
      <c r="C27" s="317"/>
      <c r="D27" s="60"/>
      <c r="E27" s="73" t="s">
        <v>88</v>
      </c>
      <c r="F27" s="317"/>
      <c r="G27" s="326"/>
    </row>
    <row r="28" spans="1:7" ht="16.5" x14ac:dyDescent="0.25">
      <c r="A28" s="55" t="s">
        <v>89</v>
      </c>
      <c r="B28" s="318"/>
      <c r="C28" s="318"/>
      <c r="D28" s="60"/>
      <c r="E28" s="83"/>
      <c r="F28" s="317"/>
      <c r="G28" s="326"/>
    </row>
    <row r="29" spans="1:7" ht="16.5" x14ac:dyDescent="0.25">
      <c r="A29" s="75" t="s">
        <v>90</v>
      </c>
      <c r="B29" s="317"/>
      <c r="C29" s="317"/>
      <c r="D29" s="59"/>
      <c r="E29" s="86"/>
      <c r="F29" s="317"/>
      <c r="G29" s="326"/>
    </row>
    <row r="30" spans="1:7" ht="16.5" x14ac:dyDescent="0.25">
      <c r="A30" s="55" t="s">
        <v>92</v>
      </c>
      <c r="B30" s="318"/>
      <c r="C30" s="318"/>
      <c r="D30" s="59"/>
      <c r="E30" s="86"/>
      <c r="F30" s="317"/>
      <c r="G30" s="326"/>
    </row>
    <row r="31" spans="1:7" ht="16.5" x14ac:dyDescent="0.25">
      <c r="A31" s="75" t="s">
        <v>94</v>
      </c>
      <c r="B31" s="317"/>
      <c r="C31" s="317"/>
      <c r="D31" s="59"/>
      <c r="E31" s="86"/>
      <c r="F31" s="317"/>
      <c r="G31" s="326"/>
    </row>
    <row r="32" spans="1:7" ht="16.5" x14ac:dyDescent="0.25">
      <c r="A32" s="82"/>
      <c r="B32" s="320"/>
      <c r="C32" s="320"/>
      <c r="D32" s="59"/>
      <c r="E32" s="86"/>
      <c r="F32" s="317"/>
      <c r="G32" s="326"/>
    </row>
    <row r="33" spans="1:7" ht="16.5" x14ac:dyDescent="0.25">
      <c r="A33" s="82" t="s">
        <v>97</v>
      </c>
      <c r="B33" s="316">
        <f>SUM(B21:B32)</f>
        <v>85892315.069999993</v>
      </c>
      <c r="C33" s="316">
        <f>SUM(C21:C32)</f>
        <v>84759372</v>
      </c>
      <c r="D33" s="59"/>
      <c r="E33" s="70" t="s">
        <v>91</v>
      </c>
      <c r="F33" s="317"/>
      <c r="G33" s="326"/>
    </row>
    <row r="34" spans="1:7" ht="16.5" x14ac:dyDescent="0.25">
      <c r="A34" s="82"/>
      <c r="B34" s="320"/>
      <c r="C34" s="320"/>
      <c r="D34" s="59"/>
      <c r="E34" s="86"/>
      <c r="F34" s="317"/>
      <c r="G34" s="326"/>
    </row>
    <row r="35" spans="1:7" ht="16.5" x14ac:dyDescent="0.25">
      <c r="A35" s="79" t="s">
        <v>99</v>
      </c>
      <c r="B35" s="322">
        <f>B18+B33</f>
        <v>91976481.179999992</v>
      </c>
      <c r="C35" s="322">
        <f>C18+C33</f>
        <v>92936836</v>
      </c>
      <c r="D35" s="59"/>
      <c r="E35" s="80" t="s">
        <v>93</v>
      </c>
      <c r="F35" s="327">
        <f>F18+F33</f>
        <v>4896084.0500000007</v>
      </c>
      <c r="G35" s="328">
        <f>G18+G33</f>
        <v>5416735</v>
      </c>
    </row>
    <row r="36" spans="1:7" ht="16.5" x14ac:dyDescent="0.25">
      <c r="A36" s="57"/>
      <c r="B36" s="319"/>
      <c r="C36" s="319"/>
      <c r="D36" s="59"/>
      <c r="E36" s="86"/>
      <c r="F36" s="317"/>
      <c r="G36" s="326"/>
    </row>
    <row r="37" spans="1:7" ht="16.5" x14ac:dyDescent="0.25">
      <c r="A37" s="57"/>
      <c r="B37" s="319"/>
      <c r="C37" s="319"/>
      <c r="D37" s="59"/>
      <c r="E37" s="84" t="s">
        <v>95</v>
      </c>
      <c r="F37" s="317"/>
      <c r="G37" s="326"/>
    </row>
    <row r="38" spans="1:7" ht="16.5" x14ac:dyDescent="0.25">
      <c r="A38" s="57"/>
      <c r="B38" s="319"/>
      <c r="C38" s="319"/>
      <c r="D38" s="59"/>
      <c r="E38" s="80" t="s">
        <v>96</v>
      </c>
      <c r="F38" s="317"/>
      <c r="G38" s="326"/>
    </row>
    <row r="39" spans="1:7" ht="16.5" x14ac:dyDescent="0.25">
      <c r="A39" s="57"/>
      <c r="B39" s="319"/>
      <c r="C39" s="319"/>
      <c r="D39" s="59"/>
      <c r="E39" s="73" t="s">
        <v>36</v>
      </c>
      <c r="F39" s="317">
        <v>85821314.370000005</v>
      </c>
      <c r="G39" s="326">
        <v>84688371</v>
      </c>
    </row>
    <row r="40" spans="1:7" ht="16.5" x14ac:dyDescent="0.25">
      <c r="A40" s="57"/>
      <c r="B40" s="319"/>
      <c r="C40" s="319"/>
      <c r="D40" s="59"/>
      <c r="E40" s="73" t="s">
        <v>98</v>
      </c>
      <c r="F40" s="317"/>
      <c r="G40" s="326"/>
    </row>
    <row r="41" spans="1:7" ht="16.5" x14ac:dyDescent="0.25">
      <c r="A41" s="57"/>
      <c r="B41" s="319"/>
      <c r="C41" s="319"/>
      <c r="D41" s="59"/>
      <c r="E41" s="73" t="s">
        <v>100</v>
      </c>
      <c r="F41" s="317"/>
      <c r="G41" s="326"/>
    </row>
    <row r="42" spans="1:7" ht="16.5" x14ac:dyDescent="0.25">
      <c r="A42" s="82"/>
      <c r="B42" s="320"/>
      <c r="C42" s="320"/>
      <c r="D42" s="59"/>
      <c r="E42" s="80" t="s">
        <v>101</v>
      </c>
      <c r="F42" s="317"/>
      <c r="G42" s="326"/>
    </row>
    <row r="43" spans="1:7" ht="16.5" x14ac:dyDescent="0.25">
      <c r="A43" s="82"/>
      <c r="B43" s="320"/>
      <c r="C43" s="320"/>
      <c r="D43" s="59"/>
      <c r="E43" s="73" t="s">
        <v>102</v>
      </c>
      <c r="F43" s="317">
        <v>-1527628.8100000024</v>
      </c>
      <c r="G43" s="326">
        <v>-610834</v>
      </c>
    </row>
    <row r="44" spans="1:7" ht="16.5" x14ac:dyDescent="0.25">
      <c r="A44" s="82"/>
      <c r="B44" s="320"/>
      <c r="C44" s="320"/>
      <c r="D44" s="59"/>
      <c r="E44" s="73" t="s">
        <v>103</v>
      </c>
      <c r="F44" s="317">
        <v>2786711.59</v>
      </c>
      <c r="G44" s="326">
        <v>3442564</v>
      </c>
    </row>
    <row r="45" spans="1:7" ht="16.5" x14ac:dyDescent="0.25">
      <c r="A45" s="57"/>
      <c r="B45" s="319"/>
      <c r="C45" s="319"/>
      <c r="D45" s="59"/>
      <c r="E45" s="73" t="s">
        <v>104</v>
      </c>
      <c r="F45" s="317"/>
      <c r="G45" s="326"/>
    </row>
    <row r="46" spans="1:7" ht="16.5" x14ac:dyDescent="0.25">
      <c r="A46" s="57"/>
      <c r="B46" s="319"/>
      <c r="C46" s="319"/>
      <c r="D46" s="59"/>
      <c r="E46" s="73" t="s">
        <v>105</v>
      </c>
      <c r="F46" s="317"/>
      <c r="G46" s="326"/>
    </row>
    <row r="47" spans="1:7" ht="16.5" x14ac:dyDescent="0.25">
      <c r="A47" s="57"/>
      <c r="B47" s="319"/>
      <c r="C47" s="319"/>
      <c r="D47" s="59"/>
      <c r="E47" s="73" t="s">
        <v>106</v>
      </c>
      <c r="F47" s="317"/>
      <c r="G47" s="326"/>
    </row>
    <row r="48" spans="1:7" ht="33" x14ac:dyDescent="0.25">
      <c r="A48" s="57"/>
      <c r="B48" s="319"/>
      <c r="C48" s="319"/>
      <c r="D48" s="59"/>
      <c r="E48" s="54" t="s">
        <v>107</v>
      </c>
      <c r="F48" s="317"/>
      <c r="G48" s="326"/>
    </row>
    <row r="49" spans="1:7" ht="16.5" x14ac:dyDescent="0.25">
      <c r="A49" s="91"/>
      <c r="B49" s="319"/>
      <c r="C49" s="319"/>
      <c r="D49" s="58"/>
      <c r="E49" s="73" t="s">
        <v>108</v>
      </c>
      <c r="F49" s="317"/>
      <c r="G49" s="326"/>
    </row>
    <row r="50" spans="1:7" ht="16.5" x14ac:dyDescent="0.25">
      <c r="A50" s="92"/>
      <c r="B50" s="312"/>
      <c r="C50" s="312"/>
      <c r="D50" s="86"/>
      <c r="E50" s="73" t="s">
        <v>109</v>
      </c>
      <c r="F50" s="317"/>
      <c r="G50" s="326"/>
    </row>
    <row r="51" spans="1:7" ht="16.5" x14ac:dyDescent="0.25">
      <c r="A51" s="92"/>
      <c r="B51" s="312"/>
      <c r="C51" s="312"/>
      <c r="D51" s="86"/>
      <c r="E51" s="58"/>
      <c r="F51" s="317"/>
      <c r="G51" s="326"/>
    </row>
    <row r="52" spans="1:7" ht="16.5" x14ac:dyDescent="0.25">
      <c r="A52" s="92"/>
      <c r="B52" s="312"/>
      <c r="C52" s="312"/>
      <c r="D52" s="86"/>
      <c r="E52" s="85" t="s">
        <v>110</v>
      </c>
      <c r="F52" s="327">
        <f>SUM(F39:F51)</f>
        <v>87080397.150000006</v>
      </c>
      <c r="G52" s="328">
        <f>SUM(G39:G51)</f>
        <v>87520101</v>
      </c>
    </row>
    <row r="53" spans="1:7" ht="16.5" x14ac:dyDescent="0.25">
      <c r="A53" s="92"/>
      <c r="B53" s="312"/>
      <c r="C53" s="312"/>
      <c r="D53" s="86"/>
      <c r="E53" s="85"/>
      <c r="F53" s="317"/>
      <c r="G53" s="326"/>
    </row>
    <row r="54" spans="1:7" ht="16.5" x14ac:dyDescent="0.25">
      <c r="A54" s="92"/>
      <c r="B54" s="312"/>
      <c r="C54" s="312"/>
      <c r="D54" s="86"/>
      <c r="E54" s="80" t="s">
        <v>111</v>
      </c>
      <c r="F54" s="327">
        <f>F35+F52</f>
        <v>91976481.200000003</v>
      </c>
      <c r="G54" s="328">
        <f>G35+G52</f>
        <v>92936836</v>
      </c>
    </row>
    <row r="55" spans="1:7" ht="15.75" thickBot="1" x14ac:dyDescent="0.3">
      <c r="A55" s="93"/>
      <c r="B55" s="323"/>
      <c r="C55" s="323"/>
      <c r="D55" s="72"/>
      <c r="E55" s="72"/>
      <c r="F55" s="72"/>
      <c r="G55" s="94"/>
    </row>
  </sheetData>
  <autoFilter ref="A1:G49"/>
  <pageMargins left="0.27559055118110237" right="0.15748031496062992" top="0.39370078740157483" bottom="0.51181102362204722" header="0.31496062992125984" footer="0.31496062992125984"/>
  <pageSetup scale="67" fitToHeight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43" sqref="A1:I43"/>
    </sheetView>
  </sheetViews>
  <sheetFormatPr baseColWidth="10" defaultRowHeight="15" x14ac:dyDescent="0.25"/>
  <cols>
    <col min="1" max="1" width="2.85546875" style="210" customWidth="1"/>
    <col min="2" max="2" width="31.7109375" style="210" customWidth="1"/>
    <col min="3" max="9" width="13.7109375" style="132" customWidth="1"/>
    <col min="10" max="16384" width="11.42578125" style="132"/>
  </cols>
  <sheetData>
    <row r="1" spans="1:10" s="156" customFormat="1" x14ac:dyDescent="0.25">
      <c r="A1" s="438" t="s">
        <v>245</v>
      </c>
      <c r="B1" s="438"/>
      <c r="C1" s="438"/>
      <c r="D1" s="438"/>
      <c r="E1" s="438"/>
      <c r="F1" s="438"/>
      <c r="G1" s="438"/>
      <c r="H1" s="438"/>
      <c r="I1" s="438"/>
    </row>
    <row r="2" spans="1:10" s="157" customFormat="1" ht="15.75" x14ac:dyDescent="0.25">
      <c r="A2" s="438" t="s">
        <v>381</v>
      </c>
      <c r="B2" s="438"/>
      <c r="C2" s="438"/>
      <c r="D2" s="438"/>
      <c r="E2" s="438"/>
      <c r="F2" s="438"/>
      <c r="G2" s="438"/>
      <c r="H2" s="438"/>
      <c r="I2" s="438"/>
    </row>
    <row r="3" spans="1:10" s="157" customFormat="1" ht="15.75" x14ac:dyDescent="0.25">
      <c r="A3" s="438" t="s">
        <v>178</v>
      </c>
      <c r="B3" s="438"/>
      <c r="C3" s="438"/>
      <c r="D3" s="438"/>
      <c r="E3" s="438"/>
      <c r="F3" s="438"/>
      <c r="G3" s="438"/>
      <c r="H3" s="438"/>
      <c r="I3" s="438"/>
    </row>
    <row r="4" spans="1:10" s="157" customFormat="1" ht="15.75" x14ac:dyDescent="0.25">
      <c r="A4" s="438" t="s">
        <v>568</v>
      </c>
      <c r="B4" s="438"/>
      <c r="C4" s="438"/>
      <c r="D4" s="438"/>
      <c r="E4" s="438"/>
      <c r="F4" s="438"/>
      <c r="G4" s="438"/>
      <c r="H4" s="438"/>
      <c r="I4" s="438"/>
    </row>
    <row r="5" spans="1:10" s="158" customFormat="1" ht="15.75" thickBot="1" x14ac:dyDescent="0.3">
      <c r="A5" s="439" t="s">
        <v>142</v>
      </c>
      <c r="B5" s="439"/>
      <c r="C5" s="439"/>
      <c r="D5" s="439"/>
      <c r="E5" s="439"/>
      <c r="F5" s="439"/>
      <c r="G5" s="439"/>
      <c r="H5" s="439"/>
      <c r="I5" s="439"/>
    </row>
    <row r="6" spans="1:10" s="173" customFormat="1" ht="38.25" x14ac:dyDescent="0.25">
      <c r="A6" s="463" t="s">
        <v>179</v>
      </c>
      <c r="B6" s="464"/>
      <c r="C6" s="174" t="s">
        <v>180</v>
      </c>
      <c r="D6" s="174" t="s">
        <v>181</v>
      </c>
      <c r="E6" s="174" t="s">
        <v>182</v>
      </c>
      <c r="F6" s="174" t="s">
        <v>184</v>
      </c>
      <c r="G6" s="174" t="s">
        <v>185</v>
      </c>
      <c r="H6" s="175" t="s">
        <v>186</v>
      </c>
      <c r="I6" s="176" t="s">
        <v>188</v>
      </c>
    </row>
    <row r="7" spans="1:10" s="173" customFormat="1" ht="15.75" thickBot="1" x14ac:dyDescent="0.3">
      <c r="A7" s="465"/>
      <c r="B7" s="466"/>
      <c r="C7" s="177" t="s">
        <v>339</v>
      </c>
      <c r="D7" s="177" t="s">
        <v>340</v>
      </c>
      <c r="E7" s="177" t="s">
        <v>183</v>
      </c>
      <c r="F7" s="177" t="s">
        <v>341</v>
      </c>
      <c r="G7" s="177" t="s">
        <v>342</v>
      </c>
      <c r="H7" s="178" t="s">
        <v>187</v>
      </c>
      <c r="I7" s="179" t="s">
        <v>189</v>
      </c>
    </row>
    <row r="8" spans="1:10" ht="17.100000000000001" customHeight="1" x14ac:dyDescent="0.25">
      <c r="A8" s="184">
        <v>1</v>
      </c>
      <c r="B8" s="185" t="s">
        <v>3</v>
      </c>
      <c r="C8" s="350"/>
      <c r="D8" s="350"/>
      <c r="E8" s="350"/>
      <c r="F8" s="350"/>
      <c r="G8" s="350"/>
      <c r="H8" s="353"/>
      <c r="I8" s="351"/>
    </row>
    <row r="9" spans="1:10" ht="17.100000000000001" customHeight="1" x14ac:dyDescent="0.25">
      <c r="A9" s="186">
        <v>2</v>
      </c>
      <c r="B9" s="187" t="s">
        <v>4</v>
      </c>
      <c r="C9" s="350"/>
      <c r="D9" s="350"/>
      <c r="E9" s="350"/>
      <c r="F9" s="350"/>
      <c r="G9" s="350"/>
      <c r="H9" s="353"/>
      <c r="I9" s="351"/>
    </row>
    <row r="10" spans="1:10" ht="17.100000000000001" customHeight="1" x14ac:dyDescent="0.25">
      <c r="A10" s="186">
        <v>3</v>
      </c>
      <c r="B10" s="187" t="s">
        <v>344</v>
      </c>
      <c r="C10" s="350"/>
      <c r="D10" s="350"/>
      <c r="E10" s="350"/>
      <c r="F10" s="350"/>
      <c r="G10" s="350"/>
      <c r="H10" s="353"/>
      <c r="I10" s="351"/>
    </row>
    <row r="11" spans="1:10" ht="17.100000000000001" customHeight="1" x14ac:dyDescent="0.25">
      <c r="A11" s="186">
        <v>4</v>
      </c>
      <c r="B11" s="187" t="s">
        <v>6</v>
      </c>
      <c r="C11" s="350">
        <f>'[15]8. Resumen'!$G$8</f>
        <v>1863149.6600000001</v>
      </c>
      <c r="D11" s="350"/>
      <c r="E11" s="350">
        <f>C11+D11</f>
        <v>1863149.6600000001</v>
      </c>
      <c r="F11" s="350">
        <f>C11-G11</f>
        <v>1025053.6600000001</v>
      </c>
      <c r="G11" s="350">
        <f>[1]Sheet1!$P$365</f>
        <v>838096</v>
      </c>
      <c r="H11" s="353">
        <f>G11/C11</f>
        <v>0.44982752485916777</v>
      </c>
      <c r="I11" s="351">
        <f>G11-C11</f>
        <v>-1025053.6600000001</v>
      </c>
      <c r="J11" s="353"/>
    </row>
    <row r="12" spans="1:10" ht="17.100000000000001" customHeight="1" x14ac:dyDescent="0.25">
      <c r="A12" s="186">
        <v>5</v>
      </c>
      <c r="B12" s="187" t="s">
        <v>345</v>
      </c>
      <c r="C12" s="350"/>
      <c r="D12" s="350"/>
      <c r="E12" s="350"/>
      <c r="F12" s="350"/>
      <c r="G12" s="350"/>
      <c r="H12" s="353"/>
      <c r="I12" s="351"/>
    </row>
    <row r="13" spans="1:10" ht="17.100000000000001" customHeight="1" x14ac:dyDescent="0.25">
      <c r="A13" s="186"/>
      <c r="B13" s="187" t="s">
        <v>190</v>
      </c>
      <c r="C13" s="350"/>
      <c r="D13" s="350"/>
      <c r="E13" s="350"/>
      <c r="F13" s="350"/>
      <c r="G13" s="350"/>
      <c r="H13" s="353"/>
      <c r="I13" s="351"/>
    </row>
    <row r="14" spans="1:10" ht="17.100000000000001" customHeight="1" x14ac:dyDescent="0.25">
      <c r="A14" s="186"/>
      <c r="B14" s="187" t="s">
        <v>191</v>
      </c>
      <c r="C14" s="350"/>
      <c r="D14" s="350"/>
      <c r="E14" s="350"/>
      <c r="F14" s="350"/>
      <c r="G14" s="350" t="s">
        <v>246</v>
      </c>
      <c r="H14" s="353"/>
      <c r="I14" s="351"/>
    </row>
    <row r="15" spans="1:10" ht="17.100000000000001" customHeight="1" x14ac:dyDescent="0.25">
      <c r="A15" s="186">
        <v>6</v>
      </c>
      <c r="B15" s="187" t="s">
        <v>346</v>
      </c>
      <c r="C15" s="350"/>
      <c r="D15" s="350"/>
      <c r="E15" s="350"/>
      <c r="F15" s="350"/>
      <c r="G15" s="350"/>
      <c r="H15" s="353"/>
      <c r="I15" s="351"/>
    </row>
    <row r="16" spans="1:10" ht="17.100000000000001" customHeight="1" x14ac:dyDescent="0.25">
      <c r="A16" s="186"/>
      <c r="B16" s="187" t="s">
        <v>190</v>
      </c>
      <c r="C16" s="350"/>
      <c r="D16" s="350"/>
      <c r="E16" s="350"/>
      <c r="F16" s="350"/>
      <c r="G16" s="350"/>
      <c r="H16" s="353"/>
      <c r="I16" s="351"/>
    </row>
    <row r="17" spans="1:9" ht="17.100000000000001" customHeight="1" x14ac:dyDescent="0.25">
      <c r="A17" s="186"/>
      <c r="B17" s="187" t="s">
        <v>191</v>
      </c>
      <c r="C17" s="350"/>
      <c r="D17" s="350"/>
      <c r="E17" s="350"/>
      <c r="F17" s="350"/>
      <c r="G17" s="350"/>
      <c r="H17" s="353"/>
      <c r="I17" s="351"/>
    </row>
    <row r="18" spans="1:9" ht="17.100000000000001" customHeight="1" x14ac:dyDescent="0.25">
      <c r="A18" s="186">
        <v>7</v>
      </c>
      <c r="B18" s="187" t="s">
        <v>347</v>
      </c>
      <c r="C18" s="350"/>
      <c r="D18" s="350"/>
      <c r="E18" s="350"/>
      <c r="F18" s="350"/>
      <c r="G18" s="350"/>
      <c r="H18" s="353"/>
      <c r="I18" s="351"/>
    </row>
    <row r="19" spans="1:9" ht="17.100000000000001" customHeight="1" x14ac:dyDescent="0.25">
      <c r="A19" s="186">
        <v>8</v>
      </c>
      <c r="B19" s="187" t="s">
        <v>11</v>
      </c>
      <c r="C19" s="350"/>
      <c r="D19" s="350"/>
      <c r="E19" s="350"/>
      <c r="F19" s="350"/>
      <c r="G19" s="350"/>
      <c r="H19" s="353"/>
      <c r="I19" s="351"/>
    </row>
    <row r="20" spans="1:9" ht="25.5" x14ac:dyDescent="0.25">
      <c r="A20" s="186">
        <v>9</v>
      </c>
      <c r="B20" s="187" t="s">
        <v>222</v>
      </c>
      <c r="C20" s="350">
        <f>'[15]8. Resumen'!$F$8+'[15]8. Resumen'!$H$8</f>
        <v>37812245.326044336</v>
      </c>
      <c r="D20" s="350"/>
      <c r="E20" s="350">
        <f t="shared" ref="E20" si="0">C20+D20</f>
        <v>37812245.326044336</v>
      </c>
      <c r="F20" s="350">
        <f>C20-G20</f>
        <v>23525062.826044336</v>
      </c>
      <c r="G20" s="350">
        <f>[1]Sheet1!$P$353</f>
        <v>14287182.5</v>
      </c>
      <c r="H20" s="353">
        <f>G20/C20</f>
        <v>0.37784538783152527</v>
      </c>
      <c r="I20" s="351">
        <f t="shared" ref="I20" si="1">G20-C20</f>
        <v>-23525062.826044336</v>
      </c>
    </row>
    <row r="21" spans="1:9" ht="17.100000000000001" customHeight="1" thickBot="1" x14ac:dyDescent="0.3">
      <c r="A21" s="188">
        <v>10</v>
      </c>
      <c r="B21" s="189" t="s">
        <v>348</v>
      </c>
      <c r="C21" s="352"/>
      <c r="D21" s="352"/>
      <c r="E21" s="352"/>
      <c r="F21" s="352"/>
      <c r="G21" s="352"/>
      <c r="H21" s="354"/>
      <c r="I21" s="357"/>
    </row>
    <row r="22" spans="1:9" ht="28.5" customHeight="1" thickBot="1" x14ac:dyDescent="0.3">
      <c r="A22" s="461" t="s">
        <v>139</v>
      </c>
      <c r="B22" s="462"/>
      <c r="C22" s="355">
        <f>SUM(C8:C21)</f>
        <v>39675394.986044332</v>
      </c>
      <c r="D22" s="355">
        <f t="shared" ref="D22:I22" si="2">SUM(D8:D21)</f>
        <v>0</v>
      </c>
      <c r="E22" s="355">
        <f t="shared" si="2"/>
        <v>39675394.986044332</v>
      </c>
      <c r="F22" s="355">
        <f t="shared" si="2"/>
        <v>24550116.486044336</v>
      </c>
      <c r="G22" s="355">
        <f t="shared" si="2"/>
        <v>15125278.5</v>
      </c>
      <c r="H22" s="356">
        <f>G22/C22</f>
        <v>0.38122565648861867</v>
      </c>
      <c r="I22" s="355">
        <f t="shared" si="2"/>
        <v>-24550116.486044336</v>
      </c>
    </row>
    <row r="23" spans="1:9" s="182" customFormat="1" ht="36.75" customHeight="1" x14ac:dyDescent="0.25">
      <c r="A23" s="467" t="s">
        <v>343</v>
      </c>
      <c r="B23" s="468"/>
      <c r="C23" s="180" t="s">
        <v>180</v>
      </c>
      <c r="D23" s="180" t="s">
        <v>181</v>
      </c>
      <c r="E23" s="180" t="s">
        <v>182</v>
      </c>
      <c r="F23" s="180" t="s">
        <v>184</v>
      </c>
      <c r="G23" s="180" t="s">
        <v>185</v>
      </c>
      <c r="H23" s="181" t="s">
        <v>186</v>
      </c>
      <c r="I23" s="176" t="s">
        <v>188</v>
      </c>
    </row>
    <row r="24" spans="1:9" s="183" customFormat="1" ht="15.75" thickBot="1" x14ac:dyDescent="0.3">
      <c r="A24" s="469"/>
      <c r="B24" s="470"/>
      <c r="C24" s="177" t="s">
        <v>339</v>
      </c>
      <c r="D24" s="177" t="s">
        <v>340</v>
      </c>
      <c r="E24" s="177" t="s">
        <v>183</v>
      </c>
      <c r="F24" s="177" t="s">
        <v>341</v>
      </c>
      <c r="G24" s="177" t="s">
        <v>342</v>
      </c>
      <c r="H24" s="178" t="s">
        <v>187</v>
      </c>
      <c r="I24" s="179" t="s">
        <v>189</v>
      </c>
    </row>
    <row r="25" spans="1:9" s="195" customFormat="1" ht="17.100000000000001" customHeight="1" x14ac:dyDescent="0.25">
      <c r="A25" s="190" t="s">
        <v>192</v>
      </c>
      <c r="B25" s="191"/>
      <c r="C25" s="192"/>
      <c r="D25" s="192"/>
      <c r="E25" s="192"/>
      <c r="F25" s="192"/>
      <c r="G25" s="192"/>
      <c r="H25" s="193"/>
      <c r="I25" s="194"/>
    </row>
    <row r="26" spans="1:9" s="195" customFormat="1" ht="17.100000000000001" customHeight="1" x14ac:dyDescent="0.25">
      <c r="A26" s="196" t="s">
        <v>193</v>
      </c>
      <c r="B26" s="197"/>
      <c r="C26" s="350"/>
      <c r="D26" s="350"/>
      <c r="E26" s="350"/>
      <c r="F26" s="350"/>
      <c r="G26" s="350"/>
      <c r="H26" s="353"/>
      <c r="I26" s="351"/>
    </row>
    <row r="27" spans="1:9" s="195" customFormat="1" ht="17.100000000000001" customHeight="1" x14ac:dyDescent="0.25">
      <c r="A27" s="196" t="s">
        <v>194</v>
      </c>
      <c r="B27" s="197"/>
      <c r="C27" s="350"/>
      <c r="D27" s="350"/>
      <c r="E27" s="350"/>
      <c r="F27" s="350"/>
      <c r="G27" s="350"/>
      <c r="H27" s="353"/>
      <c r="I27" s="351"/>
    </row>
    <row r="28" spans="1:9" s="195" customFormat="1" ht="27" customHeight="1" x14ac:dyDescent="0.25">
      <c r="A28" s="459" t="s">
        <v>195</v>
      </c>
      <c r="B28" s="460"/>
      <c r="C28" s="350"/>
      <c r="D28" s="350"/>
      <c r="E28" s="350"/>
      <c r="F28" s="350"/>
      <c r="G28" s="350"/>
      <c r="H28" s="353"/>
      <c r="I28" s="351"/>
    </row>
    <row r="29" spans="1:9" s="195" customFormat="1" ht="17.100000000000001" customHeight="1" x14ac:dyDescent="0.25">
      <c r="A29" s="196" t="s">
        <v>196</v>
      </c>
      <c r="B29" s="197"/>
      <c r="C29" s="350"/>
      <c r="D29" s="350"/>
      <c r="E29" s="350"/>
      <c r="F29" s="350"/>
      <c r="G29" s="350"/>
      <c r="H29" s="353"/>
      <c r="I29" s="351"/>
    </row>
    <row r="30" spans="1:9" s="195" customFormat="1" ht="17.100000000000001" customHeight="1" x14ac:dyDescent="0.25">
      <c r="A30" s="196" t="s">
        <v>197</v>
      </c>
      <c r="B30" s="197"/>
      <c r="C30" s="350"/>
      <c r="D30" s="350"/>
      <c r="E30" s="350"/>
      <c r="F30" s="350"/>
      <c r="G30" s="350"/>
      <c r="H30" s="353"/>
      <c r="I30" s="351"/>
    </row>
    <row r="31" spans="1:9" s="195" customFormat="1" ht="17.100000000000001" customHeight="1" x14ac:dyDescent="0.25">
      <c r="A31" s="196" t="s">
        <v>198</v>
      </c>
      <c r="B31" s="197"/>
      <c r="C31" s="350"/>
      <c r="D31" s="350"/>
      <c r="E31" s="350"/>
      <c r="F31" s="350"/>
      <c r="G31" s="350"/>
      <c r="H31" s="353"/>
      <c r="I31" s="351"/>
    </row>
    <row r="32" spans="1:9" s="195" customFormat="1" ht="17.100000000000001" customHeight="1" x14ac:dyDescent="0.25">
      <c r="A32" s="196" t="s">
        <v>199</v>
      </c>
      <c r="B32" s="197"/>
      <c r="C32" s="350"/>
      <c r="D32" s="350"/>
      <c r="E32" s="350"/>
      <c r="F32" s="350"/>
      <c r="G32" s="350"/>
      <c r="H32" s="353"/>
      <c r="I32" s="351"/>
    </row>
    <row r="33" spans="1:9" s="195" customFormat="1" ht="17.100000000000001" customHeight="1" x14ac:dyDescent="0.25">
      <c r="A33" s="196" t="s">
        <v>200</v>
      </c>
      <c r="B33" s="197"/>
      <c r="C33" s="350"/>
      <c r="D33" s="350"/>
      <c r="E33" s="350"/>
      <c r="F33" s="350"/>
      <c r="G33" s="350"/>
      <c r="H33" s="353"/>
      <c r="I33" s="351"/>
    </row>
    <row r="34" spans="1:9" s="195" customFormat="1" ht="17.100000000000001" customHeight="1" x14ac:dyDescent="0.25">
      <c r="A34" s="201" t="s">
        <v>349</v>
      </c>
      <c r="B34" s="202" t="s">
        <v>201</v>
      </c>
      <c r="C34" s="198"/>
      <c r="D34" s="198"/>
      <c r="E34" s="198"/>
      <c r="F34" s="198"/>
      <c r="G34" s="198"/>
      <c r="H34" s="199"/>
      <c r="I34" s="200"/>
    </row>
    <row r="35" spans="1:9" s="195" customFormat="1" ht="17.100000000000001" customHeight="1" x14ac:dyDescent="0.25">
      <c r="A35" s="196"/>
      <c r="B35" s="197"/>
      <c r="C35" s="198"/>
      <c r="D35" s="198"/>
      <c r="E35" s="198"/>
      <c r="F35" s="198"/>
      <c r="G35" s="198"/>
      <c r="H35" s="199"/>
      <c r="I35" s="200"/>
    </row>
    <row r="36" spans="1:9" s="195" customFormat="1" ht="17.100000000000001" customHeight="1" x14ac:dyDescent="0.25">
      <c r="A36" s="203" t="s">
        <v>202</v>
      </c>
      <c r="B36" s="204"/>
      <c r="C36" s="198"/>
      <c r="D36" s="198"/>
      <c r="E36" s="198"/>
      <c r="F36" s="198"/>
      <c r="G36" s="198"/>
      <c r="H36" s="199"/>
      <c r="I36" s="200"/>
    </row>
    <row r="37" spans="1:9" s="195" customFormat="1" ht="17.100000000000001" customHeight="1" x14ac:dyDescent="0.25">
      <c r="A37" s="196" t="s">
        <v>203</v>
      </c>
      <c r="B37" s="197"/>
      <c r="C37" s="350">
        <f>C11</f>
        <v>1863149.6600000001</v>
      </c>
      <c r="D37" s="350"/>
      <c r="E37" s="350">
        <f t="shared" ref="E37:E40" si="3">C37+D37</f>
        <v>1863149.6600000001</v>
      </c>
      <c r="F37" s="350">
        <f>F11</f>
        <v>1025053.6600000001</v>
      </c>
      <c r="G37" s="350">
        <f>G11</f>
        <v>838096</v>
      </c>
      <c r="H37" s="353">
        <f t="shared" ref="H37" si="4">G37/C37</f>
        <v>0.44982752485916777</v>
      </c>
      <c r="I37" s="351">
        <f>G37-C37</f>
        <v>-1025053.6600000001</v>
      </c>
    </row>
    <row r="38" spans="1:9" s="195" customFormat="1" ht="17.100000000000001" customHeight="1" x14ac:dyDescent="0.25">
      <c r="A38" s="196" t="s">
        <v>204</v>
      </c>
      <c r="B38" s="197"/>
      <c r="C38" s="350"/>
      <c r="D38" s="350"/>
      <c r="E38" s="350">
        <f t="shared" si="3"/>
        <v>0</v>
      </c>
      <c r="F38" s="350"/>
      <c r="G38" s="350"/>
      <c r="H38" s="353"/>
      <c r="I38" s="351"/>
    </row>
    <row r="39" spans="1:9" s="195" customFormat="1" ht="17.100000000000001" customHeight="1" x14ac:dyDescent="0.25">
      <c r="A39" s="196" t="s">
        <v>205</v>
      </c>
      <c r="B39" s="197"/>
      <c r="C39" s="350"/>
      <c r="D39" s="350"/>
      <c r="E39" s="350">
        <f t="shared" si="3"/>
        <v>0</v>
      </c>
      <c r="F39" s="350"/>
      <c r="G39" s="350"/>
      <c r="H39" s="353"/>
      <c r="I39" s="351"/>
    </row>
    <row r="40" spans="1:9" s="195" customFormat="1" ht="17.100000000000001" customHeight="1" x14ac:dyDescent="0.25">
      <c r="A40" s="196" t="s">
        <v>206</v>
      </c>
      <c r="B40" s="197"/>
      <c r="C40" s="350"/>
      <c r="D40" s="350"/>
      <c r="E40" s="350">
        <f t="shared" si="3"/>
        <v>0</v>
      </c>
      <c r="F40" s="350"/>
      <c r="G40" s="350"/>
      <c r="H40" s="353"/>
      <c r="I40" s="351"/>
    </row>
    <row r="41" spans="1:9" s="195" customFormat="1" ht="17.100000000000001" customHeight="1" x14ac:dyDescent="0.25">
      <c r="A41" s="201" t="s">
        <v>349</v>
      </c>
      <c r="B41" s="202" t="s">
        <v>207</v>
      </c>
      <c r="C41" s="198"/>
      <c r="D41" s="198"/>
      <c r="E41" s="198"/>
      <c r="F41" s="198"/>
      <c r="G41" s="198"/>
      <c r="H41" s="199"/>
      <c r="I41" s="200"/>
    </row>
    <row r="42" spans="1:9" s="195" customFormat="1" ht="17.100000000000001" customHeight="1" thickBot="1" x14ac:dyDescent="0.3">
      <c r="A42" s="205"/>
      <c r="B42" s="206"/>
      <c r="C42" s="207"/>
      <c r="D42" s="207"/>
      <c r="E42" s="207"/>
      <c r="F42" s="207"/>
      <c r="G42" s="207"/>
      <c r="H42" s="208"/>
      <c r="I42" s="209"/>
    </row>
    <row r="43" spans="1:9" ht="28.5" customHeight="1" thickBot="1" x14ac:dyDescent="0.3">
      <c r="A43" s="461" t="s">
        <v>139</v>
      </c>
      <c r="B43" s="462"/>
      <c r="C43" s="355">
        <f>SUM(C25:C42)</f>
        <v>1863149.6600000001</v>
      </c>
      <c r="D43" s="355">
        <f t="shared" ref="D43:I43" si="5">SUM(D25:D42)</f>
        <v>0</v>
      </c>
      <c r="E43" s="355">
        <f t="shared" si="5"/>
        <v>1863149.6600000001</v>
      </c>
      <c r="F43" s="355">
        <f t="shared" si="5"/>
        <v>1025053.6600000001</v>
      </c>
      <c r="G43" s="355">
        <f t="shared" si="5"/>
        <v>838096</v>
      </c>
      <c r="H43" s="356">
        <f>G43/C43</f>
        <v>0.44982752485916777</v>
      </c>
      <c r="I43" s="355">
        <f t="shared" si="5"/>
        <v>-1025053.6600000001</v>
      </c>
    </row>
  </sheetData>
  <mergeCells count="10">
    <mergeCell ref="A28:B28"/>
    <mergeCell ref="A43:B43"/>
    <mergeCell ref="A1:I1"/>
    <mergeCell ref="A2:I2"/>
    <mergeCell ref="A3:I3"/>
    <mergeCell ref="A4:I4"/>
    <mergeCell ref="A5:I5"/>
    <mergeCell ref="A6:B7"/>
    <mergeCell ref="A23:B24"/>
    <mergeCell ref="A22:B22"/>
  </mergeCells>
  <pageMargins left="0.19685039370078741" right="0.15748031496062992" top="0.74803149606299213" bottom="0.74803149606299213" header="0.31496062992125984" footer="0.31496062992125984"/>
  <pageSetup scale="77" fitToHeight="0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J18" sqref="A1:J18"/>
    </sheetView>
  </sheetViews>
  <sheetFormatPr baseColWidth="10" defaultRowHeight="15" x14ac:dyDescent="0.25"/>
  <cols>
    <col min="1" max="1" width="6.140625" style="132" customWidth="1"/>
    <col min="2" max="2" width="39.5703125" style="132" bestFit="1" customWidth="1"/>
    <col min="3" max="10" width="13.7109375" style="132" customWidth="1"/>
    <col min="11" max="16384" width="11.42578125" style="132"/>
  </cols>
  <sheetData>
    <row r="1" spans="1:10" s="156" customFormat="1" x14ac:dyDescent="0.25">
      <c r="A1" s="438" t="s">
        <v>245</v>
      </c>
      <c r="B1" s="438"/>
      <c r="C1" s="438"/>
      <c r="D1" s="438"/>
      <c r="E1" s="438"/>
      <c r="F1" s="438"/>
      <c r="G1" s="438"/>
      <c r="H1" s="438"/>
      <c r="I1" s="438"/>
      <c r="J1" s="438"/>
    </row>
    <row r="2" spans="1:10" s="157" customFormat="1" ht="15.75" x14ac:dyDescent="0.25">
      <c r="A2" s="438" t="s">
        <v>381</v>
      </c>
      <c r="B2" s="438"/>
      <c r="C2" s="438"/>
      <c r="D2" s="438"/>
      <c r="E2" s="438"/>
      <c r="F2" s="438"/>
      <c r="G2" s="438"/>
      <c r="H2" s="438"/>
      <c r="I2" s="438"/>
      <c r="J2" s="438"/>
    </row>
    <row r="3" spans="1:10" s="157" customFormat="1" ht="15.75" x14ac:dyDescent="0.25">
      <c r="A3" s="438" t="s">
        <v>209</v>
      </c>
      <c r="B3" s="438"/>
      <c r="C3" s="438"/>
      <c r="D3" s="438"/>
      <c r="E3" s="438"/>
      <c r="F3" s="438"/>
      <c r="G3" s="438"/>
      <c r="H3" s="438"/>
      <c r="I3" s="438"/>
      <c r="J3" s="438"/>
    </row>
    <row r="4" spans="1:10" s="157" customFormat="1" ht="15.75" x14ac:dyDescent="0.25">
      <c r="A4" s="438" t="s">
        <v>210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0" s="157" customFormat="1" ht="15.75" x14ac:dyDescent="0.25">
      <c r="A5" s="438" t="s">
        <v>568</v>
      </c>
      <c r="B5" s="438"/>
      <c r="C5" s="438"/>
      <c r="D5" s="438"/>
      <c r="E5" s="438"/>
      <c r="F5" s="438"/>
      <c r="G5" s="438"/>
      <c r="H5" s="438"/>
      <c r="I5" s="438"/>
      <c r="J5" s="438"/>
    </row>
    <row r="6" spans="1:10" s="158" customFormat="1" ht="15.75" thickBot="1" x14ac:dyDescent="0.3">
      <c r="A6" s="439" t="s">
        <v>142</v>
      </c>
      <c r="B6" s="439"/>
      <c r="C6" s="439"/>
      <c r="D6" s="439"/>
      <c r="E6" s="439"/>
      <c r="F6" s="439"/>
      <c r="G6" s="439"/>
      <c r="H6" s="439"/>
      <c r="I6" s="439"/>
      <c r="J6" s="439"/>
    </row>
    <row r="7" spans="1:10" s="214" customFormat="1" ht="25.5" x14ac:dyDescent="0.25">
      <c r="A7" s="463" t="s">
        <v>211</v>
      </c>
      <c r="B7" s="464"/>
      <c r="C7" s="176" t="s">
        <v>212</v>
      </c>
      <c r="D7" s="213" t="s">
        <v>213</v>
      </c>
      <c r="E7" s="174" t="s">
        <v>214</v>
      </c>
      <c r="F7" s="213" t="s">
        <v>215</v>
      </c>
      <c r="G7" s="174" t="s">
        <v>216</v>
      </c>
      <c r="H7" s="174" t="s">
        <v>217</v>
      </c>
      <c r="I7" s="174" t="s">
        <v>218</v>
      </c>
      <c r="J7" s="174" t="s">
        <v>219</v>
      </c>
    </row>
    <row r="8" spans="1:10" s="215" customFormat="1" ht="13.5" thickBot="1" x14ac:dyDescent="0.3">
      <c r="A8" s="471" t="s">
        <v>220</v>
      </c>
      <c r="B8" s="472"/>
      <c r="C8" s="179" t="s">
        <v>339</v>
      </c>
      <c r="D8" s="177" t="s">
        <v>340</v>
      </c>
      <c r="E8" s="177" t="s">
        <v>221</v>
      </c>
      <c r="F8" s="177" t="s">
        <v>341</v>
      </c>
      <c r="G8" s="177" t="s">
        <v>342</v>
      </c>
      <c r="H8" s="177" t="s">
        <v>350</v>
      </c>
      <c r="I8" s="177" t="s">
        <v>351</v>
      </c>
      <c r="J8" s="177" t="s">
        <v>352</v>
      </c>
    </row>
    <row r="9" spans="1:10" ht="30" customHeight="1" x14ac:dyDescent="0.25">
      <c r="A9" s="216">
        <v>1000</v>
      </c>
      <c r="B9" s="187" t="s">
        <v>22</v>
      </c>
      <c r="C9" s="350">
        <f>'[15]8. Resumen'!$J$23</f>
        <v>31123816.306044333</v>
      </c>
      <c r="D9" s="350">
        <v>0</v>
      </c>
      <c r="E9" s="350">
        <f>C9+D9</f>
        <v>31123816.306044333</v>
      </c>
      <c r="F9" s="350">
        <v>31123816.306044336</v>
      </c>
      <c r="G9" s="350">
        <v>6376766.3800000008</v>
      </c>
      <c r="H9" s="350">
        <v>6376766.3800000008</v>
      </c>
      <c r="I9" s="350">
        <v>6376766.3800000008</v>
      </c>
      <c r="J9" s="350">
        <f>+E9-I9</f>
        <v>24747049.92604433</v>
      </c>
    </row>
    <row r="10" spans="1:10" ht="30" customHeight="1" x14ac:dyDescent="0.25">
      <c r="A10" s="216">
        <v>2000</v>
      </c>
      <c r="B10" s="187" t="s">
        <v>23</v>
      </c>
      <c r="C10" s="350">
        <f>'[15]8. Resumen'!$J$62</f>
        <v>1547386.11</v>
      </c>
      <c r="D10" s="350">
        <v>0</v>
      </c>
      <c r="E10" s="350">
        <f t="shared" ref="E10:E15" si="0">C10+D10</f>
        <v>1547386.11</v>
      </c>
      <c r="F10" s="350">
        <f>G10</f>
        <v>244289.7</v>
      </c>
      <c r="G10" s="350">
        <f>H10</f>
        <v>244289.7</v>
      </c>
      <c r="H10" s="350">
        <f>[1]Sheet1!$M$431</f>
        <v>244289.7</v>
      </c>
      <c r="I10" s="350">
        <f>[1]Sheet1!$M$431-[1]Sheet1!$P$262-[1]Sheet1!$P$263-[1]Sheet1!$P$265-[1]Sheet1!$P$272-[1]Sheet1!$P$273-[1]Sheet1!$P$277-[1]Sheet1!$P$278</f>
        <v>222497.35</v>
      </c>
      <c r="J10" s="350">
        <f t="shared" ref="J10:J15" si="1">+E10-I10</f>
        <v>1324888.76</v>
      </c>
    </row>
    <row r="11" spans="1:10" ht="30" customHeight="1" x14ac:dyDescent="0.25">
      <c r="A11" s="216">
        <v>3000</v>
      </c>
      <c r="B11" s="187" t="s">
        <v>24</v>
      </c>
      <c r="C11" s="350">
        <f>'[15]8. Resumen'!$J$141</f>
        <v>4232562.51</v>
      </c>
      <c r="D11" s="350">
        <v>0</v>
      </c>
      <c r="E11" s="350">
        <f t="shared" si="0"/>
        <v>4232562.51</v>
      </c>
      <c r="F11" s="350">
        <f>G11</f>
        <v>533639.11</v>
      </c>
      <c r="G11" s="350">
        <f>H11</f>
        <v>533639.11</v>
      </c>
      <c r="H11" s="350">
        <v>533639.11</v>
      </c>
      <c r="I11" s="350">
        <f>[1]Sheet1!$M$471-[1]Sheet1!$K$257-[1]Sheet1!$P$258-[1]Sheet1!$P$260-[1]Sheet1!$P$264-[1]Sheet1!$P$267-[1]Sheet1!$P$274-[1]Sheet1!$P$279</f>
        <v>891432.88000000012</v>
      </c>
      <c r="J11" s="350">
        <f t="shared" si="1"/>
        <v>3341129.63</v>
      </c>
    </row>
    <row r="12" spans="1:10" ht="30" customHeight="1" x14ac:dyDescent="0.25">
      <c r="A12" s="216">
        <v>4000</v>
      </c>
      <c r="B12" s="187" t="s">
        <v>222</v>
      </c>
      <c r="C12" s="350">
        <f>'[15]8. Resumen'!$J$245</f>
        <v>2725430.5234999186</v>
      </c>
      <c r="D12" s="350">
        <v>0</v>
      </c>
      <c r="E12" s="350">
        <f t="shared" si="0"/>
        <v>2725430.5234999186</v>
      </c>
      <c r="F12" s="350">
        <f>G12</f>
        <v>995714</v>
      </c>
      <c r="G12" s="350">
        <f>H12</f>
        <v>995714</v>
      </c>
      <c r="H12" s="350">
        <f>I12</f>
        <v>995714</v>
      </c>
      <c r="I12" s="350">
        <f>[1]Sheet1!$M$552</f>
        <v>995714</v>
      </c>
      <c r="J12" s="350">
        <f t="shared" si="1"/>
        <v>1729716.5234999186</v>
      </c>
    </row>
    <row r="13" spans="1:10" ht="30" customHeight="1" x14ac:dyDescent="0.25">
      <c r="A13" s="216">
        <v>5000</v>
      </c>
      <c r="B13" s="187" t="s">
        <v>223</v>
      </c>
      <c r="C13" s="350">
        <f>'[15]8. Resumen'!$J$253</f>
        <v>211218.28</v>
      </c>
      <c r="D13" s="350">
        <v>0</v>
      </c>
      <c r="E13" s="350">
        <f t="shared" si="0"/>
        <v>211218.28</v>
      </c>
      <c r="F13" s="350">
        <f>G13</f>
        <v>4616.8</v>
      </c>
      <c r="G13" s="350">
        <f>H13</f>
        <v>4616.8</v>
      </c>
      <c r="H13" s="350">
        <f>I13</f>
        <v>4616.8</v>
      </c>
      <c r="I13" s="350">
        <v>4616.8</v>
      </c>
      <c r="J13" s="350">
        <f t="shared" si="1"/>
        <v>206601.48</v>
      </c>
    </row>
    <row r="14" spans="1:10" ht="30" customHeight="1" x14ac:dyDescent="0.25">
      <c r="A14" s="216">
        <v>6000</v>
      </c>
      <c r="B14" s="187" t="s">
        <v>51</v>
      </c>
      <c r="C14" s="350">
        <f>'[15]8. Resumen'!$J$271</f>
        <v>2170806.5900000003</v>
      </c>
      <c r="D14" s="350">
        <v>0</v>
      </c>
      <c r="E14" s="350">
        <f t="shared" si="0"/>
        <v>2170806.5900000003</v>
      </c>
      <c r="F14" s="350">
        <f>G14</f>
        <v>1254045.8500000001</v>
      </c>
      <c r="G14" s="350">
        <f>H14</f>
        <v>1254045.8500000001</v>
      </c>
      <c r="H14" s="350">
        <f>I14</f>
        <v>1254045.8500000001</v>
      </c>
      <c r="I14" s="350">
        <f>[1]Sheet1!$M$566</f>
        <v>1254045.8500000001</v>
      </c>
      <c r="J14" s="350">
        <f t="shared" si="1"/>
        <v>916760.74000000022</v>
      </c>
    </row>
    <row r="15" spans="1:10" ht="30" customHeight="1" x14ac:dyDescent="0.25">
      <c r="A15" s="216">
        <v>7000</v>
      </c>
      <c r="B15" s="187" t="s">
        <v>224</v>
      </c>
      <c r="C15" s="350">
        <f>'[15]8. Resumen'!$J$275</f>
        <v>28659.110000000095</v>
      </c>
      <c r="D15" s="350">
        <v>0</v>
      </c>
      <c r="E15" s="350">
        <f t="shared" si="0"/>
        <v>28659.110000000095</v>
      </c>
      <c r="F15" s="350">
        <f>G15</f>
        <v>23200</v>
      </c>
      <c r="G15" s="350">
        <f>H15</f>
        <v>23200</v>
      </c>
      <c r="H15" s="350">
        <f>I15</f>
        <v>23200</v>
      </c>
      <c r="I15" s="350">
        <f>[1]Sheet1!$M$572</f>
        <v>23200</v>
      </c>
      <c r="J15" s="350">
        <f t="shared" si="1"/>
        <v>5459.1100000000952</v>
      </c>
    </row>
    <row r="16" spans="1:10" ht="30" customHeight="1" x14ac:dyDescent="0.25">
      <c r="A16" s="216">
        <v>8000</v>
      </c>
      <c r="B16" s="187" t="s">
        <v>11</v>
      </c>
      <c r="C16" s="350"/>
      <c r="D16" s="350"/>
      <c r="E16" s="350"/>
      <c r="F16" s="350"/>
      <c r="G16" s="350"/>
      <c r="H16" s="350"/>
      <c r="I16" s="350"/>
      <c r="J16" s="350"/>
    </row>
    <row r="17" spans="1:10" ht="30" customHeight="1" thickBot="1" x14ac:dyDescent="0.3">
      <c r="A17" s="217">
        <v>9000</v>
      </c>
      <c r="B17" s="189" t="s">
        <v>225</v>
      </c>
      <c r="C17" s="352"/>
      <c r="D17" s="352"/>
      <c r="E17" s="352"/>
      <c r="F17" s="352"/>
      <c r="G17" s="352"/>
      <c r="H17" s="352"/>
      <c r="I17" s="352"/>
      <c r="J17" s="352"/>
    </row>
    <row r="18" spans="1:10" ht="30" customHeight="1" thickBot="1" x14ac:dyDescent="0.3">
      <c r="A18" s="211"/>
      <c r="B18" s="212" t="s">
        <v>226</v>
      </c>
      <c r="C18" s="358">
        <f>SUM(C9:C17)</f>
        <v>42039879.429544255</v>
      </c>
      <c r="D18" s="358">
        <f t="shared" ref="D18:J18" si="2">SUM(D9:D17)</f>
        <v>0</v>
      </c>
      <c r="E18" s="358">
        <f t="shared" si="2"/>
        <v>42039879.429544255</v>
      </c>
      <c r="F18" s="358">
        <f t="shared" si="2"/>
        <v>34179321.766044334</v>
      </c>
      <c r="G18" s="358">
        <f t="shared" si="2"/>
        <v>9432271.8400000017</v>
      </c>
      <c r="H18" s="358">
        <f t="shared" si="2"/>
        <v>9432271.8400000017</v>
      </c>
      <c r="I18" s="358">
        <f t="shared" si="2"/>
        <v>9768273.2599999998</v>
      </c>
      <c r="J18" s="358">
        <f t="shared" si="2"/>
        <v>32271606.16954425</v>
      </c>
    </row>
  </sheetData>
  <mergeCells count="8">
    <mergeCell ref="A1:J1"/>
    <mergeCell ref="A6:J6"/>
    <mergeCell ref="A4:J4"/>
    <mergeCell ref="A8:B8"/>
    <mergeCell ref="A2:J2"/>
    <mergeCell ref="A3:J3"/>
    <mergeCell ref="A5:J5"/>
    <mergeCell ref="A7:B7"/>
  </mergeCells>
  <pageMargins left="0.27559055118110237" right="0.27559055118110237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60"/>
  <sheetViews>
    <sheetView tabSelected="1" workbookViewId="0">
      <pane ySplit="8" topLeftCell="A144" activePane="bottomLeft" state="frozen"/>
      <selection pane="bottomLeft" activeCell="H158" sqref="H158"/>
    </sheetView>
  </sheetViews>
  <sheetFormatPr baseColWidth="10" defaultRowHeight="15" x14ac:dyDescent="0.25"/>
  <cols>
    <col min="1" max="1" width="7.140625" style="218" customWidth="1"/>
    <col min="2" max="2" width="41.140625" style="132" customWidth="1"/>
    <col min="3" max="10" width="13.7109375" style="534" customWidth="1"/>
    <col min="11" max="11" width="11.5703125" style="132" bestFit="1" customWidth="1"/>
    <col min="12" max="12" width="10.28515625" style="307" bestFit="1" customWidth="1"/>
    <col min="13" max="14" width="11.5703125" style="307" bestFit="1" customWidth="1"/>
    <col min="15" max="15" width="12.7109375" style="307" bestFit="1" customWidth="1"/>
  </cols>
  <sheetData>
    <row r="1" spans="1:15" s="156" customFormat="1" x14ac:dyDescent="0.25">
      <c r="A1" s="438" t="s">
        <v>245</v>
      </c>
      <c r="B1" s="438"/>
      <c r="C1" s="438"/>
      <c r="D1" s="438"/>
      <c r="E1" s="438"/>
      <c r="F1" s="438"/>
      <c r="G1" s="438"/>
      <c r="H1" s="438"/>
      <c r="I1" s="438"/>
      <c r="J1" s="438"/>
      <c r="K1" s="431"/>
      <c r="L1" s="534"/>
      <c r="M1" s="534"/>
      <c r="N1" s="534"/>
      <c r="O1" s="534"/>
    </row>
    <row r="2" spans="1:15" s="157" customFormat="1" ht="15.75" x14ac:dyDescent="0.25">
      <c r="A2" s="438" t="s">
        <v>381</v>
      </c>
      <c r="B2" s="438"/>
      <c r="C2" s="438"/>
      <c r="D2" s="438"/>
      <c r="E2" s="438"/>
      <c r="F2" s="438"/>
      <c r="G2" s="438"/>
      <c r="H2" s="438"/>
      <c r="I2" s="438"/>
      <c r="J2" s="438"/>
      <c r="K2" s="431"/>
      <c r="L2" s="541"/>
      <c r="M2" s="541"/>
      <c r="N2" s="541"/>
      <c r="O2" s="541"/>
    </row>
    <row r="3" spans="1:15" s="157" customFormat="1" ht="15.75" x14ac:dyDescent="0.25">
      <c r="A3" s="438" t="s">
        <v>209</v>
      </c>
      <c r="B3" s="438"/>
      <c r="C3" s="438"/>
      <c r="D3" s="438"/>
      <c r="E3" s="438"/>
      <c r="F3" s="438"/>
      <c r="G3" s="438"/>
      <c r="H3" s="438"/>
      <c r="I3" s="438"/>
      <c r="J3" s="438"/>
      <c r="K3" s="431"/>
      <c r="L3" s="541"/>
      <c r="M3" s="541"/>
      <c r="N3" s="541"/>
      <c r="O3" s="541"/>
    </row>
    <row r="4" spans="1:15" s="157" customFormat="1" ht="15.75" x14ac:dyDescent="0.25">
      <c r="A4" s="438" t="s">
        <v>247</v>
      </c>
      <c r="B4" s="438"/>
      <c r="C4" s="438"/>
      <c r="D4" s="438"/>
      <c r="E4" s="438"/>
      <c r="F4" s="438"/>
      <c r="G4" s="438"/>
      <c r="H4" s="438"/>
      <c r="I4" s="438"/>
      <c r="J4" s="438"/>
      <c r="K4" s="431"/>
      <c r="L4" s="541"/>
      <c r="M4" s="541"/>
      <c r="N4" s="541"/>
      <c r="O4" s="541"/>
    </row>
    <row r="5" spans="1:15" s="157" customFormat="1" ht="15.75" x14ac:dyDescent="0.25">
      <c r="A5" s="438" t="s">
        <v>568</v>
      </c>
      <c r="B5" s="438"/>
      <c r="C5" s="438"/>
      <c r="D5" s="438"/>
      <c r="E5" s="438"/>
      <c r="F5" s="438"/>
      <c r="G5" s="438"/>
      <c r="H5" s="438"/>
      <c r="I5" s="438"/>
      <c r="J5" s="438"/>
      <c r="K5" s="431"/>
      <c r="L5" s="541"/>
      <c r="M5" s="541"/>
      <c r="N5" s="541"/>
      <c r="O5" s="541"/>
    </row>
    <row r="6" spans="1:15" s="158" customFormat="1" ht="15.75" thickBot="1" x14ac:dyDescent="0.3">
      <c r="A6" s="439" t="s">
        <v>142</v>
      </c>
      <c r="B6" s="439"/>
      <c r="C6" s="439"/>
      <c r="D6" s="439"/>
      <c r="E6" s="439"/>
      <c r="F6" s="439"/>
      <c r="G6" s="439"/>
      <c r="H6" s="439"/>
      <c r="I6" s="439"/>
      <c r="J6" s="439"/>
      <c r="K6" s="523"/>
      <c r="L6" s="542"/>
      <c r="M6" s="542"/>
      <c r="N6" s="542"/>
      <c r="O6" s="542"/>
    </row>
    <row r="7" spans="1:15" ht="25.5" x14ac:dyDescent="0.25">
      <c r="A7" s="463" t="s">
        <v>211</v>
      </c>
      <c r="B7" s="464"/>
      <c r="C7" s="536" t="s">
        <v>212</v>
      </c>
      <c r="D7" s="535" t="s">
        <v>213</v>
      </c>
      <c r="E7" s="530" t="s">
        <v>214</v>
      </c>
      <c r="F7" s="535" t="s">
        <v>215</v>
      </c>
      <c r="G7" s="530" t="s">
        <v>216</v>
      </c>
      <c r="H7" s="530" t="s">
        <v>217</v>
      </c>
      <c r="I7" s="530" t="s">
        <v>218</v>
      </c>
      <c r="J7" s="530" t="s">
        <v>219</v>
      </c>
      <c r="K7" s="181"/>
    </row>
    <row r="8" spans="1:15" ht="15.75" customHeight="1" thickBot="1" x14ac:dyDescent="0.3">
      <c r="A8" s="471" t="s">
        <v>260</v>
      </c>
      <c r="B8" s="472"/>
      <c r="C8" s="537" t="s">
        <v>339</v>
      </c>
      <c r="D8" s="531" t="s">
        <v>340</v>
      </c>
      <c r="E8" s="531" t="s">
        <v>221</v>
      </c>
      <c r="F8" s="531" t="s">
        <v>341</v>
      </c>
      <c r="G8" s="531" t="s">
        <v>342</v>
      </c>
      <c r="H8" s="531" t="s">
        <v>350</v>
      </c>
      <c r="I8" s="531" t="s">
        <v>351</v>
      </c>
      <c r="J8" s="531" t="s">
        <v>352</v>
      </c>
      <c r="K8" s="524"/>
    </row>
    <row r="9" spans="1:15" ht="6" customHeight="1" thickBot="1" x14ac:dyDescent="0.3">
      <c r="A9" s="219"/>
      <c r="B9" s="220"/>
      <c r="C9" s="532"/>
      <c r="D9" s="532"/>
      <c r="E9" s="532"/>
      <c r="F9" s="532"/>
      <c r="G9" s="532"/>
      <c r="H9" s="532"/>
      <c r="I9" s="532"/>
      <c r="J9" s="532"/>
      <c r="K9" s="524"/>
    </row>
    <row r="10" spans="1:15" ht="20.100000000000001" customHeight="1" thickBot="1" x14ac:dyDescent="0.3">
      <c r="A10" s="359">
        <v>1000</v>
      </c>
      <c r="B10" s="360" t="s">
        <v>390</v>
      </c>
      <c r="C10" s="361">
        <v>31123816.306044333</v>
      </c>
      <c r="D10" s="361">
        <v>0</v>
      </c>
      <c r="E10" s="361">
        <v>31123816.306044333</v>
      </c>
      <c r="F10" s="361">
        <v>31123816.306044333</v>
      </c>
      <c r="G10" s="361">
        <f>G11+G18+G21+G29+G42</f>
        <v>13404937.17</v>
      </c>
      <c r="H10" s="361">
        <f t="shared" ref="H10:J10" si="0">H11+H18+H21+H29+H42</f>
        <v>13404937.17</v>
      </c>
      <c r="I10" s="361">
        <f t="shared" si="0"/>
        <v>13404937.17</v>
      </c>
      <c r="J10" s="361">
        <f t="shared" si="0"/>
        <v>0</v>
      </c>
      <c r="K10" s="525"/>
      <c r="M10" s="361">
        <v>6376766.379999999</v>
      </c>
      <c r="N10" s="361">
        <v>6376766.379999999</v>
      </c>
      <c r="O10" s="361">
        <v>24747049.926044334</v>
      </c>
    </row>
    <row r="11" spans="1:15" ht="20.100000000000001" customHeight="1" x14ac:dyDescent="0.25">
      <c r="A11" s="362">
        <v>1100</v>
      </c>
      <c r="B11" s="363" t="s">
        <v>248</v>
      </c>
      <c r="C11" s="364">
        <f t="shared" ref="C11:F11" si="1">C12</f>
        <v>25054940.922379699</v>
      </c>
      <c r="D11" s="364">
        <f t="shared" si="1"/>
        <v>0</v>
      </c>
      <c r="E11" s="364">
        <f t="shared" si="1"/>
        <v>25054940.922379699</v>
      </c>
      <c r="F11" s="364">
        <f t="shared" si="1"/>
        <v>25054940.922379699</v>
      </c>
      <c r="G11" s="364">
        <f>G12</f>
        <v>10916335.930000002</v>
      </c>
      <c r="H11" s="364">
        <f>H12</f>
        <v>10916335.930000002</v>
      </c>
      <c r="I11" s="364">
        <f>I12</f>
        <v>10916335.930000002</v>
      </c>
      <c r="J11" s="364">
        <f>J12</f>
        <v>0</v>
      </c>
      <c r="K11" s="526"/>
    </row>
    <row r="12" spans="1:15" ht="20.100000000000001" customHeight="1" x14ac:dyDescent="0.25">
      <c r="A12" s="362">
        <v>113</v>
      </c>
      <c r="B12" s="366" t="s">
        <v>249</v>
      </c>
      <c r="C12" s="364">
        <f t="shared" ref="C12:F12" si="2">SUM(C13:C17)</f>
        <v>25054940.922379699</v>
      </c>
      <c r="D12" s="364">
        <f t="shared" si="2"/>
        <v>0</v>
      </c>
      <c r="E12" s="364">
        <f t="shared" si="2"/>
        <v>25054940.922379699</v>
      </c>
      <c r="F12" s="364">
        <f t="shared" si="2"/>
        <v>25054940.922379699</v>
      </c>
      <c r="G12" s="364">
        <f>SUM(G13:G17)</f>
        <v>10916335.930000002</v>
      </c>
      <c r="H12" s="364">
        <f>SUM(H13:H17)</f>
        <v>10916335.930000002</v>
      </c>
      <c r="I12" s="364">
        <f>SUM(I13:I17)</f>
        <v>10916335.930000002</v>
      </c>
      <c r="J12" s="364">
        <f>SUM(J13:J17)</f>
        <v>0</v>
      </c>
      <c r="K12" s="526"/>
    </row>
    <row r="13" spans="1:15" ht="20.100000000000001" customHeight="1" x14ac:dyDescent="0.25">
      <c r="A13" s="367">
        <v>11301</v>
      </c>
      <c r="B13" s="368" t="s">
        <v>250</v>
      </c>
      <c r="C13" s="369">
        <v>6925589.7439999972</v>
      </c>
      <c r="D13" s="370">
        <v>0</v>
      </c>
      <c r="E13" s="369">
        <v>6925589.7439999972</v>
      </c>
      <c r="F13" s="369">
        <v>6925589.7439999972</v>
      </c>
      <c r="G13" s="369">
        <f>H13</f>
        <v>3454056.24</v>
      </c>
      <c r="H13" s="538">
        <f>I13</f>
        <v>3454056.24</v>
      </c>
      <c r="I13" s="538">
        <f>[1]Sheet1!$M$401</f>
        <v>3454056.24</v>
      </c>
      <c r="J13" s="539"/>
      <c r="K13" s="371"/>
      <c r="L13" s="369">
        <v>1731397.4359999993</v>
      </c>
      <c r="M13" s="538">
        <v>1727398.03</v>
      </c>
      <c r="N13" s="538">
        <v>1727398.03</v>
      </c>
      <c r="O13" s="539">
        <v>5198191.7139999969</v>
      </c>
    </row>
    <row r="14" spans="1:15" ht="20.100000000000001" customHeight="1" x14ac:dyDescent="0.25">
      <c r="A14" s="372">
        <v>11306</v>
      </c>
      <c r="B14" s="373" t="s">
        <v>251</v>
      </c>
      <c r="C14" s="369">
        <v>10404884.815857701</v>
      </c>
      <c r="D14" s="370">
        <v>0</v>
      </c>
      <c r="E14" s="369">
        <v>10404884.815857701</v>
      </c>
      <c r="F14" s="369">
        <v>10404884.815857701</v>
      </c>
      <c r="G14" s="369">
        <f t="shared" ref="G14:H14" si="3">H14</f>
        <v>3712823.92</v>
      </c>
      <c r="H14" s="538">
        <f t="shared" si="3"/>
        <v>3712823.92</v>
      </c>
      <c r="I14" s="538">
        <f>[1]Sheet1!$M$402</f>
        <v>3712823.92</v>
      </c>
      <c r="J14" s="539"/>
      <c r="K14" s="371"/>
      <c r="L14" s="369">
        <v>2601221.2039644253</v>
      </c>
      <c r="M14" s="538">
        <v>1548513</v>
      </c>
      <c r="N14" s="538">
        <v>1548513</v>
      </c>
      <c r="O14" s="539">
        <v>8856371.815857701</v>
      </c>
    </row>
    <row r="15" spans="1:15" ht="20.100000000000001" customHeight="1" x14ac:dyDescent="0.25">
      <c r="A15" s="372">
        <v>11307</v>
      </c>
      <c r="B15" s="373" t="s">
        <v>252</v>
      </c>
      <c r="C15" s="369">
        <v>4356406.6035132017</v>
      </c>
      <c r="D15" s="370">
        <v>0</v>
      </c>
      <c r="E15" s="369">
        <v>4356406.6035132017</v>
      </c>
      <c r="F15" s="369">
        <v>4356406.6035132017</v>
      </c>
      <c r="G15" s="369">
        <f t="shared" ref="G15:H15" si="4">H15</f>
        <v>2168465.64</v>
      </c>
      <c r="H15" s="538">
        <f t="shared" si="4"/>
        <v>2168465.64</v>
      </c>
      <c r="I15" s="538">
        <f>[1]Sheet1!$M$403</f>
        <v>2168465.64</v>
      </c>
      <c r="J15" s="539"/>
      <c r="K15" s="371"/>
      <c r="L15" s="369">
        <v>1089101.6508783004</v>
      </c>
      <c r="M15" s="538">
        <v>1083958.48</v>
      </c>
      <c r="N15" s="538">
        <v>1083958.48</v>
      </c>
      <c r="O15" s="539">
        <v>3272448.1235132017</v>
      </c>
    </row>
    <row r="16" spans="1:15" ht="20.100000000000001" customHeight="1" x14ac:dyDescent="0.25">
      <c r="A16" s="372">
        <v>11309</v>
      </c>
      <c r="B16" s="373" t="s">
        <v>253</v>
      </c>
      <c r="C16" s="369">
        <v>463788.69</v>
      </c>
      <c r="D16" s="370">
        <v>0</v>
      </c>
      <c r="E16" s="369">
        <v>463788.69</v>
      </c>
      <c r="F16" s="369">
        <v>463788.69</v>
      </c>
      <c r="G16" s="369">
        <f t="shared" ref="G16:H16" si="5">H16</f>
        <v>135345.23000000001</v>
      </c>
      <c r="H16" s="538">
        <f t="shared" si="5"/>
        <v>135345.23000000001</v>
      </c>
      <c r="I16" s="538">
        <f>[1]Sheet1!$M$404</f>
        <v>135345.23000000001</v>
      </c>
      <c r="J16" s="539"/>
      <c r="K16" s="371"/>
      <c r="L16" s="369">
        <v>115947.17250000002</v>
      </c>
      <c r="M16" s="538">
        <v>70115.72</v>
      </c>
      <c r="N16" s="538">
        <v>70115.72</v>
      </c>
      <c r="O16" s="539">
        <v>393672.97</v>
      </c>
    </row>
    <row r="17" spans="1:15" ht="20.100000000000001" customHeight="1" x14ac:dyDescent="0.25">
      <c r="A17" s="372">
        <v>11310</v>
      </c>
      <c r="B17" s="373" t="s">
        <v>391</v>
      </c>
      <c r="C17" s="369">
        <v>2904271.0690087983</v>
      </c>
      <c r="D17" s="370">
        <v>0</v>
      </c>
      <c r="E17" s="369">
        <v>2904271.0690087983</v>
      </c>
      <c r="F17" s="369">
        <v>2904271.0690087983</v>
      </c>
      <c r="G17" s="369">
        <f t="shared" ref="G17:H17" si="6">H17</f>
        <v>1445644.9</v>
      </c>
      <c r="H17" s="538">
        <f t="shared" si="6"/>
        <v>1445644.9</v>
      </c>
      <c r="I17" s="538">
        <f>[1]Sheet1!$M$405</f>
        <v>1445644.9</v>
      </c>
      <c r="J17" s="539"/>
      <c r="K17" s="371"/>
      <c r="L17" s="369">
        <v>726067.76725219958</v>
      </c>
      <c r="M17" s="538">
        <v>722639.54</v>
      </c>
      <c r="N17" s="538">
        <v>722639.54</v>
      </c>
      <c r="O17" s="539">
        <v>2181631.5290087983</v>
      </c>
    </row>
    <row r="18" spans="1:15" ht="20.100000000000001" customHeight="1" x14ac:dyDescent="0.25">
      <c r="A18" s="362">
        <v>1200</v>
      </c>
      <c r="B18" s="363" t="s">
        <v>254</v>
      </c>
      <c r="C18" s="364">
        <f t="shared" ref="C18:F18" si="7">C19</f>
        <v>682920</v>
      </c>
      <c r="D18" s="364">
        <f t="shared" si="7"/>
        <v>0</v>
      </c>
      <c r="E18" s="364">
        <f t="shared" si="7"/>
        <v>682920</v>
      </c>
      <c r="F18" s="364">
        <f t="shared" si="7"/>
        <v>682920</v>
      </c>
      <c r="G18" s="364">
        <f>G19</f>
        <v>371513.34</v>
      </c>
      <c r="H18" s="364">
        <f>H19</f>
        <v>371513.34</v>
      </c>
      <c r="I18" s="364">
        <f t="shared" ref="I18:J18" si="8">I19</f>
        <v>371513.34</v>
      </c>
      <c r="J18" s="364">
        <f t="shared" si="8"/>
        <v>0</v>
      </c>
      <c r="K18" s="526"/>
    </row>
    <row r="19" spans="1:15" ht="20.100000000000001" customHeight="1" x14ac:dyDescent="0.25">
      <c r="A19" s="362">
        <v>121</v>
      </c>
      <c r="B19" s="366" t="s">
        <v>392</v>
      </c>
      <c r="C19" s="364">
        <f t="shared" ref="C19:F19" si="9">SUM(C20)</f>
        <v>682920</v>
      </c>
      <c r="D19" s="364">
        <f t="shared" si="9"/>
        <v>0</v>
      </c>
      <c r="E19" s="364">
        <f t="shared" si="9"/>
        <v>682920</v>
      </c>
      <c r="F19" s="364">
        <f t="shared" si="9"/>
        <v>682920</v>
      </c>
      <c r="G19" s="364">
        <f>SUM(G20)</f>
        <v>371513.34</v>
      </c>
      <c r="H19" s="364">
        <f>SUM(H20)</f>
        <v>371513.34</v>
      </c>
      <c r="I19" s="364">
        <f t="shared" ref="I19:J19" si="10">SUM(I20)</f>
        <v>371513.34</v>
      </c>
      <c r="J19" s="364">
        <f t="shared" si="10"/>
        <v>0</v>
      </c>
      <c r="K19" s="526"/>
    </row>
    <row r="20" spans="1:15" ht="20.100000000000001" customHeight="1" x14ac:dyDescent="0.25">
      <c r="A20" s="374">
        <v>12101</v>
      </c>
      <c r="B20" s="368" t="s">
        <v>255</v>
      </c>
      <c r="C20" s="369">
        <v>682920</v>
      </c>
      <c r="D20" s="370">
        <v>0</v>
      </c>
      <c r="E20" s="369">
        <v>682920</v>
      </c>
      <c r="F20" s="369">
        <v>682920</v>
      </c>
      <c r="G20" s="369">
        <f t="shared" ref="G20:H20" si="11">H20</f>
        <v>371513.34</v>
      </c>
      <c r="H20" s="538">
        <f t="shared" si="11"/>
        <v>371513.34</v>
      </c>
      <c r="I20" s="538">
        <f>[1]Sheet1!$M$408</f>
        <v>371513.34</v>
      </c>
      <c r="J20" s="539"/>
      <c r="K20" s="371"/>
      <c r="L20" s="369">
        <v>170730</v>
      </c>
      <c r="M20" s="538">
        <v>195253.34</v>
      </c>
      <c r="N20" s="538">
        <v>195253.34</v>
      </c>
      <c r="O20" s="539">
        <v>487666.66000000003</v>
      </c>
    </row>
    <row r="21" spans="1:15" ht="20.100000000000001" customHeight="1" x14ac:dyDescent="0.25">
      <c r="A21" s="362">
        <v>1300</v>
      </c>
      <c r="B21" s="363" t="s">
        <v>256</v>
      </c>
      <c r="C21" s="364">
        <f t="shared" ref="C21:F21" si="12">C22+C24</f>
        <v>799693.12866463349</v>
      </c>
      <c r="D21" s="364">
        <f t="shared" si="12"/>
        <v>0</v>
      </c>
      <c r="E21" s="364">
        <f t="shared" si="12"/>
        <v>799693.12866463349</v>
      </c>
      <c r="F21" s="364">
        <f t="shared" si="12"/>
        <v>799693.12866463349</v>
      </c>
      <c r="G21" s="364">
        <f>G22+G24</f>
        <v>228390.43</v>
      </c>
      <c r="H21" s="364">
        <f t="shared" ref="H21:J21" si="13">H22+H24</f>
        <v>228390.43</v>
      </c>
      <c r="I21" s="364">
        <f t="shared" si="13"/>
        <v>228390.43</v>
      </c>
      <c r="J21" s="364">
        <f t="shared" si="13"/>
        <v>0</v>
      </c>
      <c r="K21" s="526"/>
    </row>
    <row r="22" spans="1:15" ht="20.100000000000001" customHeight="1" x14ac:dyDescent="0.25">
      <c r="A22" s="362">
        <v>131</v>
      </c>
      <c r="B22" s="366" t="s">
        <v>257</v>
      </c>
      <c r="C22" s="364">
        <f t="shared" ref="C22:F22" si="14">SUM(C23)</f>
        <v>335087.92</v>
      </c>
      <c r="D22" s="364">
        <f t="shared" si="14"/>
        <v>0</v>
      </c>
      <c r="E22" s="364">
        <f t="shared" si="14"/>
        <v>335087.92</v>
      </c>
      <c r="F22" s="364">
        <f t="shared" si="14"/>
        <v>335087.92</v>
      </c>
      <c r="G22" s="364">
        <f>SUM(G23)</f>
        <v>160055.49</v>
      </c>
      <c r="H22" s="364">
        <f>SUM(H23)</f>
        <v>160055.49</v>
      </c>
      <c r="I22" s="364">
        <f t="shared" ref="I22" si="15">SUM(I23)</f>
        <v>160055.49</v>
      </c>
      <c r="J22" s="364">
        <f t="shared" ref="J22" si="16">SUM(J23)</f>
        <v>0</v>
      </c>
      <c r="K22" s="526"/>
    </row>
    <row r="23" spans="1:15" ht="20.100000000000001" customHeight="1" x14ac:dyDescent="0.25">
      <c r="A23" s="374">
        <v>13101</v>
      </c>
      <c r="B23" s="375" t="s">
        <v>258</v>
      </c>
      <c r="C23" s="369">
        <v>335087.92</v>
      </c>
      <c r="D23" s="370">
        <v>0</v>
      </c>
      <c r="E23" s="369">
        <v>335087.92</v>
      </c>
      <c r="F23" s="369">
        <v>335087.92</v>
      </c>
      <c r="G23" s="369">
        <f t="shared" ref="G23:H23" si="17">H23</f>
        <v>160055.49</v>
      </c>
      <c r="H23" s="538">
        <f t="shared" si="17"/>
        <v>160055.49</v>
      </c>
      <c r="I23" s="538">
        <f>[1]Sheet1!$M$411</f>
        <v>160055.49</v>
      </c>
      <c r="J23" s="539"/>
      <c r="K23" s="371"/>
      <c r="L23" s="369">
        <v>83771.98</v>
      </c>
      <c r="M23" s="538">
        <v>79200.63</v>
      </c>
      <c r="N23" s="538">
        <v>79200.63</v>
      </c>
      <c r="O23" s="539">
        <v>255887.28999999998</v>
      </c>
    </row>
    <row r="24" spans="1:15" ht="30" x14ac:dyDescent="0.25">
      <c r="A24" s="362">
        <v>132</v>
      </c>
      <c r="B24" s="368" t="s">
        <v>259</v>
      </c>
      <c r="C24" s="364">
        <f t="shared" ref="C24:F24" si="18">SUM(C25:C28)</f>
        <v>464605.20866463351</v>
      </c>
      <c r="D24" s="364">
        <f t="shared" si="18"/>
        <v>0</v>
      </c>
      <c r="E24" s="364">
        <f t="shared" si="18"/>
        <v>464605.20866463351</v>
      </c>
      <c r="F24" s="364">
        <f>SUM(F25:F28)</f>
        <v>464605.20866463351</v>
      </c>
      <c r="G24" s="364">
        <f>SUM(G25:G28)</f>
        <v>68334.94</v>
      </c>
      <c r="H24" s="364">
        <f t="shared" ref="H24:J24" si="19">SUM(H25:H28)</f>
        <v>68334.94</v>
      </c>
      <c r="I24" s="364">
        <f t="shared" si="19"/>
        <v>68334.94</v>
      </c>
      <c r="J24" s="364">
        <f t="shared" si="19"/>
        <v>0</v>
      </c>
      <c r="K24" s="526"/>
    </row>
    <row r="25" spans="1:15" ht="20.100000000000001" customHeight="1" x14ac:dyDescent="0.25">
      <c r="A25" s="374">
        <v>13201</v>
      </c>
      <c r="B25" s="375" t="s">
        <v>393</v>
      </c>
      <c r="C25" s="369">
        <v>138610.15187280002</v>
      </c>
      <c r="D25" s="370">
        <v>0</v>
      </c>
      <c r="E25" s="369">
        <v>138610.15187280002</v>
      </c>
      <c r="F25" s="369">
        <v>138610.15187280002</v>
      </c>
      <c r="G25" s="369">
        <f t="shared" ref="G25:H25" si="20">H25</f>
        <v>68334.94</v>
      </c>
      <c r="H25" s="538">
        <f t="shared" si="20"/>
        <v>68334.94</v>
      </c>
      <c r="I25" s="538">
        <f>[1]Sheet1!$M$413</f>
        <v>68334.94</v>
      </c>
      <c r="J25" s="539"/>
      <c r="K25" s="371"/>
      <c r="L25" s="369">
        <v>34652.537968200006</v>
      </c>
      <c r="M25" s="538">
        <v>0</v>
      </c>
      <c r="N25" s="538">
        <v>0</v>
      </c>
      <c r="O25" s="539">
        <v>138610.15187280002</v>
      </c>
    </row>
    <row r="26" spans="1:15" ht="20.100000000000001" customHeight="1" x14ac:dyDescent="0.25">
      <c r="A26" s="374">
        <v>13202</v>
      </c>
      <c r="B26" s="375" t="s">
        <v>394</v>
      </c>
      <c r="C26" s="369">
        <v>239363.71312133348</v>
      </c>
      <c r="D26" s="370">
        <v>0</v>
      </c>
      <c r="E26" s="369">
        <v>239363.71312133348</v>
      </c>
      <c r="F26" s="369">
        <v>239363.71312133348</v>
      </c>
      <c r="G26" s="369">
        <f t="shared" ref="G26:H26" si="21">H26</f>
        <v>0</v>
      </c>
      <c r="H26" s="538">
        <f t="shared" si="21"/>
        <v>0</v>
      </c>
      <c r="I26" s="538"/>
      <c r="J26" s="539"/>
      <c r="K26" s="371"/>
      <c r="L26" s="369">
        <v>59840.92828033337</v>
      </c>
      <c r="M26" s="538">
        <v>0</v>
      </c>
      <c r="N26" s="538">
        <v>0</v>
      </c>
      <c r="O26" s="539">
        <v>239363.71312133348</v>
      </c>
    </row>
    <row r="27" spans="1:15" ht="20.100000000000001" customHeight="1" x14ac:dyDescent="0.25">
      <c r="A27" s="374">
        <v>13203</v>
      </c>
      <c r="B27" s="375" t="s">
        <v>395</v>
      </c>
      <c r="C27" s="369">
        <v>28877.117890166679</v>
      </c>
      <c r="D27" s="370">
        <v>0</v>
      </c>
      <c r="E27" s="369">
        <v>28877.117890166679</v>
      </c>
      <c r="F27" s="369">
        <v>28877.117890166679</v>
      </c>
      <c r="G27" s="369">
        <f t="shared" ref="G27:H27" si="22">H27</f>
        <v>0</v>
      </c>
      <c r="H27" s="538">
        <f t="shared" si="22"/>
        <v>0</v>
      </c>
      <c r="I27" s="538"/>
      <c r="J27" s="539"/>
      <c r="K27" s="371"/>
      <c r="L27" s="369">
        <v>7219.2794725416697</v>
      </c>
      <c r="M27" s="538">
        <v>0</v>
      </c>
      <c r="N27" s="538">
        <v>0</v>
      </c>
      <c r="O27" s="539">
        <v>28877.117890166679</v>
      </c>
    </row>
    <row r="28" spans="1:15" ht="20.100000000000001" customHeight="1" x14ac:dyDescent="0.25">
      <c r="A28" s="374">
        <v>13204</v>
      </c>
      <c r="B28" s="375" t="s">
        <v>396</v>
      </c>
      <c r="C28" s="369">
        <v>57754.225780333356</v>
      </c>
      <c r="D28" s="370">
        <v>0</v>
      </c>
      <c r="E28" s="369">
        <v>57754.225780333356</v>
      </c>
      <c r="F28" s="369">
        <v>57754.225780333356</v>
      </c>
      <c r="G28" s="369">
        <f t="shared" ref="G28:H28" si="23">H28</f>
        <v>0</v>
      </c>
      <c r="H28" s="538">
        <f t="shared" si="23"/>
        <v>0</v>
      </c>
      <c r="I28" s="538"/>
      <c r="J28" s="539"/>
      <c r="K28" s="371"/>
      <c r="L28" s="369">
        <v>14438.556445083339</v>
      </c>
      <c r="M28" s="538">
        <v>0</v>
      </c>
      <c r="N28" s="538">
        <v>0</v>
      </c>
      <c r="O28" s="539">
        <v>57754.225780333356</v>
      </c>
    </row>
    <row r="29" spans="1:15" ht="20.100000000000001" customHeight="1" x14ac:dyDescent="0.25">
      <c r="A29" s="362">
        <v>1400</v>
      </c>
      <c r="B29" s="363" t="s">
        <v>397</v>
      </c>
      <c r="C29" s="364">
        <f t="shared" ref="C29:F29" si="24">C30+C38+C40</f>
        <v>4208216.2550000008</v>
      </c>
      <c r="D29" s="364">
        <f t="shared" si="24"/>
        <v>0</v>
      </c>
      <c r="E29" s="364">
        <f t="shared" si="24"/>
        <v>4208216.2550000008</v>
      </c>
      <c r="F29" s="364">
        <f t="shared" si="24"/>
        <v>4208216.2550000008</v>
      </c>
      <c r="G29" s="364">
        <f>G30+G38+G40</f>
        <v>1766825.1800000002</v>
      </c>
      <c r="H29" s="364">
        <f t="shared" ref="H29:J29" si="25">H30+H38+H40</f>
        <v>1766825.1800000002</v>
      </c>
      <c r="I29" s="364">
        <f t="shared" si="25"/>
        <v>1766825.1800000002</v>
      </c>
      <c r="J29" s="364">
        <f t="shared" si="25"/>
        <v>0</v>
      </c>
      <c r="K29" s="526"/>
    </row>
    <row r="30" spans="1:15" ht="20.100000000000001" customHeight="1" x14ac:dyDescent="0.25">
      <c r="A30" s="362">
        <v>141</v>
      </c>
      <c r="B30" s="366" t="s">
        <v>398</v>
      </c>
      <c r="C30" s="364">
        <f t="shared" ref="C30:F30" si="26">SUM(C31:C37)</f>
        <v>1732753.9039128537</v>
      </c>
      <c r="D30" s="364">
        <f t="shared" si="26"/>
        <v>0</v>
      </c>
      <c r="E30" s="364">
        <f t="shared" si="26"/>
        <v>1732753.9039128537</v>
      </c>
      <c r="F30" s="364">
        <f t="shared" si="26"/>
        <v>1732753.9039128537</v>
      </c>
      <c r="G30" s="364">
        <f>SUM(G31:G37)</f>
        <v>837803.51</v>
      </c>
      <c r="H30" s="364">
        <f t="shared" ref="H30:J30" si="27">SUM(H31:H37)</f>
        <v>837803.51</v>
      </c>
      <c r="I30" s="364">
        <f t="shared" si="27"/>
        <v>837803.51</v>
      </c>
      <c r="J30" s="364">
        <f t="shared" si="27"/>
        <v>0</v>
      </c>
      <c r="K30" s="526"/>
    </row>
    <row r="31" spans="1:15" ht="20.100000000000001" customHeight="1" x14ac:dyDescent="0.25">
      <c r="A31" s="374">
        <v>14101</v>
      </c>
      <c r="B31" s="375" t="s">
        <v>399</v>
      </c>
      <c r="C31" s="369">
        <v>1154526.2642085911</v>
      </c>
      <c r="D31" s="370">
        <v>0</v>
      </c>
      <c r="E31" s="369">
        <v>1154526.2642085911</v>
      </c>
      <c r="F31" s="369">
        <v>1154526.2642085911</v>
      </c>
      <c r="G31" s="369">
        <f t="shared" ref="G31:H31" si="28">H31</f>
        <v>555100.27</v>
      </c>
      <c r="H31" s="538">
        <f t="shared" si="28"/>
        <v>555100.27</v>
      </c>
      <c r="I31" s="538">
        <f>[1]Sheet1!$M$416</f>
        <v>555100.27</v>
      </c>
      <c r="J31" s="540"/>
      <c r="K31" s="527"/>
    </row>
    <row r="32" spans="1:15" s="132" customFormat="1" ht="30" customHeight="1" x14ac:dyDescent="0.25">
      <c r="A32" s="374">
        <v>14102</v>
      </c>
      <c r="B32" s="375" t="s">
        <v>400</v>
      </c>
      <c r="C32" s="369">
        <v>110.5047186548062</v>
      </c>
      <c r="D32" s="370">
        <v>0</v>
      </c>
      <c r="E32" s="369">
        <v>110.5047186548062</v>
      </c>
      <c r="F32" s="369">
        <v>110.5047186548062</v>
      </c>
      <c r="G32" s="369">
        <f t="shared" ref="G32:H32" si="29">H32</f>
        <v>89</v>
      </c>
      <c r="H32" s="538">
        <f t="shared" si="29"/>
        <v>89</v>
      </c>
      <c r="I32" s="538">
        <f>[1]Sheet1!$M$417</f>
        <v>89</v>
      </c>
      <c r="J32" s="540"/>
      <c r="K32" s="527"/>
      <c r="L32" s="534"/>
      <c r="M32" s="534"/>
      <c r="N32" s="534"/>
      <c r="O32" s="534"/>
    </row>
    <row r="33" spans="1:15" x14ac:dyDescent="0.25">
      <c r="A33" s="374">
        <v>14103</v>
      </c>
      <c r="B33" s="375" t="s">
        <v>401</v>
      </c>
      <c r="C33" s="369">
        <v>3246.7151502280426</v>
      </c>
      <c r="D33" s="370">
        <v>0</v>
      </c>
      <c r="E33" s="369">
        <v>3246.7151502280426</v>
      </c>
      <c r="F33" s="369">
        <v>3246.7151502280426</v>
      </c>
      <c r="G33" s="369">
        <f t="shared" ref="G33:H33" si="30">H33</f>
        <v>1369.83</v>
      </c>
      <c r="H33" s="538">
        <f t="shared" si="30"/>
        <v>1369.83</v>
      </c>
      <c r="I33" s="538">
        <f>[1]Sheet1!$M$418</f>
        <v>1369.83</v>
      </c>
      <c r="J33" s="540"/>
      <c r="K33" s="527"/>
    </row>
    <row r="34" spans="1:15" x14ac:dyDescent="0.25">
      <c r="A34" s="374">
        <v>14104</v>
      </c>
      <c r="B34" s="375" t="s">
        <v>402</v>
      </c>
      <c r="C34" s="369">
        <v>58660.250132224275</v>
      </c>
      <c r="D34" s="370">
        <v>0</v>
      </c>
      <c r="E34" s="369">
        <v>58660.250132224275</v>
      </c>
      <c r="F34" s="369">
        <v>58660.250132224275</v>
      </c>
      <c r="G34" s="369">
        <f t="shared" ref="G34:H34" si="31">H34</f>
        <v>27164.400000000001</v>
      </c>
      <c r="H34" s="538">
        <f t="shared" si="31"/>
        <v>27164.400000000001</v>
      </c>
      <c r="I34" s="538">
        <f>[1]Sheet1!$M$419</f>
        <v>27164.400000000001</v>
      </c>
      <c r="J34" s="540"/>
      <c r="K34" s="527"/>
    </row>
    <row r="35" spans="1:15" x14ac:dyDescent="0.25">
      <c r="A35" s="374">
        <v>14105</v>
      </c>
      <c r="B35" s="375" t="s">
        <v>403</v>
      </c>
      <c r="C35" s="369">
        <v>58660.250132224275</v>
      </c>
      <c r="D35" s="370">
        <v>0</v>
      </c>
      <c r="E35" s="369">
        <v>58660.250132224275</v>
      </c>
      <c r="F35" s="369">
        <v>58660.250132224275</v>
      </c>
      <c r="G35" s="369">
        <f t="shared" ref="G35:H35" si="32">H35</f>
        <v>27164.400000000001</v>
      </c>
      <c r="H35" s="538">
        <f t="shared" si="32"/>
        <v>27164.400000000001</v>
      </c>
      <c r="I35" s="538">
        <f>[1]Sheet1!$M$420</f>
        <v>27164.400000000001</v>
      </c>
      <c r="J35" s="540"/>
      <c r="K35" s="527"/>
    </row>
    <row r="36" spans="1:15" x14ac:dyDescent="0.25">
      <c r="A36" s="374">
        <v>14106</v>
      </c>
      <c r="B36" s="375" t="s">
        <v>404</v>
      </c>
      <c r="C36" s="369">
        <v>46928.198139503293</v>
      </c>
      <c r="D36" s="370">
        <v>0</v>
      </c>
      <c r="E36" s="369">
        <v>46928.198139503293</v>
      </c>
      <c r="F36" s="369">
        <v>46928.198139503293</v>
      </c>
      <c r="G36" s="369">
        <f t="shared" ref="G36:H36" si="33">H36</f>
        <v>23273.45</v>
      </c>
      <c r="H36" s="538">
        <f t="shared" si="33"/>
        <v>23273.45</v>
      </c>
      <c r="I36" s="538">
        <f>[1]Sheet1!$M$421</f>
        <v>23273.45</v>
      </c>
      <c r="J36" s="540"/>
      <c r="K36" s="527"/>
    </row>
    <row r="37" spans="1:15" ht="30" x14ac:dyDescent="0.25">
      <c r="A37" s="374">
        <v>14107</v>
      </c>
      <c r="B37" s="375" t="s">
        <v>405</v>
      </c>
      <c r="C37" s="369">
        <v>410621.72143142793</v>
      </c>
      <c r="D37" s="370">
        <v>0</v>
      </c>
      <c r="E37" s="369">
        <v>410621.72143142793</v>
      </c>
      <c r="F37" s="369">
        <v>410621.72143142793</v>
      </c>
      <c r="G37" s="369">
        <f t="shared" ref="G37:H37" si="34">H37</f>
        <v>203642.16</v>
      </c>
      <c r="H37" s="538">
        <f t="shared" si="34"/>
        <v>203642.16</v>
      </c>
      <c r="I37" s="538">
        <f>[1]Sheet1!$M$422</f>
        <v>203642.16</v>
      </c>
      <c r="J37" s="540"/>
      <c r="K37" s="527"/>
    </row>
    <row r="38" spans="1:15" x14ac:dyDescent="0.25">
      <c r="A38" s="362">
        <v>142</v>
      </c>
      <c r="B38" s="366" t="s">
        <v>406</v>
      </c>
      <c r="C38" s="364">
        <f t="shared" ref="C38:F38" si="35">SUM(C39)</f>
        <v>469281.96173227159</v>
      </c>
      <c r="D38" s="364">
        <f t="shared" si="35"/>
        <v>0</v>
      </c>
      <c r="E38" s="364">
        <f t="shared" si="35"/>
        <v>469281.96173227159</v>
      </c>
      <c r="F38" s="364">
        <f t="shared" si="35"/>
        <v>469281.96173227159</v>
      </c>
      <c r="G38" s="364">
        <f>SUM(G39)</f>
        <v>0</v>
      </c>
      <c r="H38" s="364">
        <f t="shared" ref="H38:J38" si="36">SUM(H39)</f>
        <v>0</v>
      </c>
      <c r="I38" s="364">
        <f t="shared" si="36"/>
        <v>0</v>
      </c>
      <c r="J38" s="364">
        <f t="shared" si="36"/>
        <v>0</v>
      </c>
      <c r="K38" s="526"/>
    </row>
    <row r="39" spans="1:15" x14ac:dyDescent="0.25">
      <c r="A39" s="374">
        <v>14201</v>
      </c>
      <c r="B39" s="375" t="s">
        <v>407</v>
      </c>
      <c r="C39" s="369">
        <v>469281.96173227159</v>
      </c>
      <c r="D39" s="370">
        <v>0</v>
      </c>
      <c r="E39" s="369">
        <v>469281.96173227159</v>
      </c>
      <c r="F39" s="369">
        <v>469281.96173227159</v>
      </c>
      <c r="G39" s="369">
        <f t="shared" ref="G39:H41" si="37">H39</f>
        <v>0</v>
      </c>
      <c r="H39" s="538">
        <f t="shared" si="37"/>
        <v>0</v>
      </c>
      <c r="I39" s="538"/>
      <c r="J39" s="540"/>
      <c r="K39" s="376"/>
      <c r="L39" s="369">
        <v>117320.4904330679</v>
      </c>
      <c r="M39" s="538">
        <v>0</v>
      </c>
      <c r="N39" s="538">
        <v>0</v>
      </c>
      <c r="O39" s="540">
        <v>469281.96173227159</v>
      </c>
    </row>
    <row r="40" spans="1:15" x14ac:dyDescent="0.25">
      <c r="A40" s="362">
        <v>143</v>
      </c>
      <c r="B40" s="366" t="s">
        <v>406</v>
      </c>
      <c r="C40" s="364">
        <f t="shared" ref="C40:F40" si="38">SUM(C41)</f>
        <v>2006180.3893548751</v>
      </c>
      <c r="D40" s="364">
        <f t="shared" si="38"/>
        <v>0</v>
      </c>
      <c r="E40" s="364">
        <f t="shared" si="38"/>
        <v>2006180.3893548751</v>
      </c>
      <c r="F40" s="364">
        <f t="shared" si="38"/>
        <v>2006180.3893548751</v>
      </c>
      <c r="G40" s="364">
        <f>SUM(G41)</f>
        <v>929021.67</v>
      </c>
      <c r="H40" s="364">
        <f t="shared" ref="H40:J40" si="39">SUM(H41)</f>
        <v>929021.67</v>
      </c>
      <c r="I40" s="364">
        <f t="shared" si="39"/>
        <v>929021.67</v>
      </c>
      <c r="J40" s="364">
        <f t="shared" si="39"/>
        <v>0</v>
      </c>
      <c r="K40" s="526"/>
    </row>
    <row r="41" spans="1:15" x14ac:dyDescent="0.25">
      <c r="A41" s="374">
        <v>14301</v>
      </c>
      <c r="B41" s="375" t="s">
        <v>408</v>
      </c>
      <c r="C41" s="369">
        <v>2006180.3893548751</v>
      </c>
      <c r="D41" s="370">
        <v>0</v>
      </c>
      <c r="E41" s="369">
        <v>2006180.3893548751</v>
      </c>
      <c r="F41" s="369">
        <v>2006180.3893548751</v>
      </c>
      <c r="G41" s="369">
        <f t="shared" si="37"/>
        <v>929021.67</v>
      </c>
      <c r="H41" s="538">
        <f t="shared" si="37"/>
        <v>929021.67</v>
      </c>
      <c r="I41" s="538">
        <f>[1]Sheet1!$M$424</f>
        <v>929021.67</v>
      </c>
      <c r="J41" s="540"/>
      <c r="K41" s="376"/>
      <c r="L41" s="369">
        <v>501545.09733871883</v>
      </c>
      <c r="M41" s="538">
        <v>464236.34</v>
      </c>
      <c r="N41" s="538">
        <v>464236.34</v>
      </c>
      <c r="O41" s="540">
        <v>1541944.049354875</v>
      </c>
    </row>
    <row r="42" spans="1:15" x14ac:dyDescent="0.25">
      <c r="A42" s="362">
        <v>1500</v>
      </c>
      <c r="B42" s="363" t="s">
        <v>409</v>
      </c>
      <c r="C42" s="364">
        <f t="shared" ref="C42:F42" si="40">C43+C46</f>
        <v>378046</v>
      </c>
      <c r="D42" s="364">
        <f t="shared" si="40"/>
        <v>0</v>
      </c>
      <c r="E42" s="364">
        <f t="shared" si="40"/>
        <v>378046</v>
      </c>
      <c r="F42" s="364">
        <f t="shared" si="40"/>
        <v>378046</v>
      </c>
      <c r="G42" s="364">
        <f>G43+G46</f>
        <v>121872.29000000001</v>
      </c>
      <c r="H42" s="364">
        <f t="shared" ref="H42:J42" si="41">H43+H46</f>
        <v>121872.29000000001</v>
      </c>
      <c r="I42" s="364">
        <f t="shared" si="41"/>
        <v>121872.29000000001</v>
      </c>
      <c r="J42" s="364">
        <f t="shared" si="41"/>
        <v>0</v>
      </c>
      <c r="K42" s="526"/>
    </row>
    <row r="43" spans="1:15" x14ac:dyDescent="0.25">
      <c r="A43" s="362">
        <v>154</v>
      </c>
      <c r="B43" s="366" t="s">
        <v>410</v>
      </c>
      <c r="C43" s="364">
        <f t="shared" ref="C43:F43" si="42">SUM(C44:C45)</f>
        <v>128046</v>
      </c>
      <c r="D43" s="364">
        <f t="shared" si="42"/>
        <v>0</v>
      </c>
      <c r="E43" s="364">
        <f t="shared" si="42"/>
        <v>128046</v>
      </c>
      <c r="F43" s="364">
        <f t="shared" si="42"/>
        <v>128046</v>
      </c>
      <c r="G43" s="364">
        <f>SUM(G44:G45)</f>
        <v>51042.630000000005</v>
      </c>
      <c r="H43" s="364">
        <f t="shared" ref="H43:J43" si="43">SUM(H44:H45)</f>
        <v>51042.630000000005</v>
      </c>
      <c r="I43" s="364">
        <f t="shared" si="43"/>
        <v>51042.630000000005</v>
      </c>
      <c r="J43" s="364">
        <f t="shared" si="43"/>
        <v>0</v>
      </c>
      <c r="K43" s="526"/>
    </row>
    <row r="44" spans="1:15" x14ac:dyDescent="0.25">
      <c r="A44" s="374">
        <v>15410</v>
      </c>
      <c r="B44" s="375" t="s">
        <v>411</v>
      </c>
      <c r="C44" s="369">
        <v>18046</v>
      </c>
      <c r="D44" s="370">
        <v>0</v>
      </c>
      <c r="E44" s="369">
        <v>18046</v>
      </c>
      <c r="F44" s="369">
        <v>18046</v>
      </c>
      <c r="G44" s="369">
        <f t="shared" ref="G44:H44" si="44">H44</f>
        <v>4463.8999999999996</v>
      </c>
      <c r="H44" s="538">
        <f t="shared" si="44"/>
        <v>4463.8999999999996</v>
      </c>
      <c r="I44" s="538">
        <f>[1]Sheet1!$M$427</f>
        <v>4463.8999999999996</v>
      </c>
      <c r="J44" s="540"/>
      <c r="K44" s="376"/>
      <c r="L44" s="369">
        <v>4511.5</v>
      </c>
      <c r="M44" s="538">
        <v>4463.8999999999996</v>
      </c>
      <c r="N44" s="538">
        <v>4463.8999999999996</v>
      </c>
      <c r="O44" s="540">
        <v>13582.1</v>
      </c>
    </row>
    <row r="45" spans="1:15" x14ac:dyDescent="0.25">
      <c r="A45" s="374">
        <v>15413</v>
      </c>
      <c r="B45" s="375" t="s">
        <v>412</v>
      </c>
      <c r="C45" s="369">
        <v>110000</v>
      </c>
      <c r="D45" s="370">
        <v>0</v>
      </c>
      <c r="E45" s="369">
        <v>110000</v>
      </c>
      <c r="F45" s="369">
        <v>110000</v>
      </c>
      <c r="G45" s="369">
        <f t="shared" ref="G45:H45" si="45">H45</f>
        <v>46578.73</v>
      </c>
      <c r="H45" s="538">
        <f t="shared" si="45"/>
        <v>46578.73</v>
      </c>
      <c r="I45" s="538">
        <f>[1]Sheet1!$M$428</f>
        <v>46578.73</v>
      </c>
      <c r="J45" s="540"/>
      <c r="K45" s="376"/>
      <c r="L45" s="369">
        <v>27500</v>
      </c>
      <c r="M45" s="538">
        <v>22222.31</v>
      </c>
      <c r="N45" s="538">
        <v>22222.31</v>
      </c>
      <c r="O45" s="540">
        <v>87777.69</v>
      </c>
    </row>
    <row r="46" spans="1:15" x14ac:dyDescent="0.25">
      <c r="A46" s="362">
        <v>159</v>
      </c>
      <c r="B46" s="366" t="s">
        <v>409</v>
      </c>
      <c r="C46" s="364">
        <f t="shared" ref="C46:F46" si="46">SUM(C47)</f>
        <v>250000</v>
      </c>
      <c r="D46" s="364">
        <f t="shared" si="46"/>
        <v>0</v>
      </c>
      <c r="E46" s="364">
        <f t="shared" si="46"/>
        <v>250000</v>
      </c>
      <c r="F46" s="364">
        <f t="shared" si="46"/>
        <v>250000</v>
      </c>
      <c r="G46" s="364">
        <f>SUM(G47)</f>
        <v>70829.66</v>
      </c>
      <c r="H46" s="364">
        <f t="shared" ref="H46:J46" si="47">SUM(H47)</f>
        <v>70829.66</v>
      </c>
      <c r="I46" s="364">
        <f t="shared" si="47"/>
        <v>70829.66</v>
      </c>
      <c r="J46" s="364">
        <f t="shared" si="47"/>
        <v>0</v>
      </c>
      <c r="K46" s="526"/>
    </row>
    <row r="47" spans="1:15" ht="15.75" thickBot="1" x14ac:dyDescent="0.3">
      <c r="A47" s="374">
        <v>15901</v>
      </c>
      <c r="B47" s="375" t="s">
        <v>413</v>
      </c>
      <c r="C47" s="369">
        <v>250000</v>
      </c>
      <c r="D47" s="370">
        <v>0</v>
      </c>
      <c r="E47" s="369">
        <v>250000</v>
      </c>
      <c r="F47" s="369">
        <v>250000</v>
      </c>
      <c r="G47" s="369">
        <f t="shared" ref="G47:H47" si="48">H47</f>
        <v>70829.66</v>
      </c>
      <c r="H47" s="538">
        <f t="shared" si="48"/>
        <v>70829.66</v>
      </c>
      <c r="I47" s="538">
        <f>[1]Sheet1!$M$430</f>
        <v>70829.66</v>
      </c>
      <c r="J47" s="540"/>
      <c r="K47" s="376"/>
      <c r="L47" s="369">
        <v>62500</v>
      </c>
      <c r="M47" s="538">
        <v>42697.06</v>
      </c>
      <c r="N47" s="538">
        <v>42697.06</v>
      </c>
      <c r="O47" s="540">
        <v>207302.94</v>
      </c>
    </row>
    <row r="48" spans="1:15" ht="15.75" thickBot="1" x14ac:dyDescent="0.3">
      <c r="A48" s="377">
        <v>2000</v>
      </c>
      <c r="B48" s="360" t="s">
        <v>414</v>
      </c>
      <c r="C48" s="378">
        <v>1547386.11</v>
      </c>
      <c r="D48" s="378">
        <v>0</v>
      </c>
      <c r="E48" s="378">
        <v>1547386.11</v>
      </c>
      <c r="F48" s="378">
        <v>112892.81999999999</v>
      </c>
      <c r="G48" s="378">
        <f>G49+G62+G66+G70+G89+G100+G104+G111+G114</f>
        <v>274635.03000000003</v>
      </c>
      <c r="H48" s="378">
        <f t="shared" ref="H48:J48" si="49">H49+H62+H66+H70+H89+H100+H104+H111+H114</f>
        <v>274635.03000000003</v>
      </c>
      <c r="I48" s="378">
        <f t="shared" si="49"/>
        <v>252842.67999999996</v>
      </c>
      <c r="J48" s="378">
        <f t="shared" si="49"/>
        <v>0</v>
      </c>
      <c r="K48" s="378"/>
      <c r="L48" s="378">
        <v>114031</v>
      </c>
      <c r="M48" s="378">
        <v>112892.81999999999</v>
      </c>
      <c r="N48" s="378">
        <v>93332.590000000011</v>
      </c>
      <c r="O48" s="378">
        <v>1434493.29</v>
      </c>
    </row>
    <row r="49" spans="1:15" x14ac:dyDescent="0.25">
      <c r="A49" s="362">
        <v>2100</v>
      </c>
      <c r="B49" s="363" t="s">
        <v>415</v>
      </c>
      <c r="C49" s="364">
        <f t="shared" ref="C49:F49" si="50">C50+C52+C54+C56+C58+C60</f>
        <v>563541</v>
      </c>
      <c r="D49" s="364">
        <f t="shared" si="50"/>
        <v>0</v>
      </c>
      <c r="E49" s="364">
        <f t="shared" si="50"/>
        <v>563541</v>
      </c>
      <c r="F49" s="364">
        <f t="shared" si="50"/>
        <v>26641.47</v>
      </c>
      <c r="G49" s="364">
        <f>G50+G52+G54+G56+G58+G60</f>
        <v>26641.47</v>
      </c>
      <c r="H49" s="364">
        <f t="shared" ref="H49:J49" si="51">H50+H52+H54+H56+H58+H60</f>
        <v>26641.47</v>
      </c>
      <c r="I49" s="364">
        <f t="shared" si="51"/>
        <v>26641.47</v>
      </c>
      <c r="J49" s="364">
        <f t="shared" si="51"/>
        <v>0</v>
      </c>
      <c r="K49" s="526"/>
    </row>
    <row r="50" spans="1:15" x14ac:dyDescent="0.25">
      <c r="A50" s="362">
        <v>211</v>
      </c>
      <c r="B50" s="366" t="s">
        <v>416</v>
      </c>
      <c r="C50" s="364">
        <f t="shared" ref="C50:F50" si="52">SUM(C51)</f>
        <v>144721.31</v>
      </c>
      <c r="D50" s="364">
        <f t="shared" si="52"/>
        <v>0</v>
      </c>
      <c r="E50" s="364">
        <f t="shared" si="52"/>
        <v>144721.31</v>
      </c>
      <c r="F50" s="364">
        <f t="shared" si="52"/>
        <v>13255.14</v>
      </c>
      <c r="G50" s="364">
        <f>SUM(G51)</f>
        <v>13255.14</v>
      </c>
      <c r="H50" s="364">
        <f t="shared" ref="H50:J50" si="53">SUM(H51)</f>
        <v>13255.14</v>
      </c>
      <c r="I50" s="364">
        <f t="shared" si="53"/>
        <v>13255.14</v>
      </c>
      <c r="J50" s="364">
        <f t="shared" si="53"/>
        <v>0</v>
      </c>
      <c r="K50" s="526"/>
    </row>
    <row r="51" spans="1:15" ht="30" x14ac:dyDescent="0.25">
      <c r="A51" s="374">
        <v>21101</v>
      </c>
      <c r="B51" s="375" t="s">
        <v>416</v>
      </c>
      <c r="C51" s="369">
        <v>144721.31</v>
      </c>
      <c r="D51" s="369"/>
      <c r="E51" s="369">
        <v>144721.31</v>
      </c>
      <c r="F51" s="369">
        <f>G51</f>
        <v>13255.14</v>
      </c>
      <c r="G51" s="369">
        <f>H51</f>
        <v>13255.14</v>
      </c>
      <c r="H51" s="369">
        <f>I51</f>
        <v>13255.14</v>
      </c>
      <c r="I51" s="369">
        <f>[1]Sheet1!$M$434</f>
        <v>13255.14</v>
      </c>
      <c r="J51" s="369"/>
      <c r="K51" s="369"/>
      <c r="L51" s="369">
        <v>12860.18</v>
      </c>
      <c r="M51" s="369">
        <v>12860.18</v>
      </c>
      <c r="N51" s="369">
        <v>12860.18</v>
      </c>
      <c r="O51" s="369">
        <v>131861.13</v>
      </c>
    </row>
    <row r="52" spans="1:15" x14ac:dyDescent="0.25">
      <c r="A52" s="362">
        <v>212</v>
      </c>
      <c r="B52" s="366" t="s">
        <v>417</v>
      </c>
      <c r="C52" s="364">
        <f t="shared" ref="C52:F52" si="54">SUM(C53)</f>
        <v>213414.77</v>
      </c>
      <c r="D52" s="364">
        <f t="shared" si="54"/>
        <v>0</v>
      </c>
      <c r="E52" s="364">
        <f t="shared" si="54"/>
        <v>213414.77</v>
      </c>
      <c r="F52" s="364">
        <f t="shared" si="54"/>
        <v>375.6</v>
      </c>
      <c r="G52" s="364">
        <f>SUM(G53)</f>
        <v>375.6</v>
      </c>
      <c r="H52" s="364">
        <f t="shared" ref="H52" si="55">SUM(H53)</f>
        <v>375.6</v>
      </c>
      <c r="I52" s="364">
        <f t="shared" ref="I52" si="56">SUM(I53)</f>
        <v>375.6</v>
      </c>
      <c r="J52" s="364">
        <f t="shared" ref="J52" si="57">SUM(J53)</f>
        <v>0</v>
      </c>
      <c r="K52" s="526"/>
    </row>
    <row r="53" spans="1:15" ht="30" x14ac:dyDescent="0.25">
      <c r="A53" s="374">
        <v>21201</v>
      </c>
      <c r="B53" s="375" t="s">
        <v>418</v>
      </c>
      <c r="C53" s="369">
        <v>213414.77</v>
      </c>
      <c r="D53" s="369"/>
      <c r="E53" s="369">
        <v>213414.77</v>
      </c>
      <c r="F53" s="369">
        <f>G53</f>
        <v>375.6</v>
      </c>
      <c r="G53" s="369">
        <f>H53</f>
        <v>375.6</v>
      </c>
      <c r="H53" s="369">
        <f>I53</f>
        <v>375.6</v>
      </c>
      <c r="I53" s="369">
        <f>[1]Sheet1!$M$436</f>
        <v>375.6</v>
      </c>
      <c r="J53" s="369"/>
      <c r="K53" s="528"/>
      <c r="O53" s="369">
        <v>213414.77</v>
      </c>
    </row>
    <row r="54" spans="1:15" ht="25.5" x14ac:dyDescent="0.25">
      <c r="A54" s="362">
        <v>214</v>
      </c>
      <c r="B54" s="366" t="s">
        <v>419</v>
      </c>
      <c r="C54" s="364">
        <f t="shared" ref="C54:F54" si="58">SUM(C55)</f>
        <v>6014</v>
      </c>
      <c r="D54" s="364">
        <f t="shared" si="58"/>
        <v>0</v>
      </c>
      <c r="E54" s="364">
        <f t="shared" si="58"/>
        <v>6014</v>
      </c>
      <c r="F54" s="364">
        <f t="shared" si="58"/>
        <v>0</v>
      </c>
      <c r="G54" s="364">
        <f>SUM(G55)</f>
        <v>0</v>
      </c>
      <c r="H54" s="364">
        <f t="shared" ref="H54" si="59">SUM(H55)</f>
        <v>0</v>
      </c>
      <c r="I54" s="364">
        <f t="shared" ref="I54" si="60">SUM(I55)</f>
        <v>0</v>
      </c>
      <c r="J54" s="364">
        <f t="shared" ref="J54" si="61">SUM(J55)</f>
        <v>0</v>
      </c>
      <c r="K54" s="526"/>
    </row>
    <row r="55" spans="1:15" ht="30" x14ac:dyDescent="0.25">
      <c r="A55" s="374">
        <v>21401</v>
      </c>
      <c r="B55" s="375" t="s">
        <v>420</v>
      </c>
      <c r="C55" s="369">
        <v>6014</v>
      </c>
      <c r="D55" s="369"/>
      <c r="E55" s="369">
        <v>6014</v>
      </c>
      <c r="F55" s="369">
        <f>G55</f>
        <v>0</v>
      </c>
      <c r="G55" s="369">
        <f>H55</f>
        <v>0</v>
      </c>
      <c r="H55" s="369">
        <f>I55</f>
        <v>0</v>
      </c>
      <c r="I55" s="369">
        <v>0</v>
      </c>
      <c r="J55" s="369"/>
      <c r="K55" s="528"/>
      <c r="O55" s="369">
        <v>6014</v>
      </c>
    </row>
    <row r="56" spans="1:15" x14ac:dyDescent="0.25">
      <c r="A56" s="362">
        <v>215</v>
      </c>
      <c r="B56" s="366" t="s">
        <v>421</v>
      </c>
      <c r="C56" s="364">
        <f t="shared" ref="C56:F56" si="62">SUM(C57)</f>
        <v>6000</v>
      </c>
      <c r="D56" s="364">
        <f t="shared" si="62"/>
        <v>0</v>
      </c>
      <c r="E56" s="364">
        <f t="shared" si="62"/>
        <v>6000</v>
      </c>
      <c r="F56" s="364">
        <f t="shared" si="62"/>
        <v>0</v>
      </c>
      <c r="G56" s="364">
        <f>SUM(G57)</f>
        <v>0</v>
      </c>
      <c r="H56" s="364">
        <f t="shared" ref="H56" si="63">SUM(H57)</f>
        <v>0</v>
      </c>
      <c r="I56" s="364">
        <f t="shared" ref="I56" si="64">SUM(I57)</f>
        <v>0</v>
      </c>
      <c r="J56" s="364">
        <f t="shared" ref="J56" si="65">SUM(J57)</f>
        <v>0</v>
      </c>
      <c r="K56" s="526"/>
    </row>
    <row r="57" spans="1:15" x14ac:dyDescent="0.25">
      <c r="A57" s="374">
        <v>21501</v>
      </c>
      <c r="B57" s="375" t="s">
        <v>422</v>
      </c>
      <c r="C57" s="369">
        <v>6000</v>
      </c>
      <c r="D57" s="369"/>
      <c r="E57" s="369">
        <v>6000</v>
      </c>
      <c r="F57" s="369">
        <f>G57</f>
        <v>0</v>
      </c>
      <c r="G57" s="369">
        <f>H57</f>
        <v>0</v>
      </c>
      <c r="H57" s="369">
        <f>I57</f>
        <v>0</v>
      </c>
      <c r="I57" s="369">
        <v>0</v>
      </c>
      <c r="J57" s="369"/>
      <c r="K57" s="528"/>
      <c r="O57" s="369">
        <v>6000</v>
      </c>
    </row>
    <row r="58" spans="1:15" x14ac:dyDescent="0.25">
      <c r="A58" s="362">
        <v>216</v>
      </c>
      <c r="B58" s="366" t="s">
        <v>423</v>
      </c>
      <c r="C58" s="364">
        <f t="shared" ref="C58:F58" si="66">SUM(C59)</f>
        <v>48353.72</v>
      </c>
      <c r="D58" s="364">
        <f t="shared" si="66"/>
        <v>0</v>
      </c>
      <c r="E58" s="364">
        <f t="shared" si="66"/>
        <v>48353.72</v>
      </c>
      <c r="F58" s="364">
        <f t="shared" si="66"/>
        <v>10662.74</v>
      </c>
      <c r="G58" s="364">
        <f>SUM(G59)</f>
        <v>10662.74</v>
      </c>
      <c r="H58" s="364">
        <f t="shared" ref="H58" si="67">SUM(H59)</f>
        <v>10662.74</v>
      </c>
      <c r="I58" s="364">
        <f t="shared" ref="I58" si="68">SUM(I59)</f>
        <v>10662.74</v>
      </c>
      <c r="J58" s="364">
        <f t="shared" ref="J58" si="69">SUM(J59)</f>
        <v>0</v>
      </c>
      <c r="K58" s="526"/>
    </row>
    <row r="59" spans="1:15" x14ac:dyDescent="0.25">
      <c r="A59" s="374">
        <v>21601</v>
      </c>
      <c r="B59" s="375" t="s">
        <v>423</v>
      </c>
      <c r="C59" s="369">
        <v>48353.72</v>
      </c>
      <c r="D59" s="369"/>
      <c r="E59" s="369">
        <v>48353.72</v>
      </c>
      <c r="F59" s="369">
        <f>G59</f>
        <v>10662.74</v>
      </c>
      <c r="G59" s="369">
        <f>H59</f>
        <v>10662.74</v>
      </c>
      <c r="H59" s="369">
        <f>I59</f>
        <v>10662.74</v>
      </c>
      <c r="I59" s="369">
        <f>[1]Sheet1!$M$438</f>
        <v>10662.74</v>
      </c>
      <c r="J59" s="369"/>
      <c r="K59" s="369"/>
      <c r="L59" s="369">
        <v>5145.76</v>
      </c>
      <c r="M59" s="369">
        <v>5145.76</v>
      </c>
      <c r="N59" s="369">
        <v>5145.76</v>
      </c>
      <c r="O59" s="369">
        <v>43207.96</v>
      </c>
    </row>
    <row r="60" spans="1:15" x14ac:dyDescent="0.25">
      <c r="A60" s="362">
        <v>217</v>
      </c>
      <c r="B60" s="366" t="s">
        <v>424</v>
      </c>
      <c r="C60" s="364">
        <f t="shared" ref="C60:F60" si="70">SUM(C61)</f>
        <v>145037.20000000001</v>
      </c>
      <c r="D60" s="364">
        <f t="shared" si="70"/>
        <v>0</v>
      </c>
      <c r="E60" s="364">
        <f t="shared" si="70"/>
        <v>145037.20000000001</v>
      </c>
      <c r="F60" s="364">
        <f t="shared" si="70"/>
        <v>2347.9899999999998</v>
      </c>
      <c r="G60" s="364">
        <f>SUM(G61)</f>
        <v>2347.9899999999998</v>
      </c>
      <c r="H60" s="364">
        <f t="shared" ref="H60" si="71">SUM(H61)</f>
        <v>2347.9899999999998</v>
      </c>
      <c r="I60" s="364">
        <f t="shared" ref="I60" si="72">SUM(I61)</f>
        <v>2347.9899999999998</v>
      </c>
      <c r="J60" s="364">
        <f t="shared" ref="J60" si="73">SUM(J61)</f>
        <v>0</v>
      </c>
      <c r="K60" s="526"/>
    </row>
    <row r="61" spans="1:15" x14ac:dyDescent="0.25">
      <c r="A61" s="374">
        <v>21701</v>
      </c>
      <c r="B61" s="375" t="s">
        <v>425</v>
      </c>
      <c r="C61" s="369">
        <v>145037.20000000001</v>
      </c>
      <c r="D61" s="369"/>
      <c r="E61" s="369">
        <v>145037.20000000001</v>
      </c>
      <c r="F61" s="369">
        <f>G61</f>
        <v>2347.9899999999998</v>
      </c>
      <c r="G61" s="369">
        <f>H61</f>
        <v>2347.9899999999998</v>
      </c>
      <c r="H61" s="369">
        <f>I61</f>
        <v>2347.9899999999998</v>
      </c>
      <c r="I61" s="369">
        <f>[1]Sheet1!$M$440</f>
        <v>2347.9899999999998</v>
      </c>
      <c r="J61" s="369"/>
      <c r="K61" s="369"/>
      <c r="L61" s="369">
        <v>2347.9899999999998</v>
      </c>
      <c r="M61" s="369">
        <v>2347.9899999999998</v>
      </c>
      <c r="N61" s="369">
        <v>1980.9999999999998</v>
      </c>
      <c r="O61" s="369">
        <v>142689.21000000002</v>
      </c>
    </row>
    <row r="62" spans="1:15" x14ac:dyDescent="0.25">
      <c r="A62" s="362">
        <v>2200</v>
      </c>
      <c r="B62" s="363" t="s">
        <v>426</v>
      </c>
      <c r="C62" s="364">
        <f t="shared" ref="C62:F62" si="74">C63</f>
        <v>91225.38</v>
      </c>
      <c r="D62" s="364">
        <f t="shared" si="74"/>
        <v>0</v>
      </c>
      <c r="E62" s="364">
        <f t="shared" si="74"/>
        <v>91225.38</v>
      </c>
      <c r="F62" s="364">
        <f t="shared" si="74"/>
        <v>38921.759999999995</v>
      </c>
      <c r="G62" s="364">
        <f>G63</f>
        <v>38921.759999999995</v>
      </c>
      <c r="H62" s="364">
        <f t="shared" ref="H62:J62" si="75">H63</f>
        <v>38921.759999999995</v>
      </c>
      <c r="I62" s="364">
        <f t="shared" si="75"/>
        <v>37052.729999999996</v>
      </c>
      <c r="J62" s="364">
        <f t="shared" si="75"/>
        <v>0</v>
      </c>
      <c r="K62" s="526"/>
    </row>
    <row r="63" spans="1:15" x14ac:dyDescent="0.25">
      <c r="A63" s="362">
        <v>221</v>
      </c>
      <c r="B63" s="366" t="s">
        <v>427</v>
      </c>
      <c r="C63" s="364">
        <f t="shared" ref="C63:F63" si="76">SUM(C64:C66)</f>
        <v>91225.38</v>
      </c>
      <c r="D63" s="364">
        <f t="shared" si="76"/>
        <v>0</v>
      </c>
      <c r="E63" s="364">
        <f t="shared" si="76"/>
        <v>91225.38</v>
      </c>
      <c r="F63" s="364">
        <f t="shared" si="76"/>
        <v>38921.759999999995</v>
      </c>
      <c r="G63" s="364">
        <f>SUM(G64:G66)</f>
        <v>38921.759999999995</v>
      </c>
      <c r="H63" s="364">
        <f t="shared" ref="H63:J63" si="77">SUM(H64:H66)</f>
        <v>38921.759999999995</v>
      </c>
      <c r="I63" s="364">
        <f t="shared" si="77"/>
        <v>37052.729999999996</v>
      </c>
      <c r="J63" s="364">
        <f t="shared" si="77"/>
        <v>0</v>
      </c>
      <c r="K63" s="526"/>
    </row>
    <row r="64" spans="1:15" x14ac:dyDescent="0.25">
      <c r="A64" s="374">
        <v>22101</v>
      </c>
      <c r="B64" s="375" t="s">
        <v>428</v>
      </c>
      <c r="C64" s="369">
        <v>50840.97</v>
      </c>
      <c r="D64" s="369"/>
      <c r="E64" s="369">
        <v>50840.97</v>
      </c>
      <c r="F64" s="369">
        <f>G64</f>
        <v>26144.77</v>
      </c>
      <c r="G64" s="369">
        <f>H64</f>
        <v>26144.77</v>
      </c>
      <c r="H64" s="369">
        <f>I64</f>
        <v>26144.77</v>
      </c>
      <c r="I64" s="369">
        <f>[1]Sheet1!$M$443</f>
        <v>26144.77</v>
      </c>
      <c r="J64" s="369"/>
      <c r="K64" s="369"/>
      <c r="L64" s="369">
        <v>12855.96</v>
      </c>
      <c r="M64" s="369">
        <v>12855.96</v>
      </c>
      <c r="N64" s="369">
        <v>10358.02</v>
      </c>
      <c r="O64" s="369">
        <v>37985.01</v>
      </c>
    </row>
    <row r="65" spans="1:15" ht="60" x14ac:dyDescent="0.25">
      <c r="A65" s="374">
        <v>22105</v>
      </c>
      <c r="B65" s="379" t="s">
        <v>429</v>
      </c>
      <c r="C65" s="369">
        <v>13595.7</v>
      </c>
      <c r="D65" s="369"/>
      <c r="E65" s="369">
        <v>13595.7</v>
      </c>
      <c r="F65" s="369">
        <f t="shared" ref="F65:H65" si="78">G65</f>
        <v>4224.01</v>
      </c>
      <c r="G65" s="369">
        <f t="shared" si="78"/>
        <v>4224.01</v>
      </c>
      <c r="H65" s="369">
        <f>I65+1869.03</f>
        <v>4224.01</v>
      </c>
      <c r="I65" s="369">
        <f>[1]Sheet1!$M$444</f>
        <v>2354.98</v>
      </c>
      <c r="J65" s="369"/>
      <c r="K65" s="369"/>
      <c r="L65" s="369">
        <v>3244.12</v>
      </c>
      <c r="M65" s="369">
        <v>3244.12</v>
      </c>
      <c r="N65" s="369">
        <v>2078.12</v>
      </c>
      <c r="O65" s="369">
        <v>10351.580000000002</v>
      </c>
    </row>
    <row r="66" spans="1:15" x14ac:dyDescent="0.25">
      <c r="A66" s="374">
        <v>22106</v>
      </c>
      <c r="B66" s="375" t="s">
        <v>430</v>
      </c>
      <c r="C66" s="369">
        <v>26788.71</v>
      </c>
      <c r="D66" s="369"/>
      <c r="E66" s="369">
        <v>26788.71</v>
      </c>
      <c r="F66" s="369">
        <f t="shared" ref="F66:H66" si="79">G66</f>
        <v>8552.98</v>
      </c>
      <c r="G66" s="369">
        <f t="shared" si="79"/>
        <v>8552.98</v>
      </c>
      <c r="H66" s="369">
        <f t="shared" si="79"/>
        <v>8552.98</v>
      </c>
      <c r="I66" s="369">
        <f>[1]Sheet1!$M$445</f>
        <v>8552.98</v>
      </c>
      <c r="J66" s="369"/>
      <c r="K66" s="369"/>
      <c r="L66" s="369">
        <v>1137.98</v>
      </c>
      <c r="M66" s="369">
        <v>1137.98</v>
      </c>
      <c r="N66" s="369">
        <v>1053</v>
      </c>
      <c r="O66" s="369">
        <v>25650.73</v>
      </c>
    </row>
    <row r="67" spans="1:15" x14ac:dyDescent="0.25">
      <c r="A67" s="362">
        <v>2300</v>
      </c>
      <c r="B67" s="363" t="s">
        <v>426</v>
      </c>
      <c r="C67" s="364">
        <f t="shared" ref="C67:F67" si="80">C68</f>
        <v>1223.23</v>
      </c>
      <c r="D67" s="364">
        <f t="shared" si="80"/>
        <v>0</v>
      </c>
      <c r="E67" s="364">
        <f t="shared" si="80"/>
        <v>1223.23</v>
      </c>
      <c r="F67" s="364">
        <f t="shared" si="80"/>
        <v>0</v>
      </c>
      <c r="G67" s="364">
        <f>G68</f>
        <v>0</v>
      </c>
      <c r="H67" s="364">
        <f t="shared" ref="H67" si="81">H68</f>
        <v>0</v>
      </c>
      <c r="I67" s="364">
        <f t="shared" ref="I67" si="82">I68</f>
        <v>0</v>
      </c>
      <c r="J67" s="364">
        <f t="shared" ref="J67" si="83">J68</f>
        <v>0</v>
      </c>
      <c r="K67" s="526"/>
    </row>
    <row r="68" spans="1:15" x14ac:dyDescent="0.25">
      <c r="A68" s="362">
        <v>231</v>
      </c>
      <c r="B68" s="366" t="s">
        <v>427</v>
      </c>
      <c r="C68" s="364">
        <f t="shared" ref="C68:F68" si="84">SUM(C69)</f>
        <v>1223.23</v>
      </c>
      <c r="D68" s="364">
        <f t="shared" si="84"/>
        <v>0</v>
      </c>
      <c r="E68" s="364">
        <f t="shared" si="84"/>
        <v>1223.23</v>
      </c>
      <c r="F68" s="364">
        <f t="shared" si="84"/>
        <v>0</v>
      </c>
      <c r="G68" s="364">
        <f>SUM(G69)</f>
        <v>0</v>
      </c>
      <c r="H68" s="364">
        <f t="shared" ref="H68:J68" si="85">SUM(H69)</f>
        <v>0</v>
      </c>
      <c r="I68" s="364">
        <f t="shared" si="85"/>
        <v>0</v>
      </c>
      <c r="J68" s="364">
        <f t="shared" si="85"/>
        <v>0</v>
      </c>
      <c r="K68" s="526"/>
    </row>
    <row r="69" spans="1:15" ht="30" x14ac:dyDescent="0.25">
      <c r="A69" s="374">
        <v>23101</v>
      </c>
      <c r="B69" s="380" t="s">
        <v>431</v>
      </c>
      <c r="C69" s="369">
        <v>1223.23</v>
      </c>
      <c r="D69" s="369"/>
      <c r="E69" s="369">
        <v>1223.23</v>
      </c>
      <c r="F69" s="369">
        <f t="shared" ref="F69:H88" si="86">G69</f>
        <v>0</v>
      </c>
      <c r="G69" s="369">
        <f t="shared" si="86"/>
        <v>0</v>
      </c>
      <c r="H69" s="369">
        <f t="shared" si="86"/>
        <v>0</v>
      </c>
      <c r="I69" s="369">
        <v>0</v>
      </c>
      <c r="J69" s="369"/>
      <c r="K69" s="528"/>
      <c r="O69" s="369">
        <v>1223.23</v>
      </c>
    </row>
    <row r="70" spans="1:15" ht="25.5" x14ac:dyDescent="0.25">
      <c r="A70" s="362">
        <v>2400</v>
      </c>
      <c r="B70" s="363" t="s">
        <v>432</v>
      </c>
      <c r="C70" s="364">
        <f t="shared" ref="C70:F70" si="87">C71+C73+C75+C77+C79+C81+C83+C85+C87</f>
        <v>81133.23</v>
      </c>
      <c r="D70" s="364">
        <f t="shared" si="87"/>
        <v>0</v>
      </c>
      <c r="E70" s="364">
        <f t="shared" si="87"/>
        <v>81133.23</v>
      </c>
      <c r="F70" s="364">
        <f t="shared" si="87"/>
        <v>20772.84</v>
      </c>
      <c r="G70" s="364">
        <f>G71+G73+G75+G77+G79+G81+G83+G85+G87</f>
        <v>20772.84</v>
      </c>
      <c r="H70" s="364">
        <f t="shared" ref="H70:J70" si="88">H71+H73+H75+H77+H79+H81+H83+H85+H87</f>
        <v>20772.84</v>
      </c>
      <c r="I70" s="364">
        <f t="shared" si="88"/>
        <v>20772.84</v>
      </c>
      <c r="J70" s="364">
        <f t="shared" si="88"/>
        <v>0</v>
      </c>
      <c r="K70" s="526"/>
    </row>
    <row r="71" spans="1:15" x14ac:dyDescent="0.25">
      <c r="A71" s="362">
        <v>241</v>
      </c>
      <c r="B71" s="366" t="s">
        <v>433</v>
      </c>
      <c r="C71" s="364">
        <f t="shared" ref="C71:F71" si="89">SUM(C72)</f>
        <v>15975.7</v>
      </c>
      <c r="D71" s="364">
        <f t="shared" si="89"/>
        <v>0</v>
      </c>
      <c r="E71" s="364">
        <f t="shared" si="89"/>
        <v>15975.7</v>
      </c>
      <c r="F71" s="364">
        <f t="shared" si="89"/>
        <v>0</v>
      </c>
      <c r="G71" s="364">
        <f>SUM(G72)</f>
        <v>0</v>
      </c>
      <c r="H71" s="364">
        <f t="shared" ref="H71:J71" si="90">SUM(H72)</f>
        <v>0</v>
      </c>
      <c r="I71" s="364">
        <f t="shared" si="90"/>
        <v>0</v>
      </c>
      <c r="J71" s="364">
        <f t="shared" si="90"/>
        <v>0</v>
      </c>
      <c r="K71" s="526"/>
    </row>
    <row r="72" spans="1:15" x14ac:dyDescent="0.25">
      <c r="A72" s="374">
        <v>24101</v>
      </c>
      <c r="B72" s="380" t="s">
        <v>433</v>
      </c>
      <c r="C72" s="369">
        <v>15975.7</v>
      </c>
      <c r="D72" s="369"/>
      <c r="E72" s="369">
        <v>15975.7</v>
      </c>
      <c r="F72" s="369">
        <f t="shared" si="86"/>
        <v>0</v>
      </c>
      <c r="G72" s="369">
        <f t="shared" si="86"/>
        <v>0</v>
      </c>
      <c r="H72" s="369">
        <f t="shared" si="86"/>
        <v>0</v>
      </c>
      <c r="I72" s="369">
        <v>0</v>
      </c>
      <c r="J72" s="369"/>
      <c r="K72" s="369"/>
      <c r="L72" s="369">
        <v>0</v>
      </c>
      <c r="M72" s="369">
        <v>0</v>
      </c>
      <c r="N72" s="369">
        <v>0</v>
      </c>
      <c r="O72" s="369">
        <v>15975.7</v>
      </c>
    </row>
    <row r="73" spans="1:15" x14ac:dyDescent="0.25">
      <c r="A73" s="362">
        <v>242</v>
      </c>
      <c r="B73" s="366" t="s">
        <v>434</v>
      </c>
      <c r="C73" s="364">
        <f t="shared" ref="C73" si="91">SUM(C74)</f>
        <v>2959.5</v>
      </c>
      <c r="D73" s="364">
        <f t="shared" ref="D73" si="92">SUM(D74)</f>
        <v>0</v>
      </c>
      <c r="E73" s="364">
        <f t="shared" ref="E73" si="93">SUM(E74)</f>
        <v>2959.5</v>
      </c>
      <c r="F73" s="364">
        <f t="shared" ref="F73" si="94">SUM(F74)</f>
        <v>0</v>
      </c>
      <c r="G73" s="364">
        <f>SUM(G74)</f>
        <v>0</v>
      </c>
      <c r="H73" s="364">
        <f t="shared" ref="H73" si="95">SUM(H74)</f>
        <v>0</v>
      </c>
      <c r="I73" s="364">
        <f t="shared" ref="I73" si="96">SUM(I74)</f>
        <v>0</v>
      </c>
      <c r="J73" s="364">
        <f t="shared" ref="J73" si="97">SUM(J74)</f>
        <v>0</v>
      </c>
      <c r="K73" s="526"/>
    </row>
    <row r="74" spans="1:15" x14ac:dyDescent="0.25">
      <c r="A74" s="374">
        <v>24201</v>
      </c>
      <c r="B74" s="380" t="s">
        <v>434</v>
      </c>
      <c r="C74" s="369">
        <v>2959.5</v>
      </c>
      <c r="D74" s="369"/>
      <c r="E74" s="369">
        <v>2959.5</v>
      </c>
      <c r="F74" s="369">
        <f t="shared" si="86"/>
        <v>0</v>
      </c>
      <c r="G74" s="369">
        <f t="shared" si="86"/>
        <v>0</v>
      </c>
      <c r="H74" s="369">
        <f t="shared" si="86"/>
        <v>0</v>
      </c>
      <c r="I74" s="369">
        <v>0</v>
      </c>
      <c r="J74" s="369"/>
      <c r="K74" s="528"/>
      <c r="O74" s="369">
        <v>2959.5</v>
      </c>
    </row>
    <row r="75" spans="1:15" x14ac:dyDescent="0.25">
      <c r="A75" s="362">
        <v>243</v>
      </c>
      <c r="B75" s="366" t="s">
        <v>435</v>
      </c>
      <c r="C75" s="364">
        <f t="shared" ref="C75" si="98">SUM(C76)</f>
        <v>3500</v>
      </c>
      <c r="D75" s="364">
        <f t="shared" ref="D75" si="99">SUM(D76)</f>
        <v>0</v>
      </c>
      <c r="E75" s="364">
        <f t="shared" ref="E75" si="100">SUM(E76)</f>
        <v>3500</v>
      </c>
      <c r="F75" s="364">
        <f t="shared" ref="F75" si="101">SUM(F76)</f>
        <v>60</v>
      </c>
      <c r="G75" s="364">
        <f>SUM(G76)</f>
        <v>60</v>
      </c>
      <c r="H75" s="364">
        <f t="shared" ref="H75" si="102">SUM(H76)</f>
        <v>60</v>
      </c>
      <c r="I75" s="364">
        <f t="shared" ref="I75" si="103">SUM(I76)</f>
        <v>60</v>
      </c>
      <c r="J75" s="364">
        <f t="shared" ref="J75" si="104">SUM(J76)</f>
        <v>0</v>
      </c>
      <c r="K75" s="526"/>
    </row>
    <row r="76" spans="1:15" x14ac:dyDescent="0.25">
      <c r="A76" s="374">
        <v>24301</v>
      </c>
      <c r="B76" s="380" t="s">
        <v>435</v>
      </c>
      <c r="C76" s="369">
        <v>3500</v>
      </c>
      <c r="D76" s="369"/>
      <c r="E76" s="369">
        <v>3500</v>
      </c>
      <c r="F76" s="369">
        <f t="shared" si="86"/>
        <v>60</v>
      </c>
      <c r="G76" s="369">
        <f t="shared" si="86"/>
        <v>60</v>
      </c>
      <c r="H76" s="369">
        <f t="shared" si="86"/>
        <v>60</v>
      </c>
      <c r="I76" s="369">
        <f>[1]Sheet1!$M$448</f>
        <v>60</v>
      </c>
      <c r="J76" s="369"/>
      <c r="K76" s="528"/>
      <c r="O76" s="369">
        <v>3500</v>
      </c>
    </row>
    <row r="77" spans="1:15" x14ac:dyDescent="0.25">
      <c r="A77" s="362">
        <v>244</v>
      </c>
      <c r="B77" s="366" t="s">
        <v>436</v>
      </c>
      <c r="C77" s="364">
        <f t="shared" ref="C77" si="105">SUM(C78)</f>
        <v>3046</v>
      </c>
      <c r="D77" s="364">
        <f t="shared" ref="D77" si="106">SUM(D78)</f>
        <v>0</v>
      </c>
      <c r="E77" s="364">
        <f t="shared" ref="E77" si="107">SUM(E78)</f>
        <v>3046</v>
      </c>
      <c r="F77" s="364">
        <f t="shared" ref="F77" si="108">SUM(F78)</f>
        <v>1980</v>
      </c>
      <c r="G77" s="364">
        <f>SUM(G78)</f>
        <v>1980</v>
      </c>
      <c r="H77" s="364">
        <f t="shared" ref="H77" si="109">SUM(H78)</f>
        <v>1980</v>
      </c>
      <c r="I77" s="364">
        <f t="shared" ref="I77" si="110">SUM(I78)</f>
        <v>1980</v>
      </c>
      <c r="J77" s="364">
        <f t="shared" ref="J77" si="111">SUM(J78)</f>
        <v>0</v>
      </c>
      <c r="K77" s="526"/>
    </row>
    <row r="78" spans="1:15" x14ac:dyDescent="0.25">
      <c r="A78" s="374">
        <v>24401</v>
      </c>
      <c r="B78" s="380" t="s">
        <v>436</v>
      </c>
      <c r="C78" s="369">
        <v>3046</v>
      </c>
      <c r="D78" s="369"/>
      <c r="E78" s="369">
        <v>3046</v>
      </c>
      <c r="F78" s="369">
        <f t="shared" si="86"/>
        <v>1980</v>
      </c>
      <c r="G78" s="369">
        <f t="shared" si="86"/>
        <v>1980</v>
      </c>
      <c r="H78" s="369">
        <f t="shared" si="86"/>
        <v>1980</v>
      </c>
      <c r="I78" s="369">
        <f>[1]Sheet1!$M$450</f>
        <v>1980</v>
      </c>
      <c r="J78" s="369"/>
      <c r="K78" s="528"/>
      <c r="O78" s="369">
        <v>3046</v>
      </c>
    </row>
    <row r="79" spans="1:15" x14ac:dyDescent="0.25">
      <c r="A79" s="362">
        <v>245</v>
      </c>
      <c r="B79" s="366" t="s">
        <v>437</v>
      </c>
      <c r="C79" s="364">
        <f t="shared" ref="C79" si="112">SUM(C80)</f>
        <v>3523</v>
      </c>
      <c r="D79" s="364">
        <f t="shared" ref="D79" si="113">SUM(D80)</f>
        <v>0</v>
      </c>
      <c r="E79" s="364">
        <f t="shared" ref="E79" si="114">SUM(E80)</f>
        <v>3523</v>
      </c>
      <c r="F79" s="364">
        <f t="shared" ref="F79" si="115">SUM(F80)</f>
        <v>0</v>
      </c>
      <c r="G79" s="364">
        <f>SUM(G80)</f>
        <v>0</v>
      </c>
      <c r="H79" s="364">
        <f t="shared" ref="H79" si="116">SUM(H80)</f>
        <v>0</v>
      </c>
      <c r="I79" s="364">
        <f t="shared" ref="I79" si="117">SUM(I80)</f>
        <v>0</v>
      </c>
      <c r="J79" s="364">
        <f t="shared" ref="J79" si="118">SUM(J80)</f>
        <v>0</v>
      </c>
      <c r="K79" s="526"/>
    </row>
    <row r="80" spans="1:15" x14ac:dyDescent="0.25">
      <c r="A80" s="374">
        <v>24501</v>
      </c>
      <c r="B80" s="380" t="s">
        <v>437</v>
      </c>
      <c r="C80" s="369">
        <v>3523</v>
      </c>
      <c r="D80" s="369"/>
      <c r="E80" s="369">
        <v>3523</v>
      </c>
      <c r="F80" s="369">
        <f t="shared" si="86"/>
        <v>0</v>
      </c>
      <c r="G80" s="369">
        <f t="shared" si="86"/>
        <v>0</v>
      </c>
      <c r="H80" s="369">
        <f t="shared" si="86"/>
        <v>0</v>
      </c>
      <c r="I80" s="369">
        <v>0</v>
      </c>
      <c r="J80" s="369"/>
      <c r="K80" s="528"/>
      <c r="O80" s="369">
        <v>3523</v>
      </c>
    </row>
    <row r="81" spans="1:15" x14ac:dyDescent="0.25">
      <c r="A81" s="362">
        <v>246</v>
      </c>
      <c r="B81" s="366" t="s">
        <v>438</v>
      </c>
      <c r="C81" s="364">
        <f t="shared" ref="C81" si="119">SUM(C82)</f>
        <v>23971.83</v>
      </c>
      <c r="D81" s="364">
        <f t="shared" ref="D81" si="120">SUM(D82)</f>
        <v>0</v>
      </c>
      <c r="E81" s="364">
        <f t="shared" ref="E81" si="121">SUM(E82)</f>
        <v>23971.83</v>
      </c>
      <c r="F81" s="364">
        <f t="shared" ref="F81" si="122">SUM(F82)</f>
        <v>10298.17</v>
      </c>
      <c r="G81" s="364">
        <f>SUM(G82)</f>
        <v>10298.17</v>
      </c>
      <c r="H81" s="364">
        <f t="shared" ref="H81" si="123">SUM(H82)</f>
        <v>10298.17</v>
      </c>
      <c r="I81" s="364">
        <f t="shared" ref="I81" si="124">SUM(I82)</f>
        <v>10298.17</v>
      </c>
      <c r="J81" s="364">
        <f t="shared" ref="J81" si="125">SUM(J82)</f>
        <v>0</v>
      </c>
      <c r="K81" s="526"/>
    </row>
    <row r="82" spans="1:15" x14ac:dyDescent="0.25">
      <c r="A82" s="374">
        <v>24601</v>
      </c>
      <c r="B82" s="380" t="s">
        <v>438</v>
      </c>
      <c r="C82" s="369">
        <v>23971.83</v>
      </c>
      <c r="D82" s="369"/>
      <c r="E82" s="369">
        <v>23971.83</v>
      </c>
      <c r="F82" s="369">
        <f t="shared" si="86"/>
        <v>10298.17</v>
      </c>
      <c r="G82" s="369">
        <f t="shared" si="86"/>
        <v>10298.17</v>
      </c>
      <c r="H82" s="369">
        <f t="shared" si="86"/>
        <v>10298.17</v>
      </c>
      <c r="I82" s="369">
        <f>[1]Sheet1!$M$452</f>
        <v>10298.17</v>
      </c>
      <c r="J82" s="369"/>
      <c r="K82" s="369"/>
      <c r="L82" s="369">
        <v>7688.17</v>
      </c>
      <c r="M82" s="369">
        <v>7688.17</v>
      </c>
      <c r="N82" s="369">
        <v>6387.71</v>
      </c>
      <c r="O82" s="369">
        <v>16283.660000000002</v>
      </c>
    </row>
    <row r="83" spans="1:15" x14ac:dyDescent="0.25">
      <c r="A83" s="362">
        <v>247</v>
      </c>
      <c r="B83" s="366" t="s">
        <v>439</v>
      </c>
      <c r="C83" s="364">
        <f t="shared" ref="C83" si="126">SUM(C84)</f>
        <v>7151</v>
      </c>
      <c r="D83" s="364">
        <f t="shared" ref="D83" si="127">SUM(D84)</f>
        <v>0</v>
      </c>
      <c r="E83" s="364">
        <f t="shared" ref="E83" si="128">SUM(E84)</f>
        <v>7151</v>
      </c>
      <c r="F83" s="364">
        <f t="shared" ref="F83" si="129">SUM(F84)</f>
        <v>2782.77</v>
      </c>
      <c r="G83" s="364">
        <f>SUM(G84)</f>
        <v>2782.77</v>
      </c>
      <c r="H83" s="364">
        <f t="shared" ref="H83" si="130">SUM(H84)</f>
        <v>2782.77</v>
      </c>
      <c r="I83" s="364">
        <f t="shared" ref="I83" si="131">SUM(I84)</f>
        <v>2782.77</v>
      </c>
      <c r="J83" s="364">
        <f t="shared" ref="J83" si="132">SUM(J84)</f>
        <v>0</v>
      </c>
      <c r="K83" s="526"/>
    </row>
    <row r="84" spans="1:15" x14ac:dyDescent="0.25">
      <c r="A84" s="374">
        <v>24701</v>
      </c>
      <c r="B84" s="380" t="s">
        <v>439</v>
      </c>
      <c r="C84" s="369">
        <v>7151</v>
      </c>
      <c r="D84" s="369"/>
      <c r="E84" s="369">
        <v>7151</v>
      </c>
      <c r="F84" s="369">
        <f t="shared" si="86"/>
        <v>2782.77</v>
      </c>
      <c r="G84" s="369">
        <f t="shared" si="86"/>
        <v>2782.77</v>
      </c>
      <c r="H84" s="369">
        <f t="shared" si="86"/>
        <v>2782.77</v>
      </c>
      <c r="I84" s="369">
        <f>[1]Sheet1!$M$454</f>
        <v>2782.77</v>
      </c>
      <c r="J84" s="369"/>
      <c r="K84" s="369"/>
      <c r="L84" s="369">
        <v>1880.17</v>
      </c>
      <c r="M84" s="369">
        <v>1880.17</v>
      </c>
      <c r="N84" s="369">
        <v>0</v>
      </c>
      <c r="O84" s="369">
        <v>5270.83</v>
      </c>
    </row>
    <row r="85" spans="1:15" x14ac:dyDescent="0.25">
      <c r="A85" s="362">
        <v>248</v>
      </c>
      <c r="B85" s="366" t="s">
        <v>440</v>
      </c>
      <c r="C85" s="364">
        <f t="shared" ref="C85" si="133">SUM(C86)</f>
        <v>2536.1999999999998</v>
      </c>
      <c r="D85" s="364">
        <f t="shared" ref="D85" si="134">SUM(D86)</f>
        <v>0</v>
      </c>
      <c r="E85" s="364">
        <f t="shared" ref="E85" si="135">SUM(E86)</f>
        <v>2536.1999999999998</v>
      </c>
      <c r="F85" s="364">
        <f t="shared" ref="F85" si="136">SUM(F86)</f>
        <v>0</v>
      </c>
      <c r="G85" s="364">
        <f>SUM(G86)</f>
        <v>0</v>
      </c>
      <c r="H85" s="364">
        <f t="shared" ref="H85" si="137">SUM(H86)</f>
        <v>0</v>
      </c>
      <c r="I85" s="364">
        <f t="shared" ref="I85" si="138">SUM(I86)</f>
        <v>0</v>
      </c>
      <c r="J85" s="364">
        <f t="shared" ref="J85" si="139">SUM(J86)</f>
        <v>0</v>
      </c>
      <c r="K85" s="526"/>
    </row>
    <row r="86" spans="1:15" x14ac:dyDescent="0.25">
      <c r="A86" s="374">
        <v>24801</v>
      </c>
      <c r="B86" s="380" t="s">
        <v>440</v>
      </c>
      <c r="C86" s="369">
        <v>2536.1999999999998</v>
      </c>
      <c r="D86" s="369"/>
      <c r="E86" s="369">
        <v>2536.1999999999998</v>
      </c>
      <c r="F86" s="369">
        <f t="shared" si="86"/>
        <v>0</v>
      </c>
      <c r="G86" s="369">
        <f t="shared" si="86"/>
        <v>0</v>
      </c>
      <c r="H86" s="369">
        <f t="shared" si="86"/>
        <v>0</v>
      </c>
      <c r="I86" s="369">
        <v>0</v>
      </c>
      <c r="J86" s="369"/>
      <c r="K86" s="528"/>
      <c r="O86" s="369">
        <v>2536.1999999999998</v>
      </c>
    </row>
    <row r="87" spans="1:15" ht="25.5" x14ac:dyDescent="0.25">
      <c r="A87" s="362">
        <v>249</v>
      </c>
      <c r="B87" s="366" t="s">
        <v>441</v>
      </c>
      <c r="C87" s="364">
        <f t="shared" ref="C87" si="140">SUM(C88)</f>
        <v>18470</v>
      </c>
      <c r="D87" s="364">
        <f t="shared" ref="D87" si="141">SUM(D88)</f>
        <v>0</v>
      </c>
      <c r="E87" s="364">
        <f t="shared" ref="E87" si="142">SUM(E88)</f>
        <v>18470</v>
      </c>
      <c r="F87" s="364">
        <f t="shared" ref="F87" si="143">SUM(F88)</f>
        <v>5651.9</v>
      </c>
      <c r="G87" s="364">
        <f>SUM(G88)</f>
        <v>5651.9</v>
      </c>
      <c r="H87" s="364">
        <f t="shared" ref="H87" si="144">SUM(H88)</f>
        <v>5651.9</v>
      </c>
      <c r="I87" s="364">
        <f t="shared" ref="I87" si="145">SUM(I88)</f>
        <v>5651.9</v>
      </c>
      <c r="J87" s="364">
        <f t="shared" ref="J87" si="146">SUM(J88)</f>
        <v>0</v>
      </c>
      <c r="K87" s="526"/>
    </row>
    <row r="88" spans="1:15" ht="30" x14ac:dyDescent="0.25">
      <c r="A88" s="374">
        <v>24901</v>
      </c>
      <c r="B88" s="380" t="s">
        <v>441</v>
      </c>
      <c r="C88" s="369">
        <v>18470</v>
      </c>
      <c r="D88" s="369"/>
      <c r="E88" s="369">
        <v>18470</v>
      </c>
      <c r="F88" s="369">
        <f t="shared" si="86"/>
        <v>5651.9</v>
      </c>
      <c r="G88" s="369">
        <f t="shared" si="86"/>
        <v>5651.9</v>
      </c>
      <c r="H88" s="369">
        <f t="shared" si="86"/>
        <v>5651.9</v>
      </c>
      <c r="I88" s="369">
        <f>[1]Sheet1!$M$456</f>
        <v>5651.9</v>
      </c>
      <c r="J88" s="369"/>
      <c r="K88" s="369"/>
      <c r="L88" s="369">
        <v>2685.4</v>
      </c>
      <c r="M88" s="369">
        <v>2685.4</v>
      </c>
      <c r="N88" s="369">
        <v>865.93000000000006</v>
      </c>
      <c r="O88" s="369">
        <v>15784.6</v>
      </c>
    </row>
    <row r="89" spans="1:15" ht="25.5" x14ac:dyDescent="0.25">
      <c r="A89" s="362">
        <v>2500</v>
      </c>
      <c r="B89" s="363" t="s">
        <v>442</v>
      </c>
      <c r="C89" s="364">
        <f t="shared" ref="C89:F89" si="147">C90+C92+C94+C96+C98</f>
        <v>92212.4</v>
      </c>
      <c r="D89" s="364">
        <f t="shared" si="147"/>
        <v>0</v>
      </c>
      <c r="E89" s="364">
        <f t="shared" si="147"/>
        <v>92212.4</v>
      </c>
      <c r="F89" s="364">
        <f t="shared" si="147"/>
        <v>0</v>
      </c>
      <c r="G89" s="364">
        <f>G90+G92+G94+G96+G98</f>
        <v>0</v>
      </c>
      <c r="H89" s="364">
        <f t="shared" ref="H89:J89" si="148">H90+H92+H94+H96+H98</f>
        <v>0</v>
      </c>
      <c r="I89" s="364">
        <f t="shared" si="148"/>
        <v>0</v>
      </c>
      <c r="J89" s="364">
        <f t="shared" si="148"/>
        <v>0</v>
      </c>
      <c r="K89" s="526"/>
    </row>
    <row r="90" spans="1:15" x14ac:dyDescent="0.25">
      <c r="A90" s="362">
        <v>251</v>
      </c>
      <c r="B90" s="366" t="s">
        <v>443</v>
      </c>
      <c r="C90" s="364">
        <f t="shared" ref="C90" si="149">SUM(C91)</f>
        <v>23784.95</v>
      </c>
      <c r="D90" s="364">
        <f t="shared" ref="D90" si="150">SUM(D91)</f>
        <v>0</v>
      </c>
      <c r="E90" s="364">
        <f t="shared" ref="E90" si="151">SUM(E91)</f>
        <v>23784.95</v>
      </c>
      <c r="F90" s="364">
        <f t="shared" ref="F90" si="152">SUM(F91)</f>
        <v>0</v>
      </c>
      <c r="G90" s="364">
        <f>SUM(G91)</f>
        <v>0</v>
      </c>
      <c r="H90" s="364">
        <f t="shared" ref="H90" si="153">SUM(H91)</f>
        <v>0</v>
      </c>
      <c r="I90" s="364">
        <f t="shared" ref="I90" si="154">SUM(I91)</f>
        <v>0</v>
      </c>
      <c r="J90" s="364">
        <f t="shared" ref="J90" si="155">SUM(J91)</f>
        <v>0</v>
      </c>
      <c r="K90" s="526"/>
    </row>
    <row r="91" spans="1:15" x14ac:dyDescent="0.25">
      <c r="A91" s="374">
        <v>25101</v>
      </c>
      <c r="B91" s="381" t="s">
        <v>444</v>
      </c>
      <c r="C91" s="369">
        <v>23784.95</v>
      </c>
      <c r="D91" s="369"/>
      <c r="E91" s="369">
        <v>23784.95</v>
      </c>
      <c r="F91" s="369">
        <f t="shared" ref="F91:H99" si="156">G91</f>
        <v>0</v>
      </c>
      <c r="G91" s="369">
        <f t="shared" si="156"/>
        <v>0</v>
      </c>
      <c r="H91" s="369">
        <f t="shared" si="156"/>
        <v>0</v>
      </c>
      <c r="I91" s="369">
        <v>0</v>
      </c>
      <c r="J91" s="369"/>
      <c r="K91" s="528"/>
      <c r="O91" s="369">
        <v>23784.95</v>
      </c>
    </row>
    <row r="92" spans="1:15" x14ac:dyDescent="0.25">
      <c r="A92" s="362">
        <v>252</v>
      </c>
      <c r="B92" s="366" t="s">
        <v>445</v>
      </c>
      <c r="C92" s="364">
        <f t="shared" ref="C92" si="157">SUM(C93)</f>
        <v>13500</v>
      </c>
      <c r="D92" s="364">
        <f t="shared" ref="D92" si="158">SUM(D93)</f>
        <v>0</v>
      </c>
      <c r="E92" s="364">
        <f t="shared" ref="E92" si="159">SUM(E93)</f>
        <v>13500</v>
      </c>
      <c r="F92" s="364">
        <f t="shared" ref="F92" si="160">SUM(F93)</f>
        <v>0</v>
      </c>
      <c r="G92" s="364">
        <f>SUM(G93)</f>
        <v>0</v>
      </c>
      <c r="H92" s="364">
        <f t="shared" ref="H92" si="161">SUM(H93)</f>
        <v>0</v>
      </c>
      <c r="I92" s="364">
        <f t="shared" ref="I92" si="162">SUM(I93)</f>
        <v>0</v>
      </c>
      <c r="J92" s="364">
        <f t="shared" ref="J92" si="163">SUM(J93)</f>
        <v>0</v>
      </c>
      <c r="K92" s="526"/>
    </row>
    <row r="93" spans="1:15" x14ac:dyDescent="0.25">
      <c r="A93" s="374">
        <v>25201</v>
      </c>
      <c r="B93" s="380" t="s">
        <v>445</v>
      </c>
      <c r="C93" s="369">
        <v>13500</v>
      </c>
      <c r="D93" s="369"/>
      <c r="E93" s="369">
        <v>13500</v>
      </c>
      <c r="F93" s="369">
        <f t="shared" si="156"/>
        <v>0</v>
      </c>
      <c r="G93" s="369">
        <f t="shared" si="156"/>
        <v>0</v>
      </c>
      <c r="H93" s="369">
        <f t="shared" si="156"/>
        <v>0</v>
      </c>
      <c r="I93" s="369">
        <v>0</v>
      </c>
      <c r="J93" s="369"/>
      <c r="K93" s="528"/>
      <c r="O93" s="369">
        <v>13500</v>
      </c>
    </row>
    <row r="94" spans="1:15" x14ac:dyDescent="0.25">
      <c r="A94" s="362">
        <v>253</v>
      </c>
      <c r="B94" s="366" t="s">
        <v>446</v>
      </c>
      <c r="C94" s="364">
        <f t="shared" ref="C94" si="164">SUM(C95)</f>
        <v>12716.13</v>
      </c>
      <c r="D94" s="364">
        <f t="shared" ref="D94" si="165">SUM(D95)</f>
        <v>0</v>
      </c>
      <c r="E94" s="364">
        <f t="shared" ref="E94" si="166">SUM(E95)</f>
        <v>12716.13</v>
      </c>
      <c r="F94" s="364">
        <f t="shared" ref="F94" si="167">SUM(F95)</f>
        <v>0</v>
      </c>
      <c r="G94" s="364">
        <f>SUM(G95)</f>
        <v>0</v>
      </c>
      <c r="H94" s="364">
        <f t="shared" ref="H94" si="168">SUM(H95)</f>
        <v>0</v>
      </c>
      <c r="I94" s="364">
        <f t="shared" ref="I94" si="169">SUM(I95)</f>
        <v>0</v>
      </c>
      <c r="J94" s="364">
        <f t="shared" ref="J94" si="170">SUM(J95)</f>
        <v>0</v>
      </c>
      <c r="K94" s="526"/>
    </row>
    <row r="95" spans="1:15" x14ac:dyDescent="0.25">
      <c r="A95" s="374">
        <v>25301</v>
      </c>
      <c r="B95" s="375" t="s">
        <v>446</v>
      </c>
      <c r="C95" s="369">
        <v>12716.13</v>
      </c>
      <c r="D95" s="369"/>
      <c r="E95" s="369">
        <v>12716.13</v>
      </c>
      <c r="F95" s="369">
        <f t="shared" si="156"/>
        <v>0</v>
      </c>
      <c r="G95" s="369">
        <f t="shared" si="156"/>
        <v>0</v>
      </c>
      <c r="H95" s="369">
        <f t="shared" si="156"/>
        <v>0</v>
      </c>
      <c r="I95" s="369">
        <v>0</v>
      </c>
      <c r="J95" s="369"/>
      <c r="K95" s="528"/>
      <c r="O95" s="369">
        <v>12716.13</v>
      </c>
    </row>
    <row r="96" spans="1:15" x14ac:dyDescent="0.25">
      <c r="A96" s="362">
        <v>255</v>
      </c>
      <c r="B96" s="366" t="s">
        <v>447</v>
      </c>
      <c r="C96" s="364">
        <f t="shared" ref="C96" si="171">SUM(C97)</f>
        <v>27008.18</v>
      </c>
      <c r="D96" s="364">
        <f t="shared" ref="D96" si="172">SUM(D97)</f>
        <v>0</v>
      </c>
      <c r="E96" s="364">
        <f t="shared" ref="E96" si="173">SUM(E97)</f>
        <v>27008.18</v>
      </c>
      <c r="F96" s="364">
        <f t="shared" ref="F96" si="174">SUM(F97)</f>
        <v>0</v>
      </c>
      <c r="G96" s="364">
        <f>SUM(G97)</f>
        <v>0</v>
      </c>
      <c r="H96" s="364">
        <f t="shared" ref="H96" si="175">SUM(H97)</f>
        <v>0</v>
      </c>
      <c r="I96" s="364">
        <f t="shared" ref="I96" si="176">SUM(I97)</f>
        <v>0</v>
      </c>
      <c r="J96" s="364">
        <f t="shared" ref="J96" si="177">SUM(J97)</f>
        <v>0</v>
      </c>
      <c r="K96" s="526"/>
    </row>
    <row r="97" spans="1:15" ht="30" x14ac:dyDescent="0.25">
      <c r="A97" s="374">
        <v>25501</v>
      </c>
      <c r="B97" s="380" t="s">
        <v>447</v>
      </c>
      <c r="C97" s="369">
        <v>27008.18</v>
      </c>
      <c r="D97" s="369"/>
      <c r="E97" s="369">
        <v>27008.18</v>
      </c>
      <c r="F97" s="369">
        <f t="shared" si="156"/>
        <v>0</v>
      </c>
      <c r="G97" s="369">
        <f t="shared" si="156"/>
        <v>0</v>
      </c>
      <c r="H97" s="369">
        <f t="shared" si="156"/>
        <v>0</v>
      </c>
      <c r="I97" s="369">
        <v>0</v>
      </c>
      <c r="J97" s="369"/>
      <c r="K97" s="528"/>
      <c r="O97" s="369">
        <v>27008.18</v>
      </c>
    </row>
    <row r="98" spans="1:15" x14ac:dyDescent="0.25">
      <c r="A98" s="362">
        <v>256</v>
      </c>
      <c r="B98" s="366" t="s">
        <v>448</v>
      </c>
      <c r="C98" s="364">
        <f>SUM(C99)</f>
        <v>15203.14</v>
      </c>
      <c r="D98" s="364">
        <f t="shared" ref="D98" si="178">SUM(D99)</f>
        <v>0</v>
      </c>
      <c r="E98" s="364">
        <f t="shared" ref="E98" si="179">SUM(E99)</f>
        <v>15203.14</v>
      </c>
      <c r="F98" s="364">
        <f t="shared" ref="F98" si="180">SUM(F99)</f>
        <v>0</v>
      </c>
      <c r="G98" s="364">
        <f>SUM(G99)</f>
        <v>0</v>
      </c>
      <c r="H98" s="364">
        <f t="shared" ref="H98" si="181">SUM(H99)</f>
        <v>0</v>
      </c>
      <c r="I98" s="364">
        <f t="shared" ref="I98" si="182">SUM(I99)</f>
        <v>0</v>
      </c>
      <c r="J98" s="364">
        <f t="shared" ref="J98" si="183">SUM(J99)</f>
        <v>0</v>
      </c>
      <c r="K98" s="526"/>
    </row>
    <row r="99" spans="1:15" x14ac:dyDescent="0.25">
      <c r="A99" s="374">
        <v>25601</v>
      </c>
      <c r="B99" s="380" t="s">
        <v>448</v>
      </c>
      <c r="C99" s="369">
        <v>15203.14</v>
      </c>
      <c r="D99" s="369"/>
      <c r="E99" s="369">
        <v>15203.14</v>
      </c>
      <c r="F99" s="369">
        <f t="shared" si="156"/>
        <v>0</v>
      </c>
      <c r="G99" s="369">
        <f t="shared" si="156"/>
        <v>0</v>
      </c>
      <c r="H99" s="369">
        <f t="shared" si="156"/>
        <v>0</v>
      </c>
      <c r="I99" s="369">
        <v>0</v>
      </c>
      <c r="J99" s="369"/>
      <c r="K99" s="528"/>
      <c r="O99" s="369">
        <v>15203.14</v>
      </c>
    </row>
    <row r="100" spans="1:15" x14ac:dyDescent="0.25">
      <c r="A100" s="362">
        <v>2600</v>
      </c>
      <c r="B100" s="363" t="s">
        <v>595</v>
      </c>
      <c r="C100" s="364">
        <f t="shared" ref="C100:F100" si="184">C101</f>
        <v>477626.83</v>
      </c>
      <c r="D100" s="364">
        <f t="shared" si="184"/>
        <v>0</v>
      </c>
      <c r="E100" s="364">
        <f t="shared" si="184"/>
        <v>477626.83</v>
      </c>
      <c r="F100" s="364">
        <f t="shared" si="184"/>
        <v>144124.64000000001</v>
      </c>
      <c r="G100" s="364">
        <f>G101</f>
        <v>144124.64000000001</v>
      </c>
      <c r="H100" s="364">
        <f t="shared" ref="H100:J100" si="185">H101</f>
        <v>144124.64000000001</v>
      </c>
      <c r="I100" s="364">
        <f t="shared" si="185"/>
        <v>126985.31999999999</v>
      </c>
      <c r="J100" s="364">
        <f t="shared" si="185"/>
        <v>0</v>
      </c>
      <c r="K100" s="526"/>
    </row>
    <row r="101" spans="1:15" x14ac:dyDescent="0.25">
      <c r="A101" s="362">
        <v>261</v>
      </c>
      <c r="B101" s="366" t="s">
        <v>595</v>
      </c>
      <c r="C101" s="364">
        <f t="shared" ref="C101:F101" si="186">SUM(C102:C103)</f>
        <v>477626.83</v>
      </c>
      <c r="D101" s="364">
        <f t="shared" si="186"/>
        <v>0</v>
      </c>
      <c r="E101" s="364">
        <f t="shared" si="186"/>
        <v>477626.83</v>
      </c>
      <c r="F101" s="364">
        <f t="shared" si="186"/>
        <v>144124.64000000001</v>
      </c>
      <c r="G101" s="364">
        <f>SUM(G102:G103)</f>
        <v>144124.64000000001</v>
      </c>
      <c r="H101" s="364">
        <f t="shared" ref="H101:J101" si="187">SUM(H102:H103)</f>
        <v>144124.64000000001</v>
      </c>
      <c r="I101" s="364">
        <f t="shared" si="187"/>
        <v>126985.31999999999</v>
      </c>
      <c r="J101" s="364">
        <f t="shared" si="187"/>
        <v>0</v>
      </c>
      <c r="K101" s="526"/>
    </row>
    <row r="102" spans="1:15" x14ac:dyDescent="0.25">
      <c r="A102" s="374">
        <v>26101</v>
      </c>
      <c r="B102" s="375" t="s">
        <v>449</v>
      </c>
      <c r="C102" s="369">
        <v>432002.12</v>
      </c>
      <c r="D102" s="369"/>
      <c r="E102" s="369">
        <v>432002.12</v>
      </c>
      <c r="F102" s="369">
        <f t="shared" ref="F102:H102" si="188">G102</f>
        <v>137358.75</v>
      </c>
      <c r="G102" s="369">
        <f t="shared" si="188"/>
        <v>137358.75</v>
      </c>
      <c r="H102" s="369">
        <f>I102+17139.32</f>
        <v>137358.75</v>
      </c>
      <c r="I102" s="369">
        <f>[1]Sheet1!$M$459</f>
        <v>120219.43</v>
      </c>
      <c r="J102" s="369"/>
      <c r="K102" s="369">
        <v>59002.51</v>
      </c>
      <c r="L102" s="369">
        <v>59002.51</v>
      </c>
      <c r="M102" s="369">
        <v>59002.51</v>
      </c>
      <c r="N102" s="369">
        <v>48853.29</v>
      </c>
      <c r="O102" s="369">
        <v>372999.61</v>
      </c>
    </row>
    <row r="103" spans="1:15" x14ac:dyDescent="0.25">
      <c r="A103" s="374">
        <v>26102</v>
      </c>
      <c r="B103" s="375" t="s">
        <v>450</v>
      </c>
      <c r="C103" s="369">
        <v>45624.71</v>
      </c>
      <c r="D103" s="369"/>
      <c r="E103" s="369">
        <v>45624.71</v>
      </c>
      <c r="F103" s="369">
        <f t="shared" ref="F103:H103" si="189">G103</f>
        <v>6765.89</v>
      </c>
      <c r="G103" s="369">
        <f t="shared" si="189"/>
        <v>6765.89</v>
      </c>
      <c r="H103" s="369">
        <f t="shared" si="189"/>
        <v>6765.89</v>
      </c>
      <c r="I103" s="369">
        <f>[1]Sheet1!$M$460</f>
        <v>6765.89</v>
      </c>
      <c r="J103" s="369"/>
      <c r="K103" s="369">
        <v>0</v>
      </c>
      <c r="L103" s="369">
        <v>0</v>
      </c>
      <c r="M103" s="369">
        <v>0</v>
      </c>
      <c r="N103" s="369">
        <v>0</v>
      </c>
      <c r="O103" s="369">
        <v>45624.71</v>
      </c>
    </row>
    <row r="104" spans="1:15" ht="25.5" x14ac:dyDescent="0.25">
      <c r="A104" s="362">
        <v>2700</v>
      </c>
      <c r="B104" s="363" t="s">
        <v>451</v>
      </c>
      <c r="C104" s="364">
        <f t="shared" ref="C104:F104" si="190">C105+C107+C109</f>
        <v>117902</v>
      </c>
      <c r="D104" s="364">
        <f t="shared" si="190"/>
        <v>0</v>
      </c>
      <c r="E104" s="364">
        <f t="shared" si="190"/>
        <v>117902</v>
      </c>
      <c r="F104" s="364">
        <f t="shared" si="190"/>
        <v>4664.59</v>
      </c>
      <c r="G104" s="364">
        <f>G105+G107+G109</f>
        <v>4664.59</v>
      </c>
      <c r="H104" s="364">
        <f t="shared" ref="H104:J104" si="191">H105+H107+H109</f>
        <v>4664.59</v>
      </c>
      <c r="I104" s="364">
        <f t="shared" si="191"/>
        <v>4664.59</v>
      </c>
      <c r="J104" s="364">
        <f t="shared" si="191"/>
        <v>0</v>
      </c>
      <c r="K104" s="526"/>
    </row>
    <row r="105" spans="1:15" x14ac:dyDescent="0.25">
      <c r="A105" s="362">
        <v>271</v>
      </c>
      <c r="B105" s="366" t="s">
        <v>452</v>
      </c>
      <c r="C105" s="364">
        <f>SUM(C106)</f>
        <v>93852</v>
      </c>
      <c r="D105" s="364">
        <f t="shared" ref="D105" si="192">SUM(D106)</f>
        <v>0</v>
      </c>
      <c r="E105" s="364">
        <f t="shared" ref="E105" si="193">SUM(E106)</f>
        <v>93852</v>
      </c>
      <c r="F105" s="364">
        <f t="shared" ref="F105" si="194">SUM(F106)</f>
        <v>0</v>
      </c>
      <c r="G105" s="364">
        <f>SUM(G106)</f>
        <v>0</v>
      </c>
      <c r="H105" s="364">
        <f t="shared" ref="H105" si="195">SUM(H106)</f>
        <v>0</v>
      </c>
      <c r="I105" s="364">
        <f t="shared" ref="I105" si="196">SUM(I106)</f>
        <v>0</v>
      </c>
      <c r="J105" s="364">
        <f t="shared" ref="J105" si="197">SUM(J106)</f>
        <v>0</v>
      </c>
      <c r="K105" s="526"/>
    </row>
    <row r="106" spans="1:15" x14ac:dyDescent="0.25">
      <c r="A106" s="374">
        <v>27101</v>
      </c>
      <c r="B106" s="381" t="s">
        <v>452</v>
      </c>
      <c r="C106" s="369">
        <v>93852</v>
      </c>
      <c r="D106" s="369"/>
      <c r="E106" s="369">
        <v>93852</v>
      </c>
      <c r="F106" s="369">
        <f t="shared" ref="F106:H110" si="198">G106</f>
        <v>0</v>
      </c>
      <c r="G106" s="369">
        <f t="shared" si="198"/>
        <v>0</v>
      </c>
      <c r="H106" s="369">
        <f t="shared" si="198"/>
        <v>0</v>
      </c>
      <c r="I106" s="369">
        <v>0</v>
      </c>
      <c r="J106" s="369"/>
      <c r="K106" s="528"/>
      <c r="O106" s="369">
        <v>93852</v>
      </c>
    </row>
    <row r="107" spans="1:15" x14ac:dyDescent="0.25">
      <c r="A107" s="362">
        <v>272</v>
      </c>
      <c r="B107" s="366" t="s">
        <v>453</v>
      </c>
      <c r="C107" s="364">
        <f>SUM(C108)</f>
        <v>6300</v>
      </c>
      <c r="D107" s="364">
        <f t="shared" ref="D107" si="199">SUM(D108)</f>
        <v>0</v>
      </c>
      <c r="E107" s="364">
        <f t="shared" ref="E107" si="200">SUM(E108)</f>
        <v>6300</v>
      </c>
      <c r="F107" s="364">
        <f t="shared" ref="F107" si="201">SUM(F108)</f>
        <v>0</v>
      </c>
      <c r="G107" s="364">
        <f>SUM(G108)</f>
        <v>0</v>
      </c>
      <c r="H107" s="364">
        <f t="shared" ref="H107" si="202">SUM(H108)</f>
        <v>0</v>
      </c>
      <c r="I107" s="364">
        <f t="shared" ref="I107" si="203">SUM(I108)</f>
        <v>0</v>
      </c>
      <c r="J107" s="364">
        <f t="shared" ref="J107" si="204">SUM(J108)</f>
        <v>0</v>
      </c>
      <c r="K107" s="526"/>
    </row>
    <row r="108" spans="1:15" x14ac:dyDescent="0.25">
      <c r="A108" s="374">
        <v>27201</v>
      </c>
      <c r="B108" s="380" t="s">
        <v>453</v>
      </c>
      <c r="C108" s="369">
        <v>6300</v>
      </c>
      <c r="D108" s="369"/>
      <c r="E108" s="369">
        <v>6300</v>
      </c>
      <c r="F108" s="369">
        <f t="shared" si="198"/>
        <v>0</v>
      </c>
      <c r="G108" s="369">
        <f t="shared" si="198"/>
        <v>0</v>
      </c>
      <c r="H108" s="369">
        <f t="shared" si="198"/>
        <v>0</v>
      </c>
      <c r="I108" s="369">
        <v>0</v>
      </c>
      <c r="J108" s="369"/>
      <c r="K108" s="528"/>
      <c r="O108" s="369">
        <v>6300</v>
      </c>
    </row>
    <row r="109" spans="1:15" x14ac:dyDescent="0.25">
      <c r="A109" s="362">
        <v>273</v>
      </c>
      <c r="B109" s="366" t="s">
        <v>454</v>
      </c>
      <c r="C109" s="364">
        <f>SUM(C110)</f>
        <v>17750</v>
      </c>
      <c r="D109" s="364">
        <f t="shared" ref="D109" si="205">SUM(D110)</f>
        <v>0</v>
      </c>
      <c r="E109" s="364">
        <f t="shared" ref="E109" si="206">SUM(E110)</f>
        <v>17750</v>
      </c>
      <c r="F109" s="364">
        <f t="shared" ref="F109" si="207">SUM(F110)</f>
        <v>4664.59</v>
      </c>
      <c r="G109" s="364">
        <f>SUM(G110)</f>
        <v>4664.59</v>
      </c>
      <c r="H109" s="364">
        <f t="shared" ref="H109" si="208">SUM(H110)</f>
        <v>4664.59</v>
      </c>
      <c r="I109" s="364">
        <f t="shared" ref="I109" si="209">SUM(I110)</f>
        <v>4664.59</v>
      </c>
      <c r="J109" s="364">
        <f t="shared" ref="J109" si="210">SUM(J110)</f>
        <v>0</v>
      </c>
      <c r="K109" s="526"/>
    </row>
    <row r="110" spans="1:15" x14ac:dyDescent="0.25">
      <c r="A110" s="374">
        <v>27301</v>
      </c>
      <c r="B110" s="375" t="s">
        <v>454</v>
      </c>
      <c r="C110" s="369">
        <v>17750</v>
      </c>
      <c r="D110" s="369"/>
      <c r="E110" s="369">
        <v>17750</v>
      </c>
      <c r="F110" s="369">
        <f t="shared" si="198"/>
        <v>4664.59</v>
      </c>
      <c r="G110" s="369">
        <f t="shared" si="198"/>
        <v>4664.59</v>
      </c>
      <c r="H110" s="369">
        <f t="shared" si="198"/>
        <v>4664.59</v>
      </c>
      <c r="I110" s="369">
        <f>[1]Sheet1!$M$463</f>
        <v>4664.59</v>
      </c>
      <c r="J110" s="369"/>
      <c r="K110" s="528"/>
      <c r="O110" s="369">
        <v>17750</v>
      </c>
    </row>
    <row r="111" spans="1:15" x14ac:dyDescent="0.25">
      <c r="A111" s="362">
        <v>2800</v>
      </c>
      <c r="B111" s="363" t="s">
        <v>455</v>
      </c>
      <c r="C111" s="364">
        <f t="shared" ref="C111:F111" si="211">C112</f>
        <v>5000</v>
      </c>
      <c r="D111" s="364">
        <f t="shared" si="211"/>
        <v>0</v>
      </c>
      <c r="E111" s="364">
        <f t="shared" si="211"/>
        <v>5000</v>
      </c>
      <c r="F111" s="364">
        <f t="shared" si="211"/>
        <v>0</v>
      </c>
      <c r="G111" s="364">
        <f>G112</f>
        <v>0</v>
      </c>
      <c r="H111" s="364">
        <f t="shared" ref="H111:J111" si="212">H112</f>
        <v>0</v>
      </c>
      <c r="I111" s="364">
        <f t="shared" si="212"/>
        <v>0</v>
      </c>
      <c r="J111" s="364">
        <f t="shared" si="212"/>
        <v>0</v>
      </c>
      <c r="K111" s="526"/>
    </row>
    <row r="112" spans="1:15" ht="25.5" x14ac:dyDescent="0.25">
      <c r="A112" s="362">
        <v>283</v>
      </c>
      <c r="B112" s="366" t="s">
        <v>456</v>
      </c>
      <c r="C112" s="364">
        <f>SUM(C113)</f>
        <v>5000</v>
      </c>
      <c r="D112" s="364">
        <f t="shared" ref="D112" si="213">SUM(D113)</f>
        <v>0</v>
      </c>
      <c r="E112" s="364">
        <f t="shared" ref="E112" si="214">SUM(E113)</f>
        <v>5000</v>
      </c>
      <c r="F112" s="364">
        <f t="shared" ref="F112" si="215">SUM(F113)</f>
        <v>0</v>
      </c>
      <c r="G112" s="364">
        <f>SUM(G113)</f>
        <v>0</v>
      </c>
      <c r="H112" s="364">
        <f t="shared" ref="H112" si="216">SUM(H113)</f>
        <v>0</v>
      </c>
      <c r="I112" s="364">
        <f t="shared" ref="I112" si="217">SUM(I113)</f>
        <v>0</v>
      </c>
      <c r="J112" s="364">
        <f t="shared" ref="J112" si="218">SUM(J113)</f>
        <v>0</v>
      </c>
      <c r="K112" s="526"/>
    </row>
    <row r="113" spans="1:15" ht="30" x14ac:dyDescent="0.25">
      <c r="A113" s="374">
        <v>28301</v>
      </c>
      <c r="B113" s="375" t="s">
        <v>456</v>
      </c>
      <c r="C113" s="369">
        <v>5000</v>
      </c>
      <c r="D113" s="369"/>
      <c r="E113" s="369">
        <v>5000</v>
      </c>
      <c r="F113" s="369">
        <f t="shared" ref="F113:H113" si="219">G113</f>
        <v>0</v>
      </c>
      <c r="G113" s="369">
        <f t="shared" si="219"/>
        <v>0</v>
      </c>
      <c r="H113" s="369">
        <f t="shared" si="219"/>
        <v>0</v>
      </c>
      <c r="I113" s="369">
        <v>0</v>
      </c>
      <c r="J113" s="369"/>
      <c r="K113" s="528"/>
      <c r="O113" s="369">
        <v>5000</v>
      </c>
    </row>
    <row r="114" spans="1:15" x14ac:dyDescent="0.25">
      <c r="A114" s="362">
        <v>2900</v>
      </c>
      <c r="B114" s="363" t="s">
        <v>457</v>
      </c>
      <c r="C114" s="364">
        <f t="shared" ref="C114:E114" si="220">C115+C117+C119+C121+C123+C125</f>
        <v>117522.04000000001</v>
      </c>
      <c r="D114" s="364">
        <f t="shared" si="220"/>
        <v>0</v>
      </c>
      <c r="E114" s="364">
        <f t="shared" si="220"/>
        <v>117522.04000000001</v>
      </c>
      <c r="F114" s="364">
        <f>F115+F117+F119+F121+F123+F125</f>
        <v>30956.750000000004</v>
      </c>
      <c r="G114" s="364">
        <f t="shared" ref="G114:J114" si="221">G115+G117+G119+G121+G123+G125</f>
        <v>30956.750000000004</v>
      </c>
      <c r="H114" s="364">
        <f t="shared" si="221"/>
        <v>30956.750000000004</v>
      </c>
      <c r="I114" s="364">
        <f t="shared" si="221"/>
        <v>28172.75</v>
      </c>
      <c r="J114" s="364">
        <f t="shared" si="221"/>
        <v>0</v>
      </c>
      <c r="K114" s="526"/>
    </row>
    <row r="115" spans="1:15" x14ac:dyDescent="0.25">
      <c r="A115" s="362">
        <v>291</v>
      </c>
      <c r="B115" s="366" t="s">
        <v>458</v>
      </c>
      <c r="C115" s="364">
        <f>SUM(C116)</f>
        <v>6579.57</v>
      </c>
      <c r="D115" s="364">
        <f t="shared" ref="D115" si="222">SUM(D116)</f>
        <v>0</v>
      </c>
      <c r="E115" s="364">
        <f t="shared" ref="E115" si="223">SUM(E116)</f>
        <v>6579.57</v>
      </c>
      <c r="F115" s="364">
        <f t="shared" ref="F115" si="224">SUM(F116)</f>
        <v>2784</v>
      </c>
      <c r="G115" s="364">
        <f>SUM(G116)</f>
        <v>2784</v>
      </c>
      <c r="H115" s="364">
        <f t="shared" ref="H115" si="225">SUM(H116)</f>
        <v>2784</v>
      </c>
      <c r="I115" s="364">
        <f t="shared" ref="I115" si="226">SUM(I116)</f>
        <v>0</v>
      </c>
      <c r="J115" s="364">
        <f t="shared" ref="J115" si="227">SUM(J116)</f>
        <v>0</v>
      </c>
      <c r="K115" s="526"/>
    </row>
    <row r="116" spans="1:15" x14ac:dyDescent="0.25">
      <c r="A116" s="374">
        <v>29101</v>
      </c>
      <c r="B116" s="380" t="s">
        <v>458</v>
      </c>
      <c r="C116" s="369">
        <v>6579.57</v>
      </c>
      <c r="D116" s="369"/>
      <c r="E116" s="369">
        <v>6579.57</v>
      </c>
      <c r="F116" s="369">
        <f t="shared" ref="F116:H126" si="228">G116</f>
        <v>2784</v>
      </c>
      <c r="G116" s="369">
        <f t="shared" si="228"/>
        <v>2784</v>
      </c>
      <c r="H116" s="369">
        <f>I116+1850+934</f>
        <v>2784</v>
      </c>
      <c r="I116" s="369">
        <v>0</v>
      </c>
      <c r="J116" s="369"/>
      <c r="K116" s="528"/>
      <c r="O116" s="369">
        <v>6579.57</v>
      </c>
    </row>
    <row r="117" spans="1:15" x14ac:dyDescent="0.25">
      <c r="A117" s="362">
        <v>292</v>
      </c>
      <c r="B117" s="366" t="s">
        <v>459</v>
      </c>
      <c r="C117" s="364">
        <f>SUM(C118)</f>
        <v>5921.5</v>
      </c>
      <c r="D117" s="364">
        <f t="shared" ref="D117" si="229">SUM(D118)</f>
        <v>0</v>
      </c>
      <c r="E117" s="364">
        <f t="shared" ref="E117" si="230">SUM(E118)</f>
        <v>5921.5</v>
      </c>
      <c r="F117" s="364">
        <f t="shared" ref="F117" si="231">SUM(F118)</f>
        <v>689.01</v>
      </c>
      <c r="G117" s="364">
        <f>SUM(G118)</f>
        <v>689.01</v>
      </c>
      <c r="H117" s="364">
        <f t="shared" ref="H117" si="232">SUM(H118)</f>
        <v>689.01</v>
      </c>
      <c r="I117" s="364">
        <f t="shared" ref="I117" si="233">SUM(I118)</f>
        <v>689.01</v>
      </c>
      <c r="J117" s="364">
        <f t="shared" ref="J117" si="234">SUM(J118)</f>
        <v>0</v>
      </c>
      <c r="K117" s="526"/>
    </row>
    <row r="118" spans="1:15" ht="30" x14ac:dyDescent="0.25">
      <c r="A118" s="374">
        <v>29201</v>
      </c>
      <c r="B118" s="380" t="s">
        <v>459</v>
      </c>
      <c r="C118" s="369">
        <v>5921.5</v>
      </c>
      <c r="D118" s="369"/>
      <c r="E118" s="369">
        <v>5921.5</v>
      </c>
      <c r="F118" s="369">
        <f t="shared" si="228"/>
        <v>689.01</v>
      </c>
      <c r="G118" s="369">
        <f t="shared" si="228"/>
        <v>689.01</v>
      </c>
      <c r="H118" s="369">
        <f t="shared" si="228"/>
        <v>689.01</v>
      </c>
      <c r="I118" s="369">
        <f>[1]Sheet1!$M$466</f>
        <v>689.01</v>
      </c>
      <c r="J118" s="369"/>
      <c r="K118" s="369"/>
      <c r="L118" s="369">
        <v>295</v>
      </c>
      <c r="M118" s="369">
        <v>295</v>
      </c>
      <c r="N118" s="369">
        <v>0</v>
      </c>
      <c r="O118" s="369">
        <v>5626.5</v>
      </c>
    </row>
    <row r="119" spans="1:15" ht="25.5" x14ac:dyDescent="0.25">
      <c r="A119" s="362">
        <v>293</v>
      </c>
      <c r="B119" s="366" t="s">
        <v>460</v>
      </c>
      <c r="C119" s="364">
        <f>SUM(C120)</f>
        <v>2000</v>
      </c>
      <c r="D119" s="364">
        <f t="shared" ref="D119" si="235">SUM(D120)</f>
        <v>0</v>
      </c>
      <c r="E119" s="364">
        <f t="shared" ref="E119" si="236">SUM(E120)</f>
        <v>2000</v>
      </c>
      <c r="F119" s="364">
        <f t="shared" ref="F119" si="237">SUM(F120)</f>
        <v>0</v>
      </c>
      <c r="G119" s="364">
        <f>SUM(G120)</f>
        <v>0</v>
      </c>
      <c r="H119" s="364">
        <f t="shared" ref="H119" si="238">SUM(H120)</f>
        <v>0</v>
      </c>
      <c r="I119" s="364">
        <f t="shared" ref="I119" si="239">SUM(I120)</f>
        <v>0</v>
      </c>
      <c r="J119" s="364">
        <f t="shared" ref="J119" si="240">SUM(J120)</f>
        <v>0</v>
      </c>
      <c r="K119" s="526"/>
    </row>
    <row r="120" spans="1:15" ht="45" x14ac:dyDescent="0.25">
      <c r="A120" s="374">
        <v>29301</v>
      </c>
      <c r="B120" s="380" t="s">
        <v>460</v>
      </c>
      <c r="C120" s="369">
        <v>2000</v>
      </c>
      <c r="D120" s="369"/>
      <c r="E120" s="369">
        <v>2000</v>
      </c>
      <c r="F120" s="369">
        <f t="shared" si="228"/>
        <v>0</v>
      </c>
      <c r="G120" s="369">
        <f t="shared" si="228"/>
        <v>0</v>
      </c>
      <c r="H120" s="369">
        <f t="shared" si="228"/>
        <v>0</v>
      </c>
      <c r="I120" s="369">
        <v>0</v>
      </c>
      <c r="J120" s="369"/>
      <c r="K120" s="528"/>
      <c r="O120" s="369">
        <v>2000</v>
      </c>
    </row>
    <row r="121" spans="1:15" ht="25.5" x14ac:dyDescent="0.25">
      <c r="A121" s="362">
        <v>294</v>
      </c>
      <c r="B121" s="366" t="s">
        <v>461</v>
      </c>
      <c r="C121" s="364">
        <f>SUM(C122)</f>
        <v>36943.550000000003</v>
      </c>
      <c r="D121" s="364">
        <f t="shared" ref="D121" si="241">SUM(D122)</f>
        <v>0</v>
      </c>
      <c r="E121" s="364">
        <f t="shared" ref="E121" si="242">SUM(E122)</f>
        <v>36943.550000000003</v>
      </c>
      <c r="F121" s="364">
        <f t="shared" ref="F121" si="243">SUM(F122)</f>
        <v>19882.400000000001</v>
      </c>
      <c r="G121" s="364">
        <f>SUM(G122)</f>
        <v>19882.400000000001</v>
      </c>
      <c r="H121" s="364">
        <f t="shared" ref="H121" si="244">SUM(H122)</f>
        <v>19882.400000000001</v>
      </c>
      <c r="I121" s="364">
        <f t="shared" ref="I121" si="245">SUM(I122)</f>
        <v>19882.400000000001</v>
      </c>
      <c r="J121" s="364">
        <f t="shared" ref="J121" si="246">SUM(J122)</f>
        <v>0</v>
      </c>
      <c r="K121" s="526"/>
    </row>
    <row r="122" spans="1:15" ht="30" x14ac:dyDescent="0.25">
      <c r="A122" s="374">
        <v>29401</v>
      </c>
      <c r="B122" s="380" t="s">
        <v>461</v>
      </c>
      <c r="C122" s="369">
        <v>36943.550000000003</v>
      </c>
      <c r="D122" s="369"/>
      <c r="E122" s="369">
        <v>36943.550000000003</v>
      </c>
      <c r="F122" s="369">
        <f t="shared" si="228"/>
        <v>19882.400000000001</v>
      </c>
      <c r="G122" s="369">
        <f t="shared" si="228"/>
        <v>19882.400000000001</v>
      </c>
      <c r="H122" s="369">
        <f t="shared" si="228"/>
        <v>19882.400000000001</v>
      </c>
      <c r="I122" s="369">
        <f>[1]Sheet1!$M$468</f>
        <v>19882.400000000001</v>
      </c>
      <c r="J122" s="369"/>
      <c r="K122" s="369"/>
      <c r="L122" s="369">
        <v>2992.8</v>
      </c>
      <c r="M122" s="369">
        <v>2992.8</v>
      </c>
      <c r="N122" s="369">
        <v>2992.8</v>
      </c>
      <c r="O122" s="369">
        <v>33950.75</v>
      </c>
    </row>
    <row r="123" spans="1:15" ht="25.5" x14ac:dyDescent="0.25">
      <c r="A123" s="362">
        <v>295</v>
      </c>
      <c r="B123" s="366" t="s">
        <v>462</v>
      </c>
      <c r="C123" s="364">
        <f>SUM(C124)</f>
        <v>4077.42</v>
      </c>
      <c r="D123" s="364">
        <f t="shared" ref="D123" si="247">SUM(D124)</f>
        <v>0</v>
      </c>
      <c r="E123" s="364">
        <f t="shared" ref="E123" si="248">SUM(E124)</f>
        <v>4077.42</v>
      </c>
      <c r="F123" s="364">
        <f t="shared" ref="F123" si="249">SUM(F124)</f>
        <v>0</v>
      </c>
      <c r="G123" s="364">
        <f>SUM(G124)</f>
        <v>0</v>
      </c>
      <c r="H123" s="364">
        <f t="shared" ref="H123" si="250">SUM(H124)</f>
        <v>0</v>
      </c>
      <c r="I123" s="364">
        <f t="shared" ref="I123" si="251">SUM(I124)</f>
        <v>0</v>
      </c>
      <c r="J123" s="364">
        <f t="shared" ref="J123" si="252">SUM(J124)</f>
        <v>0</v>
      </c>
      <c r="K123" s="526"/>
    </row>
    <row r="124" spans="1:15" ht="30" x14ac:dyDescent="0.25">
      <c r="A124" s="374">
        <v>29501</v>
      </c>
      <c r="B124" s="380" t="s">
        <v>462</v>
      </c>
      <c r="C124" s="369">
        <v>4077.42</v>
      </c>
      <c r="D124" s="369"/>
      <c r="E124" s="369">
        <v>4077.42</v>
      </c>
      <c r="F124" s="369">
        <f t="shared" si="228"/>
        <v>0</v>
      </c>
      <c r="G124" s="369">
        <f t="shared" si="228"/>
        <v>0</v>
      </c>
      <c r="H124" s="369">
        <f t="shared" si="228"/>
        <v>0</v>
      </c>
      <c r="I124" s="369">
        <v>0</v>
      </c>
      <c r="J124" s="369"/>
      <c r="K124" s="528"/>
      <c r="O124" s="369">
        <v>4077.42</v>
      </c>
    </row>
    <row r="125" spans="1:15" ht="25.5" x14ac:dyDescent="0.25">
      <c r="A125" s="362">
        <v>296</v>
      </c>
      <c r="B125" s="366" t="s">
        <v>463</v>
      </c>
      <c r="C125" s="364">
        <f>SUM(C126)</f>
        <v>62000</v>
      </c>
      <c r="D125" s="364">
        <f t="shared" ref="D125" si="253">SUM(D126)</f>
        <v>0</v>
      </c>
      <c r="E125" s="364">
        <f t="shared" ref="E125" si="254">SUM(E126)</f>
        <v>62000</v>
      </c>
      <c r="F125" s="364">
        <f t="shared" ref="F125" si="255">SUM(F126)</f>
        <v>7601.34</v>
      </c>
      <c r="G125" s="364">
        <f>SUM(G126)</f>
        <v>7601.34</v>
      </c>
      <c r="H125" s="364">
        <f t="shared" ref="H125" si="256">SUM(H126)</f>
        <v>7601.34</v>
      </c>
      <c r="I125" s="364">
        <f t="shared" ref="I125" si="257">SUM(I126)</f>
        <v>7601.34</v>
      </c>
      <c r="J125" s="364">
        <f t="shared" ref="J125" si="258">SUM(J126)</f>
        <v>0</v>
      </c>
      <c r="K125" s="526"/>
    </row>
    <row r="126" spans="1:15" ht="30.75" thickBot="1" x14ac:dyDescent="0.3">
      <c r="A126" s="374">
        <v>29601</v>
      </c>
      <c r="B126" s="380" t="s">
        <v>463</v>
      </c>
      <c r="C126" s="369">
        <v>62000</v>
      </c>
      <c r="D126" s="369"/>
      <c r="E126" s="369">
        <v>62000</v>
      </c>
      <c r="F126" s="369">
        <f t="shared" si="228"/>
        <v>7601.34</v>
      </c>
      <c r="G126" s="369">
        <f t="shared" si="228"/>
        <v>7601.34</v>
      </c>
      <c r="H126" s="369">
        <f t="shared" si="228"/>
        <v>7601.34</v>
      </c>
      <c r="I126" s="369">
        <f>[1]Sheet1!$M$470</f>
        <v>7601.34</v>
      </c>
      <c r="J126" s="369"/>
      <c r="K126" s="369"/>
      <c r="L126" s="369">
        <v>756.78</v>
      </c>
      <c r="M126" s="369">
        <v>756.78</v>
      </c>
      <c r="N126" s="369">
        <v>756.78</v>
      </c>
      <c r="O126" s="369">
        <v>61243.22</v>
      </c>
    </row>
    <row r="127" spans="1:15" ht="15.75" thickBot="1" x14ac:dyDescent="0.3">
      <c r="A127" s="377">
        <v>3000</v>
      </c>
      <c r="B127" s="360" t="s">
        <v>464</v>
      </c>
      <c r="C127" s="378">
        <f t="shared" ref="C127:F127" si="259">C128+C144+C155+C169+C176+C192+C198+C211+C220</f>
        <v>4078458.21</v>
      </c>
      <c r="D127" s="378">
        <f t="shared" si="259"/>
        <v>0</v>
      </c>
      <c r="E127" s="378">
        <f t="shared" si="259"/>
        <v>4078458.21</v>
      </c>
      <c r="F127" s="378">
        <f t="shared" si="259"/>
        <v>2188942.1399999997</v>
      </c>
      <c r="G127" s="378">
        <f>G128+G144+G155+G169+G176+G192+G198+G211+G220</f>
        <v>1554550.67</v>
      </c>
      <c r="H127" s="378">
        <f t="shared" ref="H127:J127" si="260">H128+H144+H155+H169+H176+H192+H198+H211+H220</f>
        <v>1494550.67</v>
      </c>
      <c r="I127" s="378">
        <f t="shared" si="260"/>
        <v>1174747.18</v>
      </c>
      <c r="J127" s="378">
        <f t="shared" si="260"/>
        <v>0</v>
      </c>
      <c r="K127" s="378">
        <v>4297562.51</v>
      </c>
      <c r="L127" s="378">
        <f>M128+M144+M155+M169+M176+M192+M198+M211+M220</f>
        <v>1064</v>
      </c>
      <c r="M127" s="378">
        <v>533639.11</v>
      </c>
      <c r="N127" s="378">
        <v>441037.51999999996</v>
      </c>
      <c r="O127" s="378">
        <v>3763923.4</v>
      </c>
    </row>
    <row r="128" spans="1:15" x14ac:dyDescent="0.25">
      <c r="A128" s="362">
        <v>3100</v>
      </c>
      <c r="B128" s="363" t="s">
        <v>465</v>
      </c>
      <c r="C128" s="364">
        <f t="shared" ref="C128:E128" si="261">C129+C132+C134+C136+C138+C140+C142</f>
        <v>1235685.0600000003</v>
      </c>
      <c r="D128" s="364">
        <f t="shared" si="261"/>
        <v>0</v>
      </c>
      <c r="E128" s="364">
        <f t="shared" si="261"/>
        <v>1235685.0600000003</v>
      </c>
      <c r="F128" s="364">
        <f>F129+F132+F134+F136+F138+F140+F142</f>
        <v>1162778.2699999998</v>
      </c>
      <c r="G128" s="364">
        <f t="shared" ref="G128:J128" si="262">G129+G132+G134+G136+G138+G140+G142</f>
        <v>789829.86999999988</v>
      </c>
      <c r="H128" s="364">
        <f t="shared" si="262"/>
        <v>729829.86999999988</v>
      </c>
      <c r="I128" s="364">
        <f t="shared" si="262"/>
        <v>518372.51</v>
      </c>
      <c r="J128" s="364">
        <f t="shared" si="262"/>
        <v>0</v>
      </c>
      <c r="K128" s="526"/>
    </row>
    <row r="129" spans="1:15" x14ac:dyDescent="0.25">
      <c r="A129" s="362">
        <v>311</v>
      </c>
      <c r="B129" s="366" t="s">
        <v>466</v>
      </c>
      <c r="C129" s="364">
        <f t="shared" ref="C129:E129" si="263">SUM(C130:C131)</f>
        <v>714289.14000000013</v>
      </c>
      <c r="D129" s="364">
        <f t="shared" si="263"/>
        <v>0</v>
      </c>
      <c r="E129" s="364">
        <f t="shared" si="263"/>
        <v>714289.14000000013</v>
      </c>
      <c r="F129" s="364">
        <f>SUM(F130:F131)</f>
        <v>408617</v>
      </c>
      <c r="G129" s="364">
        <f t="shared" ref="G129:J129" si="264">SUM(G130:G131)</f>
        <v>408617</v>
      </c>
      <c r="H129" s="364">
        <f t="shared" si="264"/>
        <v>348617</v>
      </c>
      <c r="I129" s="364">
        <f t="shared" si="264"/>
        <v>288617</v>
      </c>
      <c r="J129" s="364">
        <f t="shared" si="264"/>
        <v>0</v>
      </c>
      <c r="K129" s="526"/>
    </row>
    <row r="130" spans="1:15" x14ac:dyDescent="0.25">
      <c r="A130" s="374">
        <v>31101</v>
      </c>
      <c r="B130" s="380" t="s">
        <v>467</v>
      </c>
      <c r="C130" s="369">
        <v>712930.00000000012</v>
      </c>
      <c r="D130" s="370">
        <v>0</v>
      </c>
      <c r="E130" s="369">
        <v>712930.00000000012</v>
      </c>
      <c r="F130" s="369">
        <f t="shared" ref="F130:H143" si="265">G130</f>
        <v>408617</v>
      </c>
      <c r="G130" s="369">
        <f>H130+60000</f>
        <v>408617</v>
      </c>
      <c r="H130" s="369">
        <f>I130+60000</f>
        <v>348617</v>
      </c>
      <c r="I130" s="538">
        <f>[1]Sheet1!$M$474</f>
        <v>288617</v>
      </c>
      <c r="J130" s="369"/>
      <c r="K130" s="369">
        <v>712930.00000000012</v>
      </c>
      <c r="L130" s="369">
        <v>120202</v>
      </c>
      <c r="M130" s="538">
        <v>120202</v>
      </c>
      <c r="N130" s="538">
        <v>79319</v>
      </c>
      <c r="O130" s="369">
        <v>592728.00000000012</v>
      </c>
    </row>
    <row r="131" spans="1:15" ht="30" x14ac:dyDescent="0.25">
      <c r="A131" s="374">
        <v>31103</v>
      </c>
      <c r="B131" s="380" t="s">
        <v>468</v>
      </c>
      <c r="C131" s="369">
        <v>1359.14</v>
      </c>
      <c r="D131" s="370">
        <v>0</v>
      </c>
      <c r="E131" s="369">
        <v>1359.14</v>
      </c>
      <c r="F131" s="369">
        <f t="shared" si="265"/>
        <v>0</v>
      </c>
      <c r="G131" s="369">
        <f t="shared" si="265"/>
        <v>0</v>
      </c>
      <c r="H131" s="369">
        <f t="shared" si="265"/>
        <v>0</v>
      </c>
      <c r="I131" s="538"/>
      <c r="J131" s="369"/>
      <c r="K131" s="369">
        <v>1359.14</v>
      </c>
      <c r="L131" s="369">
        <v>1392</v>
      </c>
      <c r="M131" s="538">
        <v>1392</v>
      </c>
      <c r="N131" s="538">
        <v>1392</v>
      </c>
      <c r="O131" s="369">
        <v>-32.8599999999999</v>
      </c>
    </row>
    <row r="132" spans="1:15" x14ac:dyDescent="0.25">
      <c r="A132" s="362">
        <v>312</v>
      </c>
      <c r="B132" s="366" t="s">
        <v>469</v>
      </c>
      <c r="C132" s="364">
        <f t="shared" ref="C132:E132" si="266">SUM(C133)</f>
        <v>2718.28</v>
      </c>
      <c r="D132" s="364">
        <f t="shared" si="266"/>
        <v>0</v>
      </c>
      <c r="E132" s="364">
        <f t="shared" si="266"/>
        <v>2718.28</v>
      </c>
      <c r="F132" s="364">
        <f>SUM(F133)</f>
        <v>0</v>
      </c>
      <c r="G132" s="364">
        <f t="shared" ref="G132:J132" si="267">SUM(G133)</f>
        <v>0</v>
      </c>
      <c r="H132" s="364">
        <f t="shared" si="267"/>
        <v>0</v>
      </c>
      <c r="I132" s="364">
        <f t="shared" si="267"/>
        <v>0</v>
      </c>
      <c r="J132" s="364">
        <f t="shared" si="267"/>
        <v>0</v>
      </c>
      <c r="K132" s="526"/>
    </row>
    <row r="133" spans="1:15" x14ac:dyDescent="0.25">
      <c r="A133" s="374">
        <v>31201</v>
      </c>
      <c r="B133" s="380" t="s">
        <v>469</v>
      </c>
      <c r="C133" s="369">
        <v>2718.28</v>
      </c>
      <c r="D133" s="370">
        <v>0</v>
      </c>
      <c r="E133" s="369">
        <v>2718.28</v>
      </c>
      <c r="F133" s="369">
        <f t="shared" si="265"/>
        <v>0</v>
      </c>
      <c r="G133" s="369">
        <f t="shared" si="265"/>
        <v>0</v>
      </c>
      <c r="H133" s="369">
        <f t="shared" si="265"/>
        <v>0</v>
      </c>
      <c r="I133" s="538"/>
      <c r="J133" s="369"/>
      <c r="K133" s="369">
        <v>2718.28</v>
      </c>
      <c r="L133" s="369"/>
      <c r="M133" s="538">
        <v>0</v>
      </c>
      <c r="N133" s="538">
        <v>0</v>
      </c>
      <c r="O133" s="369">
        <v>2718.28</v>
      </c>
    </row>
    <row r="134" spans="1:15" x14ac:dyDescent="0.25">
      <c r="A134" s="362">
        <v>313</v>
      </c>
      <c r="B134" s="366" t="s">
        <v>470</v>
      </c>
      <c r="C134" s="364">
        <f t="shared" ref="C134" si="268">SUM(C135)</f>
        <v>39318.07</v>
      </c>
      <c r="D134" s="364">
        <f t="shared" ref="D134" si="269">SUM(D135)</f>
        <v>0</v>
      </c>
      <c r="E134" s="364">
        <f t="shared" ref="E134" si="270">SUM(E135)</f>
        <v>39318.07</v>
      </c>
      <c r="F134" s="364">
        <f>SUM(F135)</f>
        <v>19600.12</v>
      </c>
      <c r="G134" s="364">
        <f t="shared" ref="G134" si="271">SUM(G135)</f>
        <v>19600.12</v>
      </c>
      <c r="H134" s="364">
        <f t="shared" ref="H134" si="272">SUM(H135)</f>
        <v>19600.12</v>
      </c>
      <c r="I134" s="364">
        <f t="shared" ref="I134" si="273">SUM(I135)</f>
        <v>17126.919999999998</v>
      </c>
      <c r="J134" s="364">
        <f t="shared" ref="J134" si="274">SUM(J135)</f>
        <v>0</v>
      </c>
      <c r="K134" s="526"/>
    </row>
    <row r="135" spans="1:15" x14ac:dyDescent="0.25">
      <c r="A135" s="374">
        <v>31301</v>
      </c>
      <c r="B135" s="380" t="s">
        <v>471</v>
      </c>
      <c r="C135" s="369">
        <v>39318.07</v>
      </c>
      <c r="D135" s="370">
        <v>0</v>
      </c>
      <c r="E135" s="369">
        <v>39318.07</v>
      </c>
      <c r="F135" s="369">
        <f t="shared" si="265"/>
        <v>19600.12</v>
      </c>
      <c r="G135" s="369">
        <f t="shared" si="265"/>
        <v>19600.12</v>
      </c>
      <c r="H135" s="369">
        <f>I135+2473.2</f>
        <v>19600.12</v>
      </c>
      <c r="I135" s="538">
        <f>[1]Sheet1!$M$477</f>
        <v>17126.919999999998</v>
      </c>
      <c r="J135" s="369"/>
      <c r="K135" s="369">
        <v>39318.07</v>
      </c>
      <c r="L135" s="369">
        <v>7234.12</v>
      </c>
      <c r="M135" s="538">
        <v>7234.12</v>
      </c>
      <c r="N135" s="538">
        <v>7234.12</v>
      </c>
      <c r="O135" s="369">
        <v>32083.95</v>
      </c>
    </row>
    <row r="136" spans="1:15" x14ac:dyDescent="0.25">
      <c r="A136" s="362">
        <v>314</v>
      </c>
      <c r="B136" s="366" t="s">
        <v>472</v>
      </c>
      <c r="C136" s="364">
        <f t="shared" ref="C136" si="275">SUM(C137)</f>
        <v>189000</v>
      </c>
      <c r="D136" s="364">
        <f t="shared" ref="D136" si="276">SUM(D137)</f>
        <v>0</v>
      </c>
      <c r="E136" s="364">
        <f t="shared" ref="E136" si="277">SUM(E137)</f>
        <v>189000</v>
      </c>
      <c r="F136" s="364">
        <f>SUM(F137)</f>
        <v>242318.8</v>
      </c>
      <c r="G136" s="364">
        <f t="shared" ref="G136" si="278">SUM(G137)</f>
        <v>242318.8</v>
      </c>
      <c r="H136" s="364">
        <f t="shared" ref="H136" si="279">SUM(H137)</f>
        <v>242318.8</v>
      </c>
      <c r="I136" s="364">
        <f t="shared" ref="I136" si="280">SUM(I137)</f>
        <v>93334.64</v>
      </c>
      <c r="J136" s="364">
        <f t="shared" ref="J136" si="281">SUM(J137)</f>
        <v>0</v>
      </c>
      <c r="K136" s="526"/>
    </row>
    <row r="137" spans="1:15" x14ac:dyDescent="0.25">
      <c r="A137" s="374">
        <v>31401</v>
      </c>
      <c r="B137" s="380" t="s">
        <v>472</v>
      </c>
      <c r="C137" s="369">
        <v>189000</v>
      </c>
      <c r="D137" s="370">
        <v>0</v>
      </c>
      <c r="E137" s="369">
        <v>189000</v>
      </c>
      <c r="F137" s="369">
        <f t="shared" si="265"/>
        <v>242318.8</v>
      </c>
      <c r="G137" s="369">
        <f t="shared" si="265"/>
        <v>242318.8</v>
      </c>
      <c r="H137" s="369">
        <f>I137+148984.16</f>
        <v>242318.8</v>
      </c>
      <c r="I137" s="538">
        <f>[1]Sheet1!$M$479</f>
        <v>93334.64</v>
      </c>
      <c r="J137" s="369"/>
      <c r="K137" s="369">
        <v>189000</v>
      </c>
      <c r="L137" s="369">
        <v>57120.06</v>
      </c>
      <c r="M137" s="538">
        <v>57120.06</v>
      </c>
      <c r="N137" s="538">
        <v>43567.119999999995</v>
      </c>
      <c r="O137" s="369">
        <v>131879.94</v>
      </c>
    </row>
    <row r="138" spans="1:15" x14ac:dyDescent="0.25">
      <c r="A138" s="362">
        <v>315</v>
      </c>
      <c r="B138" s="366" t="s">
        <v>473</v>
      </c>
      <c r="C138" s="364">
        <f t="shared" ref="C138" si="282">SUM(C139)</f>
        <v>13200</v>
      </c>
      <c r="D138" s="364">
        <f t="shared" ref="D138" si="283">SUM(D139)</f>
        <v>0</v>
      </c>
      <c r="E138" s="364">
        <f t="shared" ref="E138" si="284">SUM(E139)</f>
        <v>13200</v>
      </c>
      <c r="F138" s="364">
        <f>SUM(F139)</f>
        <v>7594.32</v>
      </c>
      <c r="G138" s="364">
        <f t="shared" ref="G138" si="285">SUM(G139)</f>
        <v>7594.32</v>
      </c>
      <c r="H138" s="364">
        <f t="shared" ref="H138" si="286">SUM(H139)</f>
        <v>7594.32</v>
      </c>
      <c r="I138" s="364">
        <f t="shared" ref="I138" si="287">SUM(I139)</f>
        <v>7594.32</v>
      </c>
      <c r="J138" s="364">
        <f t="shared" ref="J138" si="288">SUM(J139)</f>
        <v>0</v>
      </c>
      <c r="K138" s="526"/>
    </row>
    <row r="139" spans="1:15" x14ac:dyDescent="0.25">
      <c r="A139" s="374">
        <v>31501</v>
      </c>
      <c r="B139" s="380" t="s">
        <v>473</v>
      </c>
      <c r="C139" s="369">
        <v>13200</v>
      </c>
      <c r="D139" s="370">
        <v>0</v>
      </c>
      <c r="E139" s="369">
        <v>13200</v>
      </c>
      <c r="F139" s="369">
        <f t="shared" si="265"/>
        <v>7594.32</v>
      </c>
      <c r="G139" s="369">
        <f t="shared" si="265"/>
        <v>7594.32</v>
      </c>
      <c r="H139" s="369">
        <f t="shared" si="265"/>
        <v>7594.32</v>
      </c>
      <c r="I139" s="538">
        <f>[1]Sheet1!$M$481</f>
        <v>7594.32</v>
      </c>
      <c r="J139" s="369"/>
      <c r="K139" s="369">
        <v>13200</v>
      </c>
      <c r="L139" s="369">
        <v>3779</v>
      </c>
      <c r="M139" s="538">
        <v>3779</v>
      </c>
      <c r="N139" s="538">
        <v>3779</v>
      </c>
      <c r="O139" s="369">
        <v>9421</v>
      </c>
    </row>
    <row r="140" spans="1:15" ht="25.5" x14ac:dyDescent="0.25">
      <c r="A140" s="362">
        <v>317</v>
      </c>
      <c r="B140" s="366" t="s">
        <v>474</v>
      </c>
      <c r="C140" s="364">
        <f t="shared" ref="C140" si="289">SUM(C141)</f>
        <v>258600</v>
      </c>
      <c r="D140" s="364">
        <f t="shared" ref="D140" si="290">SUM(D141)</f>
        <v>0</v>
      </c>
      <c r="E140" s="364">
        <f t="shared" ref="E140" si="291">SUM(E141)</f>
        <v>258600</v>
      </c>
      <c r="F140" s="364">
        <f>SUM(F141)</f>
        <v>480000</v>
      </c>
      <c r="G140" s="364">
        <f t="shared" ref="G140" si="292">SUM(G141)</f>
        <v>107051.6</v>
      </c>
      <c r="H140" s="364">
        <f t="shared" ref="H140" si="293">SUM(H141)</f>
        <v>107051.6</v>
      </c>
      <c r="I140" s="364">
        <f t="shared" ref="I140" si="294">SUM(I141)</f>
        <v>107051.6</v>
      </c>
      <c r="J140" s="364">
        <f t="shared" ref="J140" si="295">SUM(J141)</f>
        <v>0</v>
      </c>
      <c r="K140" s="526"/>
    </row>
    <row r="141" spans="1:15" ht="30" x14ac:dyDescent="0.25">
      <c r="A141" s="374">
        <v>31701</v>
      </c>
      <c r="B141" s="380" t="s">
        <v>474</v>
      </c>
      <c r="C141" s="369">
        <v>258600</v>
      </c>
      <c r="D141" s="370">
        <v>0</v>
      </c>
      <c r="E141" s="369">
        <v>258600</v>
      </c>
      <c r="F141" s="369">
        <f>[16]junio!$C$43+[16]junio!$C$44</f>
        <v>480000</v>
      </c>
      <c r="G141" s="369">
        <f t="shared" si="265"/>
        <v>107051.6</v>
      </c>
      <c r="H141" s="369">
        <f t="shared" si="265"/>
        <v>107051.6</v>
      </c>
      <c r="I141" s="538">
        <f>[1]Sheet1!$M$483</f>
        <v>107051.6</v>
      </c>
      <c r="J141" s="369"/>
      <c r="K141" s="369">
        <v>258600</v>
      </c>
      <c r="L141" s="369">
        <v>62838.96</v>
      </c>
      <c r="M141" s="538">
        <v>62838.96</v>
      </c>
      <c r="N141" s="538">
        <v>62838.96</v>
      </c>
      <c r="O141" s="369">
        <v>195761.04</v>
      </c>
    </row>
    <row r="142" spans="1:15" x14ac:dyDescent="0.25">
      <c r="A142" s="362">
        <v>318</v>
      </c>
      <c r="B142" s="366" t="s">
        <v>475</v>
      </c>
      <c r="C142" s="364">
        <f t="shared" ref="C142" si="296">SUM(C143)</f>
        <v>18559.57</v>
      </c>
      <c r="D142" s="364">
        <f t="shared" ref="D142" si="297">SUM(D143)</f>
        <v>0</v>
      </c>
      <c r="E142" s="364">
        <f t="shared" ref="E142" si="298">SUM(E143)</f>
        <v>18559.57</v>
      </c>
      <c r="F142" s="364">
        <f>SUM(F143)</f>
        <v>4648.03</v>
      </c>
      <c r="G142" s="364">
        <f t="shared" ref="G142" si="299">SUM(G143)</f>
        <v>4648.03</v>
      </c>
      <c r="H142" s="364">
        <f t="shared" ref="H142" si="300">SUM(H143)</f>
        <v>4648.03</v>
      </c>
      <c r="I142" s="364">
        <f t="shared" ref="I142" si="301">SUM(I143)</f>
        <v>4648.03</v>
      </c>
      <c r="J142" s="364">
        <f t="shared" ref="J142" si="302">SUM(J143)</f>
        <v>0</v>
      </c>
      <c r="K142" s="526"/>
    </row>
    <row r="143" spans="1:15" x14ac:dyDescent="0.25">
      <c r="A143" s="374">
        <v>31801</v>
      </c>
      <c r="B143" s="380" t="s">
        <v>476</v>
      </c>
      <c r="C143" s="369">
        <v>18559.57</v>
      </c>
      <c r="D143" s="370">
        <v>0</v>
      </c>
      <c r="E143" s="369">
        <v>18559.57</v>
      </c>
      <c r="F143" s="369">
        <f t="shared" si="265"/>
        <v>4648.03</v>
      </c>
      <c r="G143" s="369">
        <f t="shared" si="265"/>
        <v>4648.03</v>
      </c>
      <c r="H143" s="369">
        <f t="shared" si="265"/>
        <v>4648.03</v>
      </c>
      <c r="I143" s="538">
        <f>[1]Sheet1!$M$485</f>
        <v>4648.03</v>
      </c>
      <c r="J143" s="369"/>
      <c r="K143" s="369">
        <v>18559.57</v>
      </c>
      <c r="L143" s="369">
        <v>2651.1</v>
      </c>
      <c r="M143" s="538">
        <v>2651.1</v>
      </c>
      <c r="N143" s="538">
        <v>2651.1</v>
      </c>
      <c r="O143" s="369">
        <v>15908.47</v>
      </c>
    </row>
    <row r="144" spans="1:15" x14ac:dyDescent="0.25">
      <c r="A144" s="362">
        <v>3200</v>
      </c>
      <c r="B144" s="363" t="s">
        <v>477</v>
      </c>
      <c r="C144" s="364">
        <f>C145+C147+C149+C151+C153</f>
        <v>191060.4</v>
      </c>
      <c r="D144" s="364">
        <f t="shared" ref="D144:J144" si="303">D145+D147+D149+D151+D153</f>
        <v>0</v>
      </c>
      <c r="E144" s="364">
        <f t="shared" si="303"/>
        <v>191060.4</v>
      </c>
      <c r="F144" s="364">
        <f t="shared" si="303"/>
        <v>72506.290000000008</v>
      </c>
      <c r="G144" s="364">
        <f t="shared" si="303"/>
        <v>72506.290000000008</v>
      </c>
      <c r="H144" s="364">
        <f t="shared" si="303"/>
        <v>72506.290000000008</v>
      </c>
      <c r="I144" s="364">
        <f t="shared" si="303"/>
        <v>72506.290000000008</v>
      </c>
      <c r="J144" s="364">
        <f t="shared" si="303"/>
        <v>0</v>
      </c>
      <c r="K144" s="526"/>
    </row>
    <row r="145" spans="1:15" x14ac:dyDescent="0.25">
      <c r="A145" s="362">
        <v>322</v>
      </c>
      <c r="B145" s="366" t="s">
        <v>478</v>
      </c>
      <c r="C145" s="364">
        <f t="shared" ref="C145" si="304">SUM(C146)</f>
        <v>22610.400000000001</v>
      </c>
      <c r="D145" s="364">
        <f t="shared" ref="D145" si="305">SUM(D146)</f>
        <v>0</v>
      </c>
      <c r="E145" s="364">
        <f t="shared" ref="E145" si="306">SUM(E146)</f>
        <v>22610.400000000001</v>
      </c>
      <c r="F145" s="364">
        <f>SUM(F146)</f>
        <v>5653.2</v>
      </c>
      <c r="G145" s="364">
        <f t="shared" ref="G145" si="307">SUM(G146)</f>
        <v>5653.2</v>
      </c>
      <c r="H145" s="364">
        <f t="shared" ref="H145" si="308">SUM(H146)</f>
        <v>5653.2</v>
      </c>
      <c r="I145" s="364">
        <f t="shared" ref="I145" si="309">SUM(I146)</f>
        <v>5653.2</v>
      </c>
      <c r="J145" s="364">
        <f t="shared" ref="J145" si="310">SUM(J146)</f>
        <v>0</v>
      </c>
      <c r="K145" s="526"/>
    </row>
    <row r="146" spans="1:15" x14ac:dyDescent="0.25">
      <c r="A146" s="374">
        <v>32201</v>
      </c>
      <c r="B146" s="380" t="s">
        <v>478</v>
      </c>
      <c r="C146" s="369">
        <v>22610.400000000001</v>
      </c>
      <c r="D146" s="370">
        <v>0</v>
      </c>
      <c r="E146" s="369">
        <v>22610.400000000001</v>
      </c>
      <c r="F146" s="369">
        <f t="shared" ref="F146:H154" si="311">G146</f>
        <v>5653.2</v>
      </c>
      <c r="G146" s="369">
        <f t="shared" si="311"/>
        <v>5653.2</v>
      </c>
      <c r="H146" s="369">
        <f t="shared" si="311"/>
        <v>5653.2</v>
      </c>
      <c r="I146" s="538">
        <f>[1]Sheet1!$M$488</f>
        <v>5653.2</v>
      </c>
      <c r="J146" s="369"/>
      <c r="K146" s="369">
        <v>22610.400000000001</v>
      </c>
      <c r="L146" s="369">
        <v>22610.400000000001</v>
      </c>
      <c r="M146" s="369">
        <v>5653.2</v>
      </c>
      <c r="N146" s="538">
        <v>487.34999999999945</v>
      </c>
      <c r="O146" s="369">
        <v>16957.2</v>
      </c>
    </row>
    <row r="147" spans="1:15" ht="25.5" x14ac:dyDescent="0.25">
      <c r="A147" s="362">
        <v>323</v>
      </c>
      <c r="B147" s="366" t="s">
        <v>479</v>
      </c>
      <c r="C147" s="364">
        <f t="shared" ref="C147" si="312">SUM(C148)</f>
        <v>29250</v>
      </c>
      <c r="D147" s="364">
        <f t="shared" ref="D147" si="313">SUM(D148)</f>
        <v>0</v>
      </c>
      <c r="E147" s="364">
        <f t="shared" ref="E147" si="314">SUM(E148)</f>
        <v>29250</v>
      </c>
      <c r="F147" s="364">
        <f>SUM(F148)</f>
        <v>10579.2</v>
      </c>
      <c r="G147" s="364">
        <f t="shared" ref="G147" si="315">SUM(G148)</f>
        <v>10579.2</v>
      </c>
      <c r="H147" s="364">
        <f t="shared" ref="H147" si="316">SUM(H148)</f>
        <v>10579.2</v>
      </c>
      <c r="I147" s="364">
        <f t="shared" ref="I147" si="317">SUM(I148)</f>
        <v>10579.2</v>
      </c>
      <c r="J147" s="364">
        <f t="shared" ref="J147" si="318">SUM(J148)</f>
        <v>0</v>
      </c>
      <c r="K147" s="526"/>
    </row>
    <row r="148" spans="1:15" ht="30" x14ac:dyDescent="0.25">
      <c r="A148" s="374">
        <v>32301</v>
      </c>
      <c r="B148" s="380" t="s">
        <v>480</v>
      </c>
      <c r="C148" s="369">
        <v>29250</v>
      </c>
      <c r="D148" s="370">
        <v>0</v>
      </c>
      <c r="E148" s="369">
        <v>29250</v>
      </c>
      <c r="F148" s="369">
        <f t="shared" si="311"/>
        <v>10579.2</v>
      </c>
      <c r="G148" s="369">
        <f t="shared" si="311"/>
        <v>10579.2</v>
      </c>
      <c r="H148" s="369">
        <f t="shared" si="311"/>
        <v>10579.2</v>
      </c>
      <c r="I148" s="538">
        <f>[1]Sheet1!$M$490</f>
        <v>10579.2</v>
      </c>
      <c r="J148" s="369"/>
      <c r="K148" s="369">
        <v>29250</v>
      </c>
      <c r="L148" s="369">
        <v>29250</v>
      </c>
      <c r="M148" s="369">
        <v>5289.6</v>
      </c>
      <c r="N148" s="538">
        <v>1763.2000000000003</v>
      </c>
      <c r="O148" s="369">
        <v>23960.400000000001</v>
      </c>
    </row>
    <row r="149" spans="1:15" ht="25.5" x14ac:dyDescent="0.25">
      <c r="A149" s="362">
        <v>326</v>
      </c>
      <c r="B149" s="366" t="s">
        <v>481</v>
      </c>
      <c r="C149" s="364">
        <f t="shared" ref="C149" si="319">SUM(C150)</f>
        <v>2400</v>
      </c>
      <c r="D149" s="364">
        <f t="shared" ref="D149" si="320">SUM(D150)</f>
        <v>0</v>
      </c>
      <c r="E149" s="364">
        <f t="shared" ref="E149" si="321">SUM(E150)</f>
        <v>2400</v>
      </c>
      <c r="F149" s="364">
        <f>SUM(F150)</f>
        <v>0</v>
      </c>
      <c r="G149" s="364">
        <f t="shared" ref="G149" si="322">SUM(G150)</f>
        <v>0</v>
      </c>
      <c r="H149" s="364">
        <f t="shared" ref="H149" si="323">SUM(H150)</f>
        <v>0</v>
      </c>
      <c r="I149" s="364">
        <f t="shared" ref="I149" si="324">SUM(I150)</f>
        <v>0</v>
      </c>
      <c r="J149" s="364">
        <f t="shared" ref="J149" si="325">SUM(J150)</f>
        <v>0</v>
      </c>
      <c r="K149" s="526"/>
    </row>
    <row r="150" spans="1:15" ht="30" x14ac:dyDescent="0.25">
      <c r="A150" s="374">
        <v>32601</v>
      </c>
      <c r="B150" s="380" t="s">
        <v>481</v>
      </c>
      <c r="C150" s="369">
        <v>2400</v>
      </c>
      <c r="D150" s="370">
        <v>0</v>
      </c>
      <c r="E150" s="369">
        <v>2400</v>
      </c>
      <c r="F150" s="369">
        <f t="shared" si="311"/>
        <v>0</v>
      </c>
      <c r="G150" s="369">
        <f t="shared" si="311"/>
        <v>0</v>
      </c>
      <c r="H150" s="369">
        <f t="shared" si="311"/>
        <v>0</v>
      </c>
      <c r="I150" s="538"/>
      <c r="J150" s="369"/>
      <c r="K150" s="369">
        <v>2400</v>
      </c>
      <c r="L150" s="369"/>
      <c r="M150" s="538">
        <v>0</v>
      </c>
      <c r="N150" s="538">
        <v>0</v>
      </c>
      <c r="O150" s="369">
        <v>2400</v>
      </c>
    </row>
    <row r="151" spans="1:15" x14ac:dyDescent="0.25">
      <c r="A151" s="362">
        <v>327</v>
      </c>
      <c r="B151" s="366" t="s">
        <v>482</v>
      </c>
      <c r="C151" s="364">
        <f t="shared" ref="C151" si="326">SUM(C152)</f>
        <v>133000</v>
      </c>
      <c r="D151" s="364">
        <f t="shared" ref="D151" si="327">SUM(D152)</f>
        <v>0</v>
      </c>
      <c r="E151" s="364">
        <f t="shared" ref="E151" si="328">SUM(E152)</f>
        <v>133000</v>
      </c>
      <c r="F151" s="364">
        <f>SUM(F152)</f>
        <v>56273.89</v>
      </c>
      <c r="G151" s="364">
        <f t="shared" ref="G151" si="329">SUM(G152)</f>
        <v>56273.89</v>
      </c>
      <c r="H151" s="364">
        <f t="shared" ref="H151" si="330">SUM(H152)</f>
        <v>56273.89</v>
      </c>
      <c r="I151" s="364">
        <f t="shared" ref="I151" si="331">SUM(I152)</f>
        <v>56273.89</v>
      </c>
      <c r="J151" s="364">
        <f t="shared" ref="J151" si="332">SUM(J152)</f>
        <v>0</v>
      </c>
      <c r="K151" s="526"/>
    </row>
    <row r="152" spans="1:15" x14ac:dyDescent="0.25">
      <c r="A152" s="374">
        <v>32701</v>
      </c>
      <c r="B152" s="380" t="s">
        <v>483</v>
      </c>
      <c r="C152" s="369">
        <v>133000</v>
      </c>
      <c r="D152" s="370">
        <v>0</v>
      </c>
      <c r="E152" s="369">
        <v>133000</v>
      </c>
      <c r="F152" s="369">
        <f t="shared" si="311"/>
        <v>56273.89</v>
      </c>
      <c r="G152" s="369">
        <f t="shared" si="311"/>
        <v>56273.89</v>
      </c>
      <c r="H152" s="369">
        <f t="shared" si="311"/>
        <v>56273.89</v>
      </c>
      <c r="I152" s="538">
        <f>[1]Sheet1!$M$492</f>
        <v>56273.89</v>
      </c>
      <c r="J152" s="369"/>
      <c r="K152" s="369">
        <v>133000</v>
      </c>
      <c r="L152" s="369"/>
      <c r="M152" s="538">
        <v>0</v>
      </c>
      <c r="N152" s="538">
        <v>0</v>
      </c>
      <c r="O152" s="369">
        <v>133000</v>
      </c>
    </row>
    <row r="153" spans="1:15" x14ac:dyDescent="0.25">
      <c r="A153" s="362">
        <v>329</v>
      </c>
      <c r="B153" s="366" t="s">
        <v>484</v>
      </c>
      <c r="C153" s="364">
        <f t="shared" ref="C153" si="333">SUM(C154)</f>
        <v>3800</v>
      </c>
      <c r="D153" s="364">
        <f t="shared" ref="D153" si="334">SUM(D154)</f>
        <v>0</v>
      </c>
      <c r="E153" s="364">
        <f t="shared" ref="E153" si="335">SUM(E154)</f>
        <v>3800</v>
      </c>
      <c r="F153" s="364">
        <f>SUM(F154)</f>
        <v>0</v>
      </c>
      <c r="G153" s="364">
        <f t="shared" ref="G153" si="336">SUM(G154)</f>
        <v>0</v>
      </c>
      <c r="H153" s="364">
        <f t="shared" ref="H153" si="337">SUM(H154)</f>
        <v>0</v>
      </c>
      <c r="I153" s="364">
        <f t="shared" ref="I153" si="338">SUM(I154)</f>
        <v>0</v>
      </c>
      <c r="J153" s="364">
        <f t="shared" ref="J153" si="339">SUM(J154)</f>
        <v>0</v>
      </c>
      <c r="K153" s="526"/>
    </row>
    <row r="154" spans="1:15" x14ac:dyDescent="0.25">
      <c r="A154" s="374">
        <v>32901</v>
      </c>
      <c r="B154" s="380" t="s">
        <v>484</v>
      </c>
      <c r="C154" s="369">
        <v>3800</v>
      </c>
      <c r="D154" s="370">
        <v>0</v>
      </c>
      <c r="E154" s="369">
        <v>3800</v>
      </c>
      <c r="F154" s="369">
        <f t="shared" si="311"/>
        <v>0</v>
      </c>
      <c r="G154" s="369">
        <f t="shared" si="311"/>
        <v>0</v>
      </c>
      <c r="H154" s="369">
        <f t="shared" si="311"/>
        <v>0</v>
      </c>
      <c r="I154" s="538"/>
      <c r="J154" s="369"/>
      <c r="K154" s="369">
        <v>3800</v>
      </c>
      <c r="L154" s="369"/>
      <c r="M154" s="538">
        <v>0</v>
      </c>
      <c r="N154" s="538">
        <v>0</v>
      </c>
      <c r="O154" s="369">
        <v>3800</v>
      </c>
    </row>
    <row r="155" spans="1:15" ht="25.5" x14ac:dyDescent="0.25">
      <c r="A155" s="362">
        <v>3300</v>
      </c>
      <c r="B155" s="363" t="s">
        <v>485</v>
      </c>
      <c r="C155" s="364">
        <f t="shared" ref="C155:E155" si="340">C156+C158+C160+C162+C164+C166</f>
        <v>882273.41999999993</v>
      </c>
      <c r="D155" s="364">
        <f t="shared" si="340"/>
        <v>0</v>
      </c>
      <c r="E155" s="364">
        <f t="shared" si="340"/>
        <v>882273.41999999993</v>
      </c>
      <c r="F155" s="364">
        <f>F156+F158+F160+F162+F164+F166</f>
        <v>443114.8</v>
      </c>
      <c r="G155" s="364">
        <f t="shared" ref="G155:J155" si="341">G156+G158+G160+G162+G164+G166</f>
        <v>382759.73</v>
      </c>
      <c r="H155" s="364">
        <f t="shared" si="341"/>
        <v>382759.73</v>
      </c>
      <c r="I155" s="364">
        <f t="shared" si="341"/>
        <v>285088</v>
      </c>
      <c r="J155" s="364">
        <f t="shared" si="341"/>
        <v>0</v>
      </c>
      <c r="K155" s="526"/>
    </row>
    <row r="156" spans="1:15" ht="25.5" x14ac:dyDescent="0.25">
      <c r="A156" s="362">
        <v>331</v>
      </c>
      <c r="B156" s="366" t="s">
        <v>486</v>
      </c>
      <c r="C156" s="364">
        <f t="shared" ref="C156" si="342">SUM(C157)</f>
        <v>343943.85</v>
      </c>
      <c r="D156" s="364">
        <f t="shared" ref="D156" si="343">SUM(D157)</f>
        <v>0</v>
      </c>
      <c r="E156" s="364">
        <f t="shared" ref="E156" si="344">SUM(E157)</f>
        <v>343943.85</v>
      </c>
      <c r="F156" s="364">
        <f>SUM(F157)</f>
        <v>194880</v>
      </c>
      <c r="G156" s="364">
        <f t="shared" ref="G156" si="345">SUM(G157)</f>
        <v>218079.72999999998</v>
      </c>
      <c r="H156" s="364">
        <f t="shared" ref="H156" si="346">SUM(H157)</f>
        <v>218079.72999999998</v>
      </c>
      <c r="I156" s="364">
        <f t="shared" ref="I156" si="347">SUM(I157)</f>
        <v>120408</v>
      </c>
      <c r="J156" s="364">
        <f t="shared" ref="J156" si="348">SUM(J157)</f>
        <v>0</v>
      </c>
      <c r="K156" s="526"/>
    </row>
    <row r="157" spans="1:15" ht="30" x14ac:dyDescent="0.25">
      <c r="A157" s="374">
        <v>33101</v>
      </c>
      <c r="B157" s="380" t="s">
        <v>486</v>
      </c>
      <c r="C157" s="369">
        <v>343943.85</v>
      </c>
      <c r="D157" s="370">
        <v>0</v>
      </c>
      <c r="E157" s="369">
        <v>343943.85</v>
      </c>
      <c r="F157" s="369">
        <f>[16]junio!$C$38+[16]junio!$C$40</f>
        <v>194880</v>
      </c>
      <c r="G157" s="369">
        <f t="shared" ref="F157:H168" si="349">H157</f>
        <v>218079.72999999998</v>
      </c>
      <c r="H157" s="369">
        <f>I157+8120+89551.73</f>
        <v>218079.72999999998</v>
      </c>
      <c r="I157" s="538">
        <f>[1]Sheet1!$M$496</f>
        <v>120408</v>
      </c>
      <c r="J157" s="369"/>
      <c r="K157" s="369">
        <v>343943.85</v>
      </c>
      <c r="L157" s="369">
        <v>343943.85</v>
      </c>
      <c r="M157" s="369">
        <v>49480</v>
      </c>
      <c r="N157" s="538">
        <v>32520</v>
      </c>
      <c r="O157" s="369">
        <v>294463.84999999998</v>
      </c>
    </row>
    <row r="158" spans="1:15" ht="25.5" x14ac:dyDescent="0.25">
      <c r="A158" s="362">
        <v>333</v>
      </c>
      <c r="B158" s="366" t="s">
        <v>487</v>
      </c>
      <c r="C158" s="364">
        <f t="shared" ref="C158" si="350">SUM(C159)</f>
        <v>17200</v>
      </c>
      <c r="D158" s="364">
        <f t="shared" ref="D158" si="351">SUM(D159)</f>
        <v>0</v>
      </c>
      <c r="E158" s="364">
        <f t="shared" ref="E158" si="352">SUM(E159)</f>
        <v>17200</v>
      </c>
      <c r="F158" s="364">
        <f>SUM(F159)</f>
        <v>0</v>
      </c>
      <c r="G158" s="364">
        <f t="shared" ref="G158" si="353">SUM(G159)</f>
        <v>0</v>
      </c>
      <c r="H158" s="364">
        <f t="shared" ref="H158" si="354">SUM(H159)</f>
        <v>0</v>
      </c>
      <c r="I158" s="364">
        <f t="shared" ref="I158" si="355">SUM(I159)</f>
        <v>0</v>
      </c>
      <c r="J158" s="364">
        <f t="shared" ref="J158" si="356">SUM(J159)</f>
        <v>0</v>
      </c>
      <c r="K158" s="526"/>
    </row>
    <row r="159" spans="1:15" x14ac:dyDescent="0.25">
      <c r="A159" s="374">
        <v>33301</v>
      </c>
      <c r="B159" s="380" t="s">
        <v>488</v>
      </c>
      <c r="C159" s="369">
        <v>17200</v>
      </c>
      <c r="D159" s="370">
        <v>0</v>
      </c>
      <c r="E159" s="369">
        <v>17200</v>
      </c>
      <c r="F159" s="369">
        <f t="shared" si="349"/>
        <v>0</v>
      </c>
      <c r="G159" s="369">
        <f t="shared" si="349"/>
        <v>0</v>
      </c>
      <c r="H159" s="369">
        <f t="shared" si="349"/>
        <v>0</v>
      </c>
      <c r="I159" s="538"/>
      <c r="J159" s="369"/>
      <c r="K159" s="369">
        <v>17200</v>
      </c>
      <c r="L159" s="369"/>
      <c r="M159" s="538">
        <v>0</v>
      </c>
      <c r="N159" s="538">
        <v>0</v>
      </c>
      <c r="O159" s="369">
        <v>17200</v>
      </c>
    </row>
    <row r="160" spans="1:15" x14ac:dyDescent="0.25">
      <c r="A160" s="362">
        <v>334</v>
      </c>
      <c r="B160" s="366" t="s">
        <v>489</v>
      </c>
      <c r="C160" s="364">
        <f t="shared" ref="C160" si="357">SUM(C161)</f>
        <v>130679.57</v>
      </c>
      <c r="D160" s="364">
        <f t="shared" ref="D160" si="358">SUM(D161)</f>
        <v>0</v>
      </c>
      <c r="E160" s="364">
        <f t="shared" ref="E160" si="359">SUM(E161)</f>
        <v>130679.57</v>
      </c>
      <c r="F160" s="364">
        <f>SUM(F161)</f>
        <v>10400</v>
      </c>
      <c r="G160" s="364">
        <f t="shared" ref="G160" si="360">SUM(G161)</f>
        <v>10400</v>
      </c>
      <c r="H160" s="364">
        <f t="shared" ref="H160" si="361">SUM(H161)</f>
        <v>10400</v>
      </c>
      <c r="I160" s="364">
        <f t="shared" ref="I160" si="362">SUM(I161)</f>
        <v>10400</v>
      </c>
      <c r="J160" s="364">
        <f t="shared" ref="J160" si="363">SUM(J161)</f>
        <v>0</v>
      </c>
      <c r="K160" s="526"/>
    </row>
    <row r="161" spans="1:15" x14ac:dyDescent="0.25">
      <c r="A161" s="374">
        <v>33401</v>
      </c>
      <c r="B161" s="380" t="s">
        <v>489</v>
      </c>
      <c r="C161" s="369">
        <v>130679.57</v>
      </c>
      <c r="D161" s="370">
        <v>0</v>
      </c>
      <c r="E161" s="369">
        <v>130679.57</v>
      </c>
      <c r="F161" s="369">
        <f t="shared" si="349"/>
        <v>10400</v>
      </c>
      <c r="G161" s="369">
        <f t="shared" si="349"/>
        <v>10400</v>
      </c>
      <c r="H161" s="369">
        <f t="shared" si="349"/>
        <v>10400</v>
      </c>
      <c r="I161" s="538">
        <f>[1]Sheet1!$M$498</f>
        <v>10400</v>
      </c>
      <c r="J161" s="369"/>
      <c r="K161" s="369">
        <v>130679.57</v>
      </c>
      <c r="L161" s="369">
        <v>5000</v>
      </c>
      <c r="M161" s="538">
        <v>5000</v>
      </c>
      <c r="N161" s="538">
        <v>5000</v>
      </c>
      <c r="O161" s="369">
        <v>125679.57</v>
      </c>
    </row>
    <row r="162" spans="1:15" ht="25.5" x14ac:dyDescent="0.25">
      <c r="A162" s="362">
        <v>336</v>
      </c>
      <c r="B162" s="366" t="s">
        <v>490</v>
      </c>
      <c r="C162" s="364">
        <f t="shared" ref="C162" si="364">SUM(C163)</f>
        <v>7450</v>
      </c>
      <c r="D162" s="364">
        <f t="shared" ref="D162" si="365">SUM(D163)</f>
        <v>0</v>
      </c>
      <c r="E162" s="364">
        <f t="shared" ref="E162" si="366">SUM(E163)</f>
        <v>7450</v>
      </c>
      <c r="F162" s="364">
        <f>SUM(F163)</f>
        <v>1334</v>
      </c>
      <c r="G162" s="364">
        <f t="shared" ref="G162" si="367">SUM(G163)</f>
        <v>1334</v>
      </c>
      <c r="H162" s="364">
        <f t="shared" ref="H162" si="368">SUM(H163)</f>
        <v>1334</v>
      </c>
      <c r="I162" s="364">
        <f t="shared" ref="I162" si="369">SUM(I163)</f>
        <v>1334</v>
      </c>
      <c r="J162" s="364">
        <f t="shared" ref="J162" si="370">SUM(J163)</f>
        <v>0</v>
      </c>
      <c r="K162" s="526"/>
    </row>
    <row r="163" spans="1:15" x14ac:dyDescent="0.25">
      <c r="A163" s="374">
        <v>33603</v>
      </c>
      <c r="B163" s="380" t="s">
        <v>491</v>
      </c>
      <c r="C163" s="369">
        <v>7450</v>
      </c>
      <c r="D163" s="370">
        <v>0</v>
      </c>
      <c r="E163" s="369">
        <v>7450</v>
      </c>
      <c r="F163" s="369">
        <f t="shared" si="349"/>
        <v>1334</v>
      </c>
      <c r="G163" s="369">
        <f t="shared" si="349"/>
        <v>1334</v>
      </c>
      <c r="H163" s="369">
        <f t="shared" si="349"/>
        <v>1334</v>
      </c>
      <c r="I163" s="538">
        <f>[1]Sheet1!$M$500</f>
        <v>1334</v>
      </c>
      <c r="J163" s="369"/>
      <c r="K163" s="369">
        <v>7450</v>
      </c>
      <c r="L163" s="369">
        <v>1334</v>
      </c>
      <c r="M163" s="538">
        <v>1334</v>
      </c>
      <c r="N163" s="538">
        <v>1334</v>
      </c>
      <c r="O163" s="369">
        <v>6116</v>
      </c>
    </row>
    <row r="164" spans="1:15" x14ac:dyDescent="0.25">
      <c r="A164" s="362">
        <v>338</v>
      </c>
      <c r="B164" s="366" t="s">
        <v>492</v>
      </c>
      <c r="C164" s="364">
        <f t="shared" ref="C164" si="371">SUM(C165)</f>
        <v>354000</v>
      </c>
      <c r="D164" s="364">
        <f t="shared" ref="D164" si="372">SUM(D165)</f>
        <v>0</v>
      </c>
      <c r="E164" s="364">
        <f t="shared" ref="E164" si="373">SUM(E165)</f>
        <v>354000</v>
      </c>
      <c r="F164" s="364">
        <f>SUM(F165)</f>
        <v>201700.8</v>
      </c>
      <c r="G164" s="364">
        <f t="shared" ref="G164" si="374">SUM(G165)</f>
        <v>118146</v>
      </c>
      <c r="H164" s="364">
        <f t="shared" ref="H164" si="375">SUM(H165)</f>
        <v>118146</v>
      </c>
      <c r="I164" s="364">
        <f t="shared" ref="I164" si="376">SUM(I165)</f>
        <v>118146</v>
      </c>
      <c r="J164" s="364">
        <f t="shared" ref="J164" si="377">SUM(J165)</f>
        <v>0</v>
      </c>
      <c r="K164" s="526"/>
    </row>
    <row r="165" spans="1:15" x14ac:dyDescent="0.25">
      <c r="A165" s="374">
        <v>33801</v>
      </c>
      <c r="B165" s="380" t="s">
        <v>492</v>
      </c>
      <c r="C165" s="369">
        <v>354000</v>
      </c>
      <c r="D165" s="370">
        <v>0</v>
      </c>
      <c r="E165" s="369">
        <v>354000</v>
      </c>
      <c r="F165" s="369">
        <v>201700.8</v>
      </c>
      <c r="G165" s="369">
        <f t="shared" si="349"/>
        <v>118146</v>
      </c>
      <c r="H165" s="369">
        <f t="shared" si="349"/>
        <v>118146</v>
      </c>
      <c r="I165" s="538">
        <f>[1]Sheet1!$M$502</f>
        <v>118146</v>
      </c>
      <c r="J165" s="369"/>
      <c r="K165" s="369">
        <v>354000</v>
      </c>
      <c r="L165" s="369">
        <v>354000</v>
      </c>
      <c r="M165" s="369">
        <v>57976.800000000003</v>
      </c>
      <c r="N165" s="538">
        <v>57976.800000000003</v>
      </c>
      <c r="O165" s="369">
        <v>296023.2</v>
      </c>
    </row>
    <row r="166" spans="1:15" ht="25.5" x14ac:dyDescent="0.25">
      <c r="A166" s="362">
        <v>339</v>
      </c>
      <c r="B166" s="366" t="s">
        <v>493</v>
      </c>
      <c r="C166" s="364">
        <f>SUM(C167:C168)</f>
        <v>29000</v>
      </c>
      <c r="D166" s="364">
        <f t="shared" ref="D166:J166" si="378">SUM(D167:D168)</f>
        <v>0</v>
      </c>
      <c r="E166" s="364">
        <f t="shared" si="378"/>
        <v>29000</v>
      </c>
      <c r="F166" s="364">
        <f t="shared" si="378"/>
        <v>34800</v>
      </c>
      <c r="G166" s="364">
        <f t="shared" si="378"/>
        <v>34800</v>
      </c>
      <c r="H166" s="364">
        <f t="shared" si="378"/>
        <v>34800</v>
      </c>
      <c r="I166" s="364">
        <f t="shared" si="378"/>
        <v>34800</v>
      </c>
      <c r="J166" s="364">
        <f t="shared" si="378"/>
        <v>0</v>
      </c>
      <c r="K166" s="526"/>
    </row>
    <row r="167" spans="1:15" ht="30" x14ac:dyDescent="0.25">
      <c r="A167" s="382">
        <v>33901</v>
      </c>
      <c r="B167" s="383" t="s">
        <v>494</v>
      </c>
      <c r="C167" s="384">
        <v>0</v>
      </c>
      <c r="D167" s="370">
        <v>0</v>
      </c>
      <c r="E167" s="384">
        <v>0</v>
      </c>
      <c r="F167" s="369">
        <f t="shared" si="349"/>
        <v>34800</v>
      </c>
      <c r="G167" s="369">
        <f t="shared" si="349"/>
        <v>34800</v>
      </c>
      <c r="H167" s="369">
        <f t="shared" si="349"/>
        <v>34800</v>
      </c>
      <c r="I167" s="538">
        <f>[1]Sheet1!$M$504</f>
        <v>34800</v>
      </c>
      <c r="J167" s="369"/>
      <c r="K167" s="384">
        <v>0</v>
      </c>
      <c r="L167" s="384">
        <v>9280</v>
      </c>
      <c r="M167" s="538">
        <v>9280</v>
      </c>
      <c r="N167" s="538">
        <v>9280</v>
      </c>
      <c r="O167" s="369">
        <v>-9280</v>
      </c>
    </row>
    <row r="168" spans="1:15" x14ac:dyDescent="0.25">
      <c r="A168" s="374">
        <v>33902</v>
      </c>
      <c r="B168" s="380" t="s">
        <v>495</v>
      </c>
      <c r="C168" s="369">
        <v>29000</v>
      </c>
      <c r="D168" s="370">
        <v>0</v>
      </c>
      <c r="E168" s="369">
        <v>29000</v>
      </c>
      <c r="F168" s="369">
        <f t="shared" si="349"/>
        <v>0</v>
      </c>
      <c r="G168" s="369">
        <f t="shared" si="349"/>
        <v>0</v>
      </c>
      <c r="H168" s="369">
        <f t="shared" si="349"/>
        <v>0</v>
      </c>
      <c r="I168" s="538"/>
      <c r="J168" s="369"/>
      <c r="K168" s="369">
        <v>29000</v>
      </c>
      <c r="L168" s="369"/>
      <c r="M168" s="538">
        <v>0</v>
      </c>
      <c r="N168" s="538">
        <v>0</v>
      </c>
      <c r="O168" s="369">
        <v>29000</v>
      </c>
    </row>
    <row r="169" spans="1:15" x14ac:dyDescent="0.25">
      <c r="A169" s="362">
        <v>3400</v>
      </c>
      <c r="B169" s="363" t="s">
        <v>496</v>
      </c>
      <c r="C169" s="364">
        <f t="shared" ref="C169:E169" si="379">C170+C172+C174</f>
        <v>433966.13</v>
      </c>
      <c r="D169" s="364">
        <f t="shared" si="379"/>
        <v>0</v>
      </c>
      <c r="E169" s="364">
        <f t="shared" si="379"/>
        <v>433966.13</v>
      </c>
      <c r="F169" s="364">
        <f>F170+F172+F174</f>
        <v>230996.24</v>
      </c>
      <c r="G169" s="364">
        <f t="shared" ref="G169:J169" si="380">G170+G172+G174</f>
        <v>29908.240000000002</v>
      </c>
      <c r="H169" s="364">
        <f t="shared" si="380"/>
        <v>29908.240000000002</v>
      </c>
      <c r="I169" s="364">
        <f t="shared" si="380"/>
        <v>29908.240000000002</v>
      </c>
      <c r="J169" s="364">
        <f t="shared" si="380"/>
        <v>0</v>
      </c>
      <c r="K169" s="526"/>
    </row>
    <row r="170" spans="1:15" x14ac:dyDescent="0.25">
      <c r="A170" s="362">
        <v>341</v>
      </c>
      <c r="B170" s="366" t="s">
        <v>497</v>
      </c>
      <c r="C170" s="364">
        <f t="shared" ref="C170" si="381">SUM(C171)</f>
        <v>81000</v>
      </c>
      <c r="D170" s="364">
        <f t="shared" ref="D170" si="382">SUM(D171)</f>
        <v>0</v>
      </c>
      <c r="E170" s="364">
        <f t="shared" ref="E170" si="383">SUM(E171)</f>
        <v>81000</v>
      </c>
      <c r="F170" s="364">
        <f>SUM(F171)</f>
        <v>29858.240000000002</v>
      </c>
      <c r="G170" s="364">
        <f t="shared" ref="G170" si="384">SUM(G171)</f>
        <v>29858.240000000002</v>
      </c>
      <c r="H170" s="364">
        <f t="shared" ref="H170" si="385">SUM(H171)</f>
        <v>29858.240000000002</v>
      </c>
      <c r="I170" s="364">
        <f t="shared" ref="I170" si="386">SUM(I171)</f>
        <v>29858.240000000002</v>
      </c>
      <c r="J170" s="364">
        <f t="shared" ref="J170" si="387">SUM(J171)</f>
        <v>0</v>
      </c>
      <c r="K170" s="526"/>
    </row>
    <row r="171" spans="1:15" x14ac:dyDescent="0.25">
      <c r="A171" s="374">
        <v>34101</v>
      </c>
      <c r="B171" s="380" t="s">
        <v>497</v>
      </c>
      <c r="C171" s="369">
        <v>81000</v>
      </c>
      <c r="D171" s="370">
        <v>0</v>
      </c>
      <c r="E171" s="369">
        <v>81000</v>
      </c>
      <c r="F171" s="369">
        <f t="shared" ref="F171:H175" si="388">G171</f>
        <v>29858.240000000002</v>
      </c>
      <c r="G171" s="369">
        <f t="shared" si="388"/>
        <v>29858.240000000002</v>
      </c>
      <c r="H171" s="369">
        <f t="shared" si="388"/>
        <v>29858.240000000002</v>
      </c>
      <c r="I171" s="538">
        <f>[1]Sheet1!$M$507</f>
        <v>29858.240000000002</v>
      </c>
      <c r="J171" s="369"/>
      <c r="K171" s="369">
        <v>81000</v>
      </c>
      <c r="L171" s="369">
        <v>21137.119999999999</v>
      </c>
      <c r="M171" s="538">
        <v>21137.119999999999</v>
      </c>
      <c r="N171" s="538">
        <v>21137.119999999999</v>
      </c>
      <c r="O171" s="369">
        <v>59862.880000000005</v>
      </c>
    </row>
    <row r="172" spans="1:15" x14ac:dyDescent="0.25">
      <c r="A172" s="362">
        <v>345</v>
      </c>
      <c r="B172" s="366" t="s">
        <v>498</v>
      </c>
      <c r="C172" s="364">
        <f t="shared" ref="C172" si="389">SUM(C173)</f>
        <v>340000</v>
      </c>
      <c r="D172" s="364">
        <f t="shared" ref="D172" si="390">SUM(D173)</f>
        <v>0</v>
      </c>
      <c r="E172" s="364">
        <f t="shared" ref="E172" si="391">SUM(E173)</f>
        <v>340000</v>
      </c>
      <c r="F172" s="364">
        <f>SUM(F173)</f>
        <v>201088</v>
      </c>
      <c r="G172" s="364">
        <f t="shared" ref="G172" si="392">SUM(G173)</f>
        <v>0</v>
      </c>
      <c r="H172" s="364">
        <f t="shared" ref="H172" si="393">SUM(H173)</f>
        <v>0</v>
      </c>
      <c r="I172" s="364">
        <f t="shared" ref="I172" si="394">SUM(I173)</f>
        <v>0</v>
      </c>
      <c r="J172" s="364">
        <f t="shared" ref="J172" si="395">SUM(J173)</f>
        <v>0</v>
      </c>
      <c r="K172" s="526"/>
    </row>
    <row r="173" spans="1:15" x14ac:dyDescent="0.25">
      <c r="A173" s="374">
        <v>34501</v>
      </c>
      <c r="B173" s="380" t="s">
        <v>498</v>
      </c>
      <c r="C173" s="369">
        <v>340000</v>
      </c>
      <c r="D173" s="370">
        <v>0</v>
      </c>
      <c r="E173" s="369">
        <v>340000</v>
      </c>
      <c r="F173" s="369">
        <f>[16]junio!$C$41+[16]junio!$C$42</f>
        <v>201088</v>
      </c>
      <c r="G173" s="369">
        <f t="shared" si="388"/>
        <v>0</v>
      </c>
      <c r="H173" s="369">
        <f t="shared" si="388"/>
        <v>0</v>
      </c>
      <c r="I173" s="538"/>
      <c r="J173" s="369"/>
      <c r="K173" s="369">
        <v>340000</v>
      </c>
      <c r="L173" s="369"/>
      <c r="M173" s="538">
        <v>0</v>
      </c>
      <c r="N173" s="538">
        <v>0</v>
      </c>
      <c r="O173" s="369">
        <v>340000</v>
      </c>
    </row>
    <row r="174" spans="1:15" x14ac:dyDescent="0.25">
      <c r="A174" s="362">
        <v>347</v>
      </c>
      <c r="B174" s="366" t="s">
        <v>499</v>
      </c>
      <c r="C174" s="364">
        <f t="shared" ref="C174" si="396">SUM(C175)</f>
        <v>12966.13</v>
      </c>
      <c r="D174" s="364">
        <f t="shared" ref="D174" si="397">SUM(D175)</f>
        <v>0</v>
      </c>
      <c r="E174" s="364">
        <f t="shared" ref="E174" si="398">SUM(E175)</f>
        <v>12966.13</v>
      </c>
      <c r="F174" s="364">
        <f>SUM(F175)</f>
        <v>50</v>
      </c>
      <c r="G174" s="364">
        <f t="shared" ref="G174" si="399">SUM(G175)</f>
        <v>50</v>
      </c>
      <c r="H174" s="364">
        <f t="shared" ref="H174" si="400">SUM(H175)</f>
        <v>50</v>
      </c>
      <c r="I174" s="364">
        <f t="shared" ref="I174" si="401">SUM(I175)</f>
        <v>50</v>
      </c>
      <c r="J174" s="364">
        <f t="shared" ref="J174" si="402">SUM(J175)</f>
        <v>0</v>
      </c>
      <c r="K174" s="526"/>
    </row>
    <row r="175" spans="1:15" x14ac:dyDescent="0.25">
      <c r="A175" s="374">
        <v>34701</v>
      </c>
      <c r="B175" s="380" t="s">
        <v>499</v>
      </c>
      <c r="C175" s="369">
        <v>12966.13</v>
      </c>
      <c r="D175" s="370">
        <v>0</v>
      </c>
      <c r="E175" s="369">
        <v>12966.13</v>
      </c>
      <c r="F175" s="369">
        <f t="shared" si="388"/>
        <v>50</v>
      </c>
      <c r="G175" s="369">
        <f t="shared" si="388"/>
        <v>50</v>
      </c>
      <c r="H175" s="369">
        <f t="shared" si="388"/>
        <v>50</v>
      </c>
      <c r="I175" s="538">
        <f>[1]Sheet1!$M$509</f>
        <v>50</v>
      </c>
      <c r="J175" s="369"/>
      <c r="K175" s="369">
        <v>12966.13</v>
      </c>
      <c r="L175" s="369">
        <v>50</v>
      </c>
      <c r="M175" s="538">
        <v>50</v>
      </c>
      <c r="N175" s="538">
        <v>50</v>
      </c>
      <c r="O175" s="369">
        <v>12916.13</v>
      </c>
    </row>
    <row r="176" spans="1:15" ht="25.5" x14ac:dyDescent="0.25">
      <c r="A176" s="362">
        <v>3500</v>
      </c>
      <c r="B176" s="363" t="s">
        <v>500</v>
      </c>
      <c r="C176" s="364">
        <f t="shared" ref="C176:E176" si="403">C177+C181+C184+C187+C189+C191</f>
        <v>267197.24</v>
      </c>
      <c r="D176" s="364">
        <f t="shared" si="403"/>
        <v>0</v>
      </c>
      <c r="E176" s="364">
        <f t="shared" si="403"/>
        <v>267197.24</v>
      </c>
      <c r="F176" s="364">
        <f>F177+F181+F184+F187+F189+F191</f>
        <v>52395.34</v>
      </c>
      <c r="G176" s="364">
        <f t="shared" ref="G176:J176" si="404">G177+G181+G184+G187+G189+G191</f>
        <v>52395.34</v>
      </c>
      <c r="H176" s="364">
        <f t="shared" si="404"/>
        <v>52395.34</v>
      </c>
      <c r="I176" s="364">
        <f t="shared" si="404"/>
        <v>51768.94</v>
      </c>
      <c r="J176" s="364">
        <f t="shared" si="404"/>
        <v>0</v>
      </c>
      <c r="K176" s="526"/>
    </row>
    <row r="177" spans="1:15" ht="25.5" x14ac:dyDescent="0.25">
      <c r="A177" s="362">
        <v>351</v>
      </c>
      <c r="B177" s="366" t="s">
        <v>501</v>
      </c>
      <c r="C177" s="364">
        <f t="shared" ref="C177:E177" si="405">SUM(C178:C180)</f>
        <v>89452.69</v>
      </c>
      <c r="D177" s="364">
        <f t="shared" si="405"/>
        <v>0</v>
      </c>
      <c r="E177" s="364">
        <f t="shared" si="405"/>
        <v>89452.69</v>
      </c>
      <c r="F177" s="364">
        <f>SUM(F178:F180)</f>
        <v>16853.599999999999</v>
      </c>
      <c r="G177" s="364">
        <f t="shared" ref="G177:J177" si="406">SUM(G178:G180)</f>
        <v>16853.599999999999</v>
      </c>
      <c r="H177" s="364">
        <f t="shared" si="406"/>
        <v>16853.599999999999</v>
      </c>
      <c r="I177" s="364">
        <f t="shared" si="406"/>
        <v>16853.599999999999</v>
      </c>
      <c r="J177" s="364">
        <f t="shared" si="406"/>
        <v>0</v>
      </c>
      <c r="K177" s="526"/>
    </row>
    <row r="178" spans="1:15" ht="30" x14ac:dyDescent="0.25">
      <c r="A178" s="374">
        <v>35101</v>
      </c>
      <c r="B178" s="380" t="s">
        <v>502</v>
      </c>
      <c r="C178" s="369">
        <v>62552.69</v>
      </c>
      <c r="D178" s="370">
        <v>0</v>
      </c>
      <c r="E178" s="369">
        <v>62552.69</v>
      </c>
      <c r="F178" s="369">
        <f t="shared" ref="F178:H192" si="407">G178</f>
        <v>9156</v>
      </c>
      <c r="G178" s="369">
        <f t="shared" si="407"/>
        <v>9156</v>
      </c>
      <c r="H178" s="369">
        <f t="shared" si="407"/>
        <v>9156</v>
      </c>
      <c r="I178" s="538">
        <f>[1]Sheet1!$M$512</f>
        <v>9156</v>
      </c>
      <c r="J178" s="369"/>
      <c r="K178" s="369">
        <v>62552.69</v>
      </c>
      <c r="L178" s="369">
        <v>5476</v>
      </c>
      <c r="M178" s="538">
        <v>5476</v>
      </c>
      <c r="N178" s="538">
        <v>5476</v>
      </c>
      <c r="O178" s="369">
        <v>57076.69</v>
      </c>
    </row>
    <row r="179" spans="1:15" ht="30" x14ac:dyDescent="0.25">
      <c r="A179" s="374">
        <v>35102</v>
      </c>
      <c r="B179" s="380" t="s">
        <v>503</v>
      </c>
      <c r="C179" s="369">
        <v>1900</v>
      </c>
      <c r="D179" s="370">
        <v>0</v>
      </c>
      <c r="E179" s="369">
        <v>1900</v>
      </c>
      <c r="F179" s="369">
        <f t="shared" si="407"/>
        <v>320</v>
      </c>
      <c r="G179" s="369">
        <f t="shared" si="407"/>
        <v>320</v>
      </c>
      <c r="H179" s="369">
        <f t="shared" si="407"/>
        <v>320</v>
      </c>
      <c r="I179" s="538">
        <f>[1]Sheet1!$M$513</f>
        <v>320</v>
      </c>
      <c r="J179" s="369"/>
      <c r="K179" s="369">
        <v>1900</v>
      </c>
      <c r="L179" s="369"/>
      <c r="M179" s="538">
        <v>0</v>
      </c>
      <c r="N179" s="538">
        <v>0</v>
      </c>
      <c r="O179" s="369">
        <v>1900</v>
      </c>
    </row>
    <row r="180" spans="1:15" ht="30" x14ac:dyDescent="0.25">
      <c r="A180" s="382">
        <v>35103</v>
      </c>
      <c r="B180" s="383" t="s">
        <v>504</v>
      </c>
      <c r="C180" s="369">
        <v>25000</v>
      </c>
      <c r="D180" s="370">
        <v>0</v>
      </c>
      <c r="E180" s="369">
        <v>25000</v>
      </c>
      <c r="F180" s="369">
        <f t="shared" si="407"/>
        <v>7377.6</v>
      </c>
      <c r="G180" s="369">
        <f t="shared" si="407"/>
        <v>7377.6</v>
      </c>
      <c r="H180" s="369">
        <f t="shared" si="407"/>
        <v>7377.6</v>
      </c>
      <c r="I180" s="538">
        <f>[1]Sheet1!$M$514</f>
        <v>7377.6</v>
      </c>
      <c r="J180" s="369"/>
      <c r="K180" s="369">
        <v>25000</v>
      </c>
      <c r="L180" s="369"/>
      <c r="M180" s="538">
        <v>0</v>
      </c>
      <c r="N180" s="538">
        <v>0</v>
      </c>
      <c r="O180" s="369">
        <v>25000</v>
      </c>
    </row>
    <row r="181" spans="1:15" ht="38.25" x14ac:dyDescent="0.25">
      <c r="A181" s="362">
        <v>352</v>
      </c>
      <c r="B181" s="366" t="s">
        <v>505</v>
      </c>
      <c r="C181" s="364">
        <f>SUM(C182:C183)</f>
        <v>36003.85</v>
      </c>
      <c r="D181" s="364">
        <f t="shared" ref="D181:J181" si="408">SUM(D182:D183)</f>
        <v>0</v>
      </c>
      <c r="E181" s="364">
        <f t="shared" si="408"/>
        <v>36003.85</v>
      </c>
      <c r="F181" s="364">
        <f t="shared" si="408"/>
        <v>3758.4</v>
      </c>
      <c r="G181" s="364">
        <f t="shared" si="408"/>
        <v>3758.4</v>
      </c>
      <c r="H181" s="364">
        <f t="shared" si="408"/>
        <v>3758.4</v>
      </c>
      <c r="I181" s="364">
        <f t="shared" si="408"/>
        <v>3132</v>
      </c>
      <c r="J181" s="364">
        <f t="shared" si="408"/>
        <v>0</v>
      </c>
      <c r="K181" s="526"/>
    </row>
    <row r="182" spans="1:15" ht="30" x14ac:dyDescent="0.25">
      <c r="A182" s="374">
        <v>35201</v>
      </c>
      <c r="B182" s="380" t="s">
        <v>506</v>
      </c>
      <c r="C182" s="369">
        <v>22412.45</v>
      </c>
      <c r="D182" s="370">
        <v>0</v>
      </c>
      <c r="E182" s="369">
        <v>22412.45</v>
      </c>
      <c r="F182" s="369">
        <f t="shared" si="407"/>
        <v>3758.4</v>
      </c>
      <c r="G182" s="369">
        <f t="shared" si="407"/>
        <v>3758.4</v>
      </c>
      <c r="H182" s="369">
        <f>I182+626.4</f>
        <v>3758.4</v>
      </c>
      <c r="I182" s="538">
        <f>[1]Sheet1!$M$516</f>
        <v>3132</v>
      </c>
      <c r="J182" s="369"/>
      <c r="K182" s="369">
        <v>22412.45</v>
      </c>
      <c r="L182" s="369">
        <v>1252.8</v>
      </c>
      <c r="M182" s="538">
        <v>1252.8</v>
      </c>
      <c r="N182" s="538">
        <v>0</v>
      </c>
      <c r="O182" s="369">
        <v>21159.65</v>
      </c>
    </row>
    <row r="183" spans="1:15" ht="45" x14ac:dyDescent="0.25">
      <c r="A183" s="374">
        <v>35202</v>
      </c>
      <c r="B183" s="380" t="s">
        <v>507</v>
      </c>
      <c r="C183" s="369">
        <v>13591.4</v>
      </c>
      <c r="D183" s="370">
        <v>0</v>
      </c>
      <c r="E183" s="369">
        <v>13591.4</v>
      </c>
      <c r="F183" s="369">
        <f t="shared" si="407"/>
        <v>0</v>
      </c>
      <c r="G183" s="369">
        <f t="shared" si="407"/>
        <v>0</v>
      </c>
      <c r="H183" s="369">
        <f t="shared" si="407"/>
        <v>0</v>
      </c>
      <c r="I183" s="538"/>
      <c r="J183" s="369"/>
      <c r="K183" s="369">
        <v>13591.4</v>
      </c>
      <c r="L183" s="369"/>
      <c r="M183" s="538">
        <v>0</v>
      </c>
      <c r="N183" s="538">
        <v>0</v>
      </c>
      <c r="O183" s="369">
        <v>13591.4</v>
      </c>
    </row>
    <row r="184" spans="1:15" ht="25.5" x14ac:dyDescent="0.25">
      <c r="A184" s="362">
        <v>353</v>
      </c>
      <c r="B184" s="366" t="s">
        <v>508</v>
      </c>
      <c r="C184" s="364">
        <f>SUM(C185:C186)</f>
        <v>23370</v>
      </c>
      <c r="D184" s="364">
        <f t="shared" ref="D184" si="409">SUM(D185:D186)</f>
        <v>0</v>
      </c>
      <c r="E184" s="364">
        <f t="shared" ref="E184" si="410">SUM(E185:E186)</f>
        <v>23370</v>
      </c>
      <c r="F184" s="364">
        <f t="shared" ref="F184" si="411">SUM(F185:F186)</f>
        <v>5960</v>
      </c>
      <c r="G184" s="364">
        <f t="shared" ref="G184" si="412">SUM(G185:G186)</f>
        <v>5960</v>
      </c>
      <c r="H184" s="364">
        <f t="shared" ref="H184" si="413">SUM(H185:H186)</f>
        <v>5960</v>
      </c>
      <c r="I184" s="364">
        <f t="shared" ref="I184" si="414">SUM(I185:I186)</f>
        <v>5960</v>
      </c>
      <c r="J184" s="364">
        <f t="shared" ref="J184" si="415">SUM(J185:J186)</f>
        <v>0</v>
      </c>
      <c r="K184" s="526"/>
    </row>
    <row r="185" spans="1:15" x14ac:dyDescent="0.25">
      <c r="A185" s="374">
        <v>35301</v>
      </c>
      <c r="B185" s="380" t="s">
        <v>509</v>
      </c>
      <c r="C185" s="369">
        <v>18370</v>
      </c>
      <c r="D185" s="370">
        <v>0</v>
      </c>
      <c r="E185" s="369">
        <v>18370</v>
      </c>
      <c r="F185" s="369">
        <f t="shared" si="407"/>
        <v>5960</v>
      </c>
      <c r="G185" s="369">
        <f t="shared" si="407"/>
        <v>5960</v>
      </c>
      <c r="H185" s="369">
        <f t="shared" si="407"/>
        <v>5960</v>
      </c>
      <c r="I185" s="538">
        <f>[1]Sheet1!$M$518</f>
        <v>5960</v>
      </c>
      <c r="J185" s="369"/>
      <c r="K185" s="369">
        <v>18370</v>
      </c>
      <c r="L185" s="369">
        <v>5960</v>
      </c>
      <c r="M185" s="538">
        <v>5960</v>
      </c>
      <c r="N185" s="538">
        <v>5960</v>
      </c>
      <c r="O185" s="369">
        <v>12410</v>
      </c>
    </row>
    <row r="186" spans="1:15" ht="30" x14ac:dyDescent="0.25">
      <c r="A186" s="374">
        <v>35302</v>
      </c>
      <c r="B186" s="380" t="s">
        <v>510</v>
      </c>
      <c r="C186" s="369">
        <v>5000</v>
      </c>
      <c r="D186" s="370">
        <v>0</v>
      </c>
      <c r="E186" s="369">
        <v>5000</v>
      </c>
      <c r="F186" s="369">
        <f t="shared" si="407"/>
        <v>0</v>
      </c>
      <c r="G186" s="369">
        <f t="shared" si="407"/>
        <v>0</v>
      </c>
      <c r="H186" s="369">
        <f t="shared" si="407"/>
        <v>0</v>
      </c>
      <c r="I186" s="538"/>
      <c r="J186" s="369"/>
      <c r="K186" s="369">
        <v>5000</v>
      </c>
      <c r="L186" s="369"/>
      <c r="M186" s="538">
        <v>0</v>
      </c>
      <c r="N186" s="538">
        <v>0</v>
      </c>
      <c r="O186" s="369">
        <v>5000</v>
      </c>
    </row>
    <row r="187" spans="1:15" ht="25.5" x14ac:dyDescent="0.25">
      <c r="A187" s="362">
        <v>355</v>
      </c>
      <c r="B187" s="366" t="s">
        <v>511</v>
      </c>
      <c r="C187" s="364">
        <f t="shared" ref="C187" si="416">SUM(C188)</f>
        <v>49800</v>
      </c>
      <c r="D187" s="364">
        <f t="shared" ref="D187" si="417">SUM(D188)</f>
        <v>0</v>
      </c>
      <c r="E187" s="364">
        <f t="shared" ref="E187" si="418">SUM(E188)</f>
        <v>49800</v>
      </c>
      <c r="F187" s="364">
        <f>SUM(F188)</f>
        <v>11098.98</v>
      </c>
      <c r="G187" s="364">
        <f t="shared" ref="G187" si="419">SUM(G188)</f>
        <v>11098.98</v>
      </c>
      <c r="H187" s="364">
        <f t="shared" ref="H187" si="420">SUM(H188)</f>
        <v>11098.98</v>
      </c>
      <c r="I187" s="364">
        <f t="shared" ref="I187" si="421">SUM(I188)</f>
        <v>11098.98</v>
      </c>
      <c r="J187" s="364">
        <f t="shared" ref="J187" si="422">SUM(J188)</f>
        <v>0</v>
      </c>
      <c r="K187" s="526"/>
    </row>
    <row r="188" spans="1:15" x14ac:dyDescent="0.25">
      <c r="A188" s="374">
        <v>35501</v>
      </c>
      <c r="B188" s="380" t="s">
        <v>512</v>
      </c>
      <c r="C188" s="369">
        <v>49800</v>
      </c>
      <c r="D188" s="370">
        <v>0</v>
      </c>
      <c r="E188" s="369">
        <v>49800</v>
      </c>
      <c r="F188" s="369">
        <f t="shared" si="407"/>
        <v>11098.98</v>
      </c>
      <c r="G188" s="369">
        <f t="shared" si="407"/>
        <v>11098.98</v>
      </c>
      <c r="H188" s="369">
        <f t="shared" si="407"/>
        <v>11098.98</v>
      </c>
      <c r="I188" s="538">
        <f>[1]Sheet1!$M$520</f>
        <v>11098.98</v>
      </c>
      <c r="J188" s="369"/>
      <c r="K188" s="369">
        <v>49800</v>
      </c>
      <c r="L188" s="369">
        <v>2480</v>
      </c>
      <c r="M188" s="538">
        <v>2480</v>
      </c>
      <c r="N188" s="538">
        <v>2480</v>
      </c>
      <c r="O188" s="369">
        <v>47320</v>
      </c>
    </row>
    <row r="189" spans="1:15" ht="25.5" x14ac:dyDescent="0.25">
      <c r="A189" s="362">
        <v>357</v>
      </c>
      <c r="B189" s="366" t="s">
        <v>513</v>
      </c>
      <c r="C189" s="364">
        <f t="shared" ref="C189" si="423">SUM(C190)</f>
        <v>44575</v>
      </c>
      <c r="D189" s="364">
        <f t="shared" ref="D189" si="424">SUM(D190)</f>
        <v>0</v>
      </c>
      <c r="E189" s="364">
        <f t="shared" ref="E189" si="425">SUM(E190)</f>
        <v>44575</v>
      </c>
      <c r="F189" s="364">
        <f>SUM(F190)</f>
        <v>3591.36</v>
      </c>
      <c r="G189" s="364">
        <f t="shared" ref="G189" si="426">SUM(G190)</f>
        <v>3591.36</v>
      </c>
      <c r="H189" s="364">
        <f t="shared" ref="H189" si="427">SUM(H190)</f>
        <v>3591.36</v>
      </c>
      <c r="I189" s="364">
        <f t="shared" ref="I189" si="428">SUM(I190)</f>
        <v>3591.36</v>
      </c>
      <c r="J189" s="364">
        <f t="shared" ref="J189" si="429">SUM(J190)</f>
        <v>0</v>
      </c>
      <c r="K189" s="526"/>
    </row>
    <row r="190" spans="1:15" ht="30" x14ac:dyDescent="0.25">
      <c r="A190" s="374">
        <v>35701</v>
      </c>
      <c r="B190" s="380" t="s">
        <v>514</v>
      </c>
      <c r="C190" s="369">
        <v>44575</v>
      </c>
      <c r="D190" s="370">
        <v>0</v>
      </c>
      <c r="E190" s="369">
        <v>44575</v>
      </c>
      <c r="F190" s="369">
        <f t="shared" si="407"/>
        <v>3591.36</v>
      </c>
      <c r="G190" s="369">
        <f t="shared" si="407"/>
        <v>3591.36</v>
      </c>
      <c r="H190" s="369">
        <f t="shared" si="407"/>
        <v>3591.36</v>
      </c>
      <c r="I190" s="538">
        <f>[1]Sheet1!$M$522</f>
        <v>3591.36</v>
      </c>
      <c r="J190" s="369"/>
      <c r="K190" s="369">
        <v>44575</v>
      </c>
      <c r="L190" s="369">
        <v>3591.36</v>
      </c>
      <c r="M190" s="538">
        <v>3591.36</v>
      </c>
      <c r="N190" s="538">
        <v>3591.36</v>
      </c>
      <c r="O190" s="369">
        <v>40983.64</v>
      </c>
    </row>
    <row r="191" spans="1:15" x14ac:dyDescent="0.25">
      <c r="A191" s="362">
        <v>358</v>
      </c>
      <c r="B191" s="366" t="s">
        <v>515</v>
      </c>
      <c r="C191" s="364">
        <f t="shared" ref="C191" si="430">SUM(C192)</f>
        <v>23995.7</v>
      </c>
      <c r="D191" s="364">
        <f t="shared" ref="D191" si="431">SUM(D192)</f>
        <v>0</v>
      </c>
      <c r="E191" s="364">
        <f t="shared" ref="E191" si="432">SUM(E192)</f>
        <v>23995.7</v>
      </c>
      <c r="F191" s="364">
        <f>SUM(F192)</f>
        <v>11133</v>
      </c>
      <c r="G191" s="364">
        <f t="shared" ref="G191" si="433">SUM(G192)</f>
        <v>11133</v>
      </c>
      <c r="H191" s="364">
        <f t="shared" ref="H191" si="434">SUM(H192)</f>
        <v>11133</v>
      </c>
      <c r="I191" s="364">
        <f t="shared" ref="I191" si="435">SUM(I192)</f>
        <v>11133</v>
      </c>
      <c r="J191" s="364">
        <f t="shared" ref="J191" si="436">SUM(J192)</f>
        <v>0</v>
      </c>
      <c r="K191" s="526"/>
    </row>
    <row r="192" spans="1:15" x14ac:dyDescent="0.25">
      <c r="A192" s="374">
        <v>35801</v>
      </c>
      <c r="B192" s="380" t="s">
        <v>515</v>
      </c>
      <c r="C192" s="369">
        <v>23995.7</v>
      </c>
      <c r="D192" s="370">
        <v>0</v>
      </c>
      <c r="E192" s="369">
        <v>23995.7</v>
      </c>
      <c r="F192" s="369">
        <f t="shared" si="407"/>
        <v>11133</v>
      </c>
      <c r="G192" s="369">
        <f t="shared" si="407"/>
        <v>11133</v>
      </c>
      <c r="H192" s="369">
        <f t="shared" si="407"/>
        <v>11133</v>
      </c>
      <c r="I192" s="538">
        <f>[1]Sheet1!$M$524</f>
        <v>11133</v>
      </c>
      <c r="J192" s="369"/>
      <c r="K192" s="369">
        <v>23995.7</v>
      </c>
      <c r="L192" s="369">
        <v>1064</v>
      </c>
      <c r="M192" s="538">
        <v>1064</v>
      </c>
      <c r="N192" s="538">
        <v>1064</v>
      </c>
      <c r="O192" s="369">
        <v>22931.7</v>
      </c>
    </row>
    <row r="193" spans="1:15" x14ac:dyDescent="0.25">
      <c r="A193" s="362">
        <v>3600</v>
      </c>
      <c r="B193" s="363" t="s">
        <v>516</v>
      </c>
      <c r="C193" s="364">
        <f t="shared" ref="C193:E193" si="437">C194+C196</f>
        <v>243100</v>
      </c>
      <c r="D193" s="364">
        <f t="shared" si="437"/>
        <v>0</v>
      </c>
      <c r="E193" s="364">
        <f t="shared" si="437"/>
        <v>243100</v>
      </c>
      <c r="F193" s="364">
        <f>F194+F196</f>
        <v>47622.19</v>
      </c>
      <c r="G193" s="364">
        <f t="shared" ref="G193:J193" si="438">G194+G196</f>
        <v>47622.19</v>
      </c>
      <c r="H193" s="364">
        <f t="shared" si="438"/>
        <v>47622.19</v>
      </c>
      <c r="I193" s="364">
        <f t="shared" si="438"/>
        <v>47622.19</v>
      </c>
      <c r="J193" s="364">
        <f t="shared" si="438"/>
        <v>0</v>
      </c>
      <c r="K193" s="526"/>
    </row>
    <row r="194" spans="1:15" ht="25.5" x14ac:dyDescent="0.25">
      <c r="A194" s="362">
        <v>362</v>
      </c>
      <c r="B194" s="366" t="s">
        <v>517</v>
      </c>
      <c r="C194" s="364">
        <f t="shared" ref="C194:E194" si="439">SUM(C195)</f>
        <v>205100</v>
      </c>
      <c r="D194" s="364">
        <f t="shared" si="439"/>
        <v>0</v>
      </c>
      <c r="E194" s="364">
        <f t="shared" si="439"/>
        <v>205100</v>
      </c>
      <c r="F194" s="364">
        <f>SUM(F195)</f>
        <v>47622.19</v>
      </c>
      <c r="G194" s="364">
        <f t="shared" ref="G194:J194" si="440">SUM(G195)</f>
        <v>47622.19</v>
      </c>
      <c r="H194" s="364">
        <f t="shared" si="440"/>
        <v>47622.19</v>
      </c>
      <c r="I194" s="364">
        <f t="shared" si="440"/>
        <v>47622.19</v>
      </c>
      <c r="J194" s="364">
        <f t="shared" si="440"/>
        <v>0</v>
      </c>
      <c r="K194" s="526"/>
    </row>
    <row r="195" spans="1:15" ht="45" x14ac:dyDescent="0.25">
      <c r="A195" s="374">
        <v>36201</v>
      </c>
      <c r="B195" s="380" t="s">
        <v>518</v>
      </c>
      <c r="C195" s="369">
        <v>205100</v>
      </c>
      <c r="D195" s="370">
        <v>0</v>
      </c>
      <c r="E195" s="369">
        <v>205100</v>
      </c>
      <c r="F195" s="369">
        <f t="shared" ref="F195:H197" si="441">G195</f>
        <v>47622.19</v>
      </c>
      <c r="G195" s="369">
        <f t="shared" si="441"/>
        <v>47622.19</v>
      </c>
      <c r="H195" s="369">
        <f t="shared" si="441"/>
        <v>47622.19</v>
      </c>
      <c r="I195" s="538">
        <f>[1]Sheet1!$M$527</f>
        <v>47622.19</v>
      </c>
      <c r="J195" s="369"/>
      <c r="K195" s="369">
        <v>205100</v>
      </c>
      <c r="L195" s="369">
        <v>26822.19</v>
      </c>
      <c r="M195" s="538">
        <v>26822.19</v>
      </c>
      <c r="N195" s="538">
        <v>16822.189999999999</v>
      </c>
      <c r="O195" s="369">
        <v>178277.81</v>
      </c>
    </row>
    <row r="196" spans="1:15" ht="25.5" x14ac:dyDescent="0.25">
      <c r="A196" s="362">
        <v>365</v>
      </c>
      <c r="B196" s="366" t="s">
        <v>519</v>
      </c>
      <c r="C196" s="364">
        <f t="shared" ref="C196" si="442">SUM(C197)</f>
        <v>38000</v>
      </c>
      <c r="D196" s="364">
        <f t="shared" ref="D196" si="443">SUM(D197)</f>
        <v>0</v>
      </c>
      <c r="E196" s="364">
        <f t="shared" ref="E196" si="444">SUM(E197)</f>
        <v>38000</v>
      </c>
      <c r="F196" s="364">
        <f>SUM(F197)</f>
        <v>0</v>
      </c>
      <c r="G196" s="364">
        <f t="shared" ref="G196" si="445">SUM(G197)</f>
        <v>0</v>
      </c>
      <c r="H196" s="364">
        <f t="shared" ref="H196" si="446">SUM(H197)</f>
        <v>0</v>
      </c>
      <c r="I196" s="364">
        <f t="shared" ref="I196" si="447">SUM(I197)</f>
        <v>0</v>
      </c>
      <c r="J196" s="364">
        <f t="shared" ref="J196" si="448">SUM(J197)</f>
        <v>0</v>
      </c>
      <c r="K196" s="526"/>
    </row>
    <row r="197" spans="1:15" ht="30" x14ac:dyDescent="0.25">
      <c r="A197" s="374">
        <v>36501</v>
      </c>
      <c r="B197" s="380" t="s">
        <v>520</v>
      </c>
      <c r="C197" s="369">
        <v>38000</v>
      </c>
      <c r="D197" s="370">
        <v>0</v>
      </c>
      <c r="E197" s="369">
        <v>38000</v>
      </c>
      <c r="F197" s="369">
        <f t="shared" si="441"/>
        <v>0</v>
      </c>
      <c r="G197" s="369">
        <f t="shared" si="441"/>
        <v>0</v>
      </c>
      <c r="H197" s="369">
        <f t="shared" si="441"/>
        <v>0</v>
      </c>
      <c r="I197" s="538"/>
      <c r="J197" s="369"/>
      <c r="K197" s="369">
        <v>38000</v>
      </c>
      <c r="L197" s="369"/>
      <c r="M197" s="538">
        <v>0</v>
      </c>
      <c r="N197" s="538">
        <v>0</v>
      </c>
      <c r="O197" s="369">
        <v>38000</v>
      </c>
    </row>
    <row r="198" spans="1:15" x14ac:dyDescent="0.25">
      <c r="A198" s="362">
        <v>3700</v>
      </c>
      <c r="B198" s="363" t="s">
        <v>521</v>
      </c>
      <c r="C198" s="364">
        <f t="shared" ref="C198:E198" si="449">C199+C201+C203+C206+C208</f>
        <v>725945.92999999993</v>
      </c>
      <c r="D198" s="364">
        <f t="shared" si="449"/>
        <v>0</v>
      </c>
      <c r="E198" s="364">
        <f t="shared" si="449"/>
        <v>725945.92999999993</v>
      </c>
      <c r="F198" s="364">
        <f>F199+F201+F203+F206+F208</f>
        <v>153494.49</v>
      </c>
      <c r="G198" s="364">
        <f t="shared" ref="G198:J198" si="450">G199+G201+G203+G206+G208</f>
        <v>153494.49</v>
      </c>
      <c r="H198" s="364">
        <f t="shared" si="450"/>
        <v>153494.49</v>
      </c>
      <c r="I198" s="364">
        <f t="shared" si="450"/>
        <v>143446.49</v>
      </c>
      <c r="J198" s="364">
        <f t="shared" si="450"/>
        <v>0</v>
      </c>
      <c r="K198" s="526"/>
    </row>
    <row r="199" spans="1:15" x14ac:dyDescent="0.25">
      <c r="A199" s="362">
        <v>371</v>
      </c>
      <c r="B199" s="366" t="s">
        <v>522</v>
      </c>
      <c r="C199" s="364">
        <f t="shared" ref="C199" si="451">SUM(C200)</f>
        <v>245837.64</v>
      </c>
      <c r="D199" s="364">
        <f t="shared" ref="D199" si="452">SUM(D200)</f>
        <v>0</v>
      </c>
      <c r="E199" s="364">
        <f t="shared" ref="E199" si="453">SUM(E200)</f>
        <v>245837.64</v>
      </c>
      <c r="F199" s="364">
        <f>SUM(F200)</f>
        <v>65308.69</v>
      </c>
      <c r="G199" s="364">
        <f t="shared" ref="G199" si="454">SUM(G200)</f>
        <v>65308.69</v>
      </c>
      <c r="H199" s="364">
        <f t="shared" ref="H199" si="455">SUM(H200)</f>
        <v>65308.69</v>
      </c>
      <c r="I199" s="364">
        <f t="shared" ref="I199" si="456">SUM(I200)</f>
        <v>55260.69</v>
      </c>
      <c r="J199" s="364">
        <f t="shared" ref="J199" si="457">SUM(J200)</f>
        <v>0</v>
      </c>
      <c r="K199" s="526"/>
    </row>
    <row r="200" spans="1:15" x14ac:dyDescent="0.25">
      <c r="A200" s="374">
        <v>37101</v>
      </c>
      <c r="B200" s="380" t="s">
        <v>522</v>
      </c>
      <c r="C200" s="369">
        <v>245837.64</v>
      </c>
      <c r="D200" s="370">
        <v>0</v>
      </c>
      <c r="E200" s="369">
        <v>245837.64</v>
      </c>
      <c r="F200" s="369">
        <f t="shared" ref="F200:H211" si="458">G200</f>
        <v>65308.69</v>
      </c>
      <c r="G200" s="369">
        <f t="shared" si="458"/>
        <v>65308.69</v>
      </c>
      <c r="H200" s="369">
        <f>I200+10048</f>
        <v>65308.69</v>
      </c>
      <c r="I200" s="538">
        <f>[1]Sheet1!$M$530</f>
        <v>55260.69</v>
      </c>
      <c r="J200" s="369"/>
      <c r="K200" s="369">
        <v>245837.64</v>
      </c>
      <c r="L200" s="369">
        <v>21566.69</v>
      </c>
      <c r="M200" s="538">
        <v>21566.69</v>
      </c>
      <c r="N200" s="538">
        <v>20647</v>
      </c>
      <c r="O200" s="369">
        <v>224270.95</v>
      </c>
    </row>
    <row r="201" spans="1:15" x14ac:dyDescent="0.25">
      <c r="A201" s="362">
        <v>372</v>
      </c>
      <c r="B201" s="366" t="s">
        <v>523</v>
      </c>
      <c r="C201" s="364">
        <f t="shared" ref="C201" si="459">SUM(C202)</f>
        <v>11795.05</v>
      </c>
      <c r="D201" s="364">
        <f t="shared" ref="D201" si="460">SUM(D202)</f>
        <v>0</v>
      </c>
      <c r="E201" s="364">
        <f t="shared" ref="E201" si="461">SUM(E202)</f>
        <v>11795.05</v>
      </c>
      <c r="F201" s="364">
        <f>SUM(F202)</f>
        <v>979</v>
      </c>
      <c r="G201" s="364">
        <f t="shared" ref="G201" si="462">SUM(G202)</f>
        <v>979</v>
      </c>
      <c r="H201" s="364">
        <f t="shared" ref="H201" si="463">SUM(H202)</f>
        <v>979</v>
      </c>
      <c r="I201" s="364">
        <f t="shared" ref="I201" si="464">SUM(I202)</f>
        <v>979</v>
      </c>
      <c r="J201" s="364">
        <f t="shared" ref="J201" si="465">SUM(J202)</f>
        <v>0</v>
      </c>
      <c r="K201" s="526"/>
    </row>
    <row r="202" spans="1:15" x14ac:dyDescent="0.25">
      <c r="A202" s="374">
        <v>37201</v>
      </c>
      <c r="B202" s="380" t="s">
        <v>523</v>
      </c>
      <c r="C202" s="369">
        <v>11795.05</v>
      </c>
      <c r="D202" s="370">
        <v>0</v>
      </c>
      <c r="E202" s="369">
        <v>11795.05</v>
      </c>
      <c r="F202" s="369">
        <f t="shared" si="458"/>
        <v>979</v>
      </c>
      <c r="G202" s="369">
        <f t="shared" si="458"/>
        <v>979</v>
      </c>
      <c r="H202" s="369">
        <f t="shared" si="458"/>
        <v>979</v>
      </c>
      <c r="I202" s="538">
        <f>[1]Sheet1!$M$532</f>
        <v>979</v>
      </c>
      <c r="J202" s="369"/>
      <c r="K202" s="369">
        <v>11795.05</v>
      </c>
      <c r="L202" s="369"/>
      <c r="M202" s="538">
        <v>0</v>
      </c>
      <c r="N202" s="538">
        <v>0</v>
      </c>
      <c r="O202" s="369">
        <v>11795.05</v>
      </c>
    </row>
    <row r="203" spans="1:15" x14ac:dyDescent="0.25">
      <c r="A203" s="362">
        <v>375</v>
      </c>
      <c r="B203" s="366" t="s">
        <v>524</v>
      </c>
      <c r="C203" s="364">
        <f>SUM(C204:C205)</f>
        <v>423229.26</v>
      </c>
      <c r="D203" s="364">
        <f t="shared" ref="D203:J203" si="466">SUM(D204:D205)</f>
        <v>0</v>
      </c>
      <c r="E203" s="364">
        <f t="shared" si="466"/>
        <v>423229.26</v>
      </c>
      <c r="F203" s="364">
        <f>SUM(F204:F205)</f>
        <v>84730</v>
      </c>
      <c r="G203" s="364">
        <f t="shared" si="466"/>
        <v>84730</v>
      </c>
      <c r="H203" s="364">
        <f t="shared" si="466"/>
        <v>84730</v>
      </c>
      <c r="I203" s="364">
        <f t="shared" si="466"/>
        <v>84730</v>
      </c>
      <c r="J203" s="364">
        <f t="shared" si="466"/>
        <v>0</v>
      </c>
      <c r="K203" s="526"/>
    </row>
    <row r="204" spans="1:15" x14ac:dyDescent="0.25">
      <c r="A204" s="374">
        <v>37501</v>
      </c>
      <c r="B204" s="380" t="s">
        <v>524</v>
      </c>
      <c r="C204" s="369">
        <v>270233.57</v>
      </c>
      <c r="D204" s="370">
        <v>0</v>
      </c>
      <c r="E204" s="369">
        <v>270233.57</v>
      </c>
      <c r="F204" s="369">
        <f t="shared" si="458"/>
        <v>44250</v>
      </c>
      <c r="G204" s="369">
        <f t="shared" si="458"/>
        <v>44250</v>
      </c>
      <c r="H204" s="369">
        <f t="shared" si="458"/>
        <v>44250</v>
      </c>
      <c r="I204" s="538">
        <f>[1]Sheet1!$M$534</f>
        <v>44250</v>
      </c>
      <c r="J204" s="369"/>
      <c r="K204" s="369">
        <v>270233.57</v>
      </c>
      <c r="L204" s="369">
        <v>10300</v>
      </c>
      <c r="M204" s="538">
        <v>10300</v>
      </c>
      <c r="N204" s="538">
        <v>10300</v>
      </c>
      <c r="O204" s="369">
        <v>259933.57</v>
      </c>
    </row>
    <row r="205" spans="1:15" x14ac:dyDescent="0.25">
      <c r="A205" s="374">
        <v>37502</v>
      </c>
      <c r="B205" s="380" t="s">
        <v>525</v>
      </c>
      <c r="C205" s="369">
        <v>152995.69</v>
      </c>
      <c r="D205" s="370">
        <v>0</v>
      </c>
      <c r="E205" s="369">
        <v>152995.69</v>
      </c>
      <c r="F205" s="369">
        <f t="shared" si="458"/>
        <v>40480</v>
      </c>
      <c r="G205" s="369">
        <f t="shared" si="458"/>
        <v>40480</v>
      </c>
      <c r="H205" s="369">
        <f t="shared" si="458"/>
        <v>40480</v>
      </c>
      <c r="I205" s="538">
        <f>[1]Sheet1!$M$535</f>
        <v>40480</v>
      </c>
      <c r="J205" s="369"/>
      <c r="K205" s="369">
        <v>152995.69</v>
      </c>
      <c r="L205" s="369">
        <v>15220</v>
      </c>
      <c r="M205" s="538">
        <v>15220</v>
      </c>
      <c r="N205" s="538">
        <v>15220</v>
      </c>
      <c r="O205" s="369">
        <v>137775.69</v>
      </c>
    </row>
    <row r="206" spans="1:15" x14ac:dyDescent="0.25">
      <c r="A206" s="362">
        <v>378</v>
      </c>
      <c r="B206" s="366" t="s">
        <v>526</v>
      </c>
      <c r="C206" s="364">
        <f t="shared" ref="C206" si="467">SUM(C207)</f>
        <v>3500</v>
      </c>
      <c r="D206" s="364">
        <f t="shared" ref="D206" si="468">SUM(D207)</f>
        <v>0</v>
      </c>
      <c r="E206" s="364">
        <f t="shared" ref="E206" si="469">SUM(E207)</f>
        <v>3500</v>
      </c>
      <c r="F206" s="364">
        <f>SUM(F207)</f>
        <v>788.8</v>
      </c>
      <c r="G206" s="364">
        <f t="shared" ref="G206" si="470">SUM(G207)</f>
        <v>788.8</v>
      </c>
      <c r="H206" s="364">
        <f t="shared" ref="H206" si="471">SUM(H207)</f>
        <v>788.8</v>
      </c>
      <c r="I206" s="364">
        <f t="shared" ref="I206" si="472">SUM(I207)</f>
        <v>788.8</v>
      </c>
      <c r="J206" s="364">
        <f t="shared" ref="J206" si="473">SUM(J207)</f>
        <v>0</v>
      </c>
      <c r="K206" s="526"/>
    </row>
    <row r="207" spans="1:15" x14ac:dyDescent="0.25">
      <c r="A207" s="374">
        <v>37801</v>
      </c>
      <c r="B207" s="380" t="s">
        <v>526</v>
      </c>
      <c r="C207" s="369">
        <v>3500</v>
      </c>
      <c r="D207" s="370">
        <v>0</v>
      </c>
      <c r="E207" s="369">
        <v>3500</v>
      </c>
      <c r="F207" s="369">
        <f t="shared" si="458"/>
        <v>788.8</v>
      </c>
      <c r="G207" s="369">
        <f t="shared" si="458"/>
        <v>788.8</v>
      </c>
      <c r="H207" s="369">
        <f t="shared" si="458"/>
        <v>788.8</v>
      </c>
      <c r="I207" s="538">
        <f>[1]Sheet1!$M$537</f>
        <v>788.8</v>
      </c>
      <c r="J207" s="369"/>
      <c r="K207" s="369">
        <v>3500</v>
      </c>
      <c r="L207" s="369">
        <v>394.4</v>
      </c>
      <c r="M207" s="538">
        <v>394.4</v>
      </c>
      <c r="N207" s="538">
        <v>394.4</v>
      </c>
      <c r="O207" s="369">
        <v>3105.6</v>
      </c>
    </row>
    <row r="208" spans="1:15" x14ac:dyDescent="0.25">
      <c r="A208" s="362">
        <v>379</v>
      </c>
      <c r="B208" s="366" t="s">
        <v>527</v>
      </c>
      <c r="C208" s="364">
        <f>SUM(C209:C210)</f>
        <v>41583.980000000003</v>
      </c>
      <c r="D208" s="364">
        <f t="shared" ref="D208:J208" si="474">SUM(D209:D210)</f>
        <v>0</v>
      </c>
      <c r="E208" s="364">
        <f t="shared" si="474"/>
        <v>41583.980000000003</v>
      </c>
      <c r="F208" s="364">
        <f>SUM(F209:F210)</f>
        <v>1688</v>
      </c>
      <c r="G208" s="364">
        <f t="shared" si="474"/>
        <v>1688</v>
      </c>
      <c r="H208" s="364">
        <f t="shared" si="474"/>
        <v>1688</v>
      </c>
      <c r="I208" s="364">
        <f t="shared" si="474"/>
        <v>1688</v>
      </c>
      <c r="J208" s="364">
        <f t="shared" si="474"/>
        <v>0</v>
      </c>
      <c r="K208" s="526"/>
    </row>
    <row r="209" spans="1:15" x14ac:dyDescent="0.25">
      <c r="A209" s="374">
        <v>37901</v>
      </c>
      <c r="B209" s="380" t="s">
        <v>528</v>
      </c>
      <c r="C209" s="369">
        <v>34083.980000000003</v>
      </c>
      <c r="D209" s="370">
        <v>0</v>
      </c>
      <c r="E209" s="369">
        <v>34083.980000000003</v>
      </c>
      <c r="F209" s="369">
        <f t="shared" si="458"/>
        <v>1688</v>
      </c>
      <c r="G209" s="369">
        <f t="shared" si="458"/>
        <v>1688</v>
      </c>
      <c r="H209" s="369">
        <f t="shared" si="458"/>
        <v>1688</v>
      </c>
      <c r="I209" s="538">
        <f>[1]Sheet1!$M$539</f>
        <v>1688</v>
      </c>
      <c r="J209" s="369"/>
      <c r="K209" s="369">
        <v>34083.980000000003</v>
      </c>
      <c r="L209" s="369">
        <v>420</v>
      </c>
      <c r="M209" s="538">
        <v>420</v>
      </c>
      <c r="N209" s="538">
        <v>420</v>
      </c>
      <c r="O209" s="369">
        <v>33663.980000000003</v>
      </c>
    </row>
    <row r="210" spans="1:15" ht="30" x14ac:dyDescent="0.25">
      <c r="A210" s="382">
        <v>37902</v>
      </c>
      <c r="B210" s="383" t="s">
        <v>529</v>
      </c>
      <c r="C210" s="369">
        <v>7500</v>
      </c>
      <c r="D210" s="370">
        <v>0</v>
      </c>
      <c r="E210" s="369">
        <v>7500</v>
      </c>
      <c r="F210" s="369"/>
      <c r="G210" s="369"/>
      <c r="H210" s="538"/>
      <c r="I210" s="538"/>
      <c r="J210" s="369"/>
      <c r="K210" s="369">
        <v>7500</v>
      </c>
      <c r="L210" s="369"/>
      <c r="M210" s="538">
        <v>0</v>
      </c>
      <c r="N210" s="538">
        <v>0</v>
      </c>
      <c r="O210" s="369">
        <v>7500</v>
      </c>
    </row>
    <row r="211" spans="1:15" x14ac:dyDescent="0.25">
      <c r="A211" s="362">
        <v>3800</v>
      </c>
      <c r="B211" s="363" t="s">
        <v>530</v>
      </c>
      <c r="C211" s="364">
        <f t="shared" ref="C211:E211" si="475">C212+C214+C216+C218</f>
        <v>259834.33000000002</v>
      </c>
      <c r="D211" s="364">
        <f t="shared" si="475"/>
        <v>0</v>
      </c>
      <c r="E211" s="364">
        <f t="shared" si="475"/>
        <v>259834.33000000002</v>
      </c>
      <c r="F211" s="369">
        <f t="shared" si="458"/>
        <v>22468.71</v>
      </c>
      <c r="G211" s="369">
        <f t="shared" si="458"/>
        <v>22468.71</v>
      </c>
      <c r="H211" s="369">
        <f t="shared" si="458"/>
        <v>22468.71</v>
      </c>
      <c r="I211" s="364">
        <f t="shared" ref="G211:J211" si="476">I212+I214+I216+I218</f>
        <v>22468.71</v>
      </c>
      <c r="J211" s="364">
        <f t="shared" si="476"/>
        <v>0</v>
      </c>
      <c r="K211" s="526"/>
    </row>
    <row r="212" spans="1:15" x14ac:dyDescent="0.25">
      <c r="A212" s="362">
        <v>381</v>
      </c>
      <c r="B212" s="366" t="s">
        <v>531</v>
      </c>
      <c r="C212" s="364">
        <f t="shared" ref="C212:E212" si="477">SUM(C213)</f>
        <v>1003.24</v>
      </c>
      <c r="D212" s="364">
        <f t="shared" si="477"/>
        <v>0</v>
      </c>
      <c r="E212" s="364">
        <f t="shared" si="477"/>
        <v>1003.24</v>
      </c>
      <c r="F212" s="364">
        <f>SUM(F213)</f>
        <v>0</v>
      </c>
      <c r="G212" s="364">
        <f t="shared" ref="G212:J212" si="478">SUM(G213)</f>
        <v>0</v>
      </c>
      <c r="H212" s="364">
        <f t="shared" si="478"/>
        <v>0</v>
      </c>
      <c r="I212" s="364">
        <f t="shared" si="478"/>
        <v>0</v>
      </c>
      <c r="J212" s="364">
        <f t="shared" si="478"/>
        <v>0</v>
      </c>
      <c r="K212" s="526"/>
    </row>
    <row r="213" spans="1:15" x14ac:dyDescent="0.25">
      <c r="A213" s="374">
        <v>38101</v>
      </c>
      <c r="B213" s="380" t="s">
        <v>531</v>
      </c>
      <c r="C213" s="369">
        <v>1003.24</v>
      </c>
      <c r="D213" s="370">
        <v>0</v>
      </c>
      <c r="E213" s="369">
        <v>1003.24</v>
      </c>
      <c r="F213" s="369"/>
      <c r="G213" s="369"/>
      <c r="H213" s="538"/>
      <c r="I213" s="538"/>
      <c r="J213" s="369"/>
      <c r="K213" s="369">
        <v>1003.24</v>
      </c>
      <c r="L213" s="369"/>
      <c r="M213" s="538">
        <v>0</v>
      </c>
      <c r="N213" s="538">
        <v>0</v>
      </c>
      <c r="O213" s="369">
        <v>1003.24</v>
      </c>
    </row>
    <row r="214" spans="1:15" x14ac:dyDescent="0.25">
      <c r="A214" s="362">
        <v>382</v>
      </c>
      <c r="B214" s="366" t="s">
        <v>532</v>
      </c>
      <c r="C214" s="364">
        <f t="shared" ref="C214" si="479">SUM(C215)</f>
        <v>116000</v>
      </c>
      <c r="D214" s="364">
        <f t="shared" ref="D214" si="480">SUM(D215)</f>
        <v>0</v>
      </c>
      <c r="E214" s="364">
        <f t="shared" ref="E214" si="481">SUM(E215)</f>
        <v>116000</v>
      </c>
      <c r="F214" s="364">
        <f>SUM(F215)</f>
        <v>6427.8</v>
      </c>
      <c r="G214" s="364">
        <f t="shared" ref="G214" si="482">SUM(G215)</f>
        <v>6427.8</v>
      </c>
      <c r="H214" s="364">
        <f t="shared" ref="H214" si="483">SUM(H215)</f>
        <v>6427.8</v>
      </c>
      <c r="I214" s="364">
        <f t="shared" ref="I214" si="484">SUM(I215)</f>
        <v>6427.8</v>
      </c>
      <c r="J214" s="364">
        <f t="shared" ref="J214" si="485">SUM(J215)</f>
        <v>0</v>
      </c>
      <c r="K214" s="526"/>
    </row>
    <row r="215" spans="1:15" x14ac:dyDescent="0.25">
      <c r="A215" s="374">
        <v>38201</v>
      </c>
      <c r="B215" s="380" t="s">
        <v>532</v>
      </c>
      <c r="C215" s="369">
        <v>116000</v>
      </c>
      <c r="D215" s="370">
        <v>0</v>
      </c>
      <c r="E215" s="369">
        <v>116000</v>
      </c>
      <c r="F215" s="369">
        <f t="shared" ref="F215:H219" si="486">G215</f>
        <v>6427.8</v>
      </c>
      <c r="G215" s="369">
        <f t="shared" si="486"/>
        <v>6427.8</v>
      </c>
      <c r="H215" s="369">
        <f t="shared" si="486"/>
        <v>6427.8</v>
      </c>
      <c r="I215" s="538">
        <f>[1]Sheet1!$M$542</f>
        <v>6427.8</v>
      </c>
      <c r="J215" s="369"/>
      <c r="K215" s="369">
        <v>116000</v>
      </c>
      <c r="L215" s="369">
        <v>6427.8</v>
      </c>
      <c r="M215" s="538">
        <v>6427.8</v>
      </c>
      <c r="N215" s="538">
        <v>6427.8</v>
      </c>
      <c r="O215" s="369">
        <v>109572.2</v>
      </c>
    </row>
    <row r="216" spans="1:15" x14ac:dyDescent="0.25">
      <c r="A216" s="362">
        <v>383</v>
      </c>
      <c r="B216" s="366" t="s">
        <v>533</v>
      </c>
      <c r="C216" s="364">
        <f t="shared" ref="C216" si="487">SUM(C217)</f>
        <v>128831.09</v>
      </c>
      <c r="D216" s="364">
        <f t="shared" ref="D216" si="488">SUM(D217)</f>
        <v>0</v>
      </c>
      <c r="E216" s="364">
        <f t="shared" ref="E216" si="489">SUM(E217)</f>
        <v>128831.09</v>
      </c>
      <c r="F216" s="364">
        <f>SUM(F217)</f>
        <v>15700</v>
      </c>
      <c r="G216" s="364">
        <f t="shared" ref="G216" si="490">SUM(G217)</f>
        <v>15700</v>
      </c>
      <c r="H216" s="364">
        <f t="shared" ref="H216" si="491">SUM(H217)</f>
        <v>15700</v>
      </c>
      <c r="I216" s="364">
        <f t="shared" ref="I216" si="492">SUM(I217)</f>
        <v>15700</v>
      </c>
      <c r="J216" s="364">
        <f t="shared" ref="J216" si="493">SUM(J217)</f>
        <v>0</v>
      </c>
      <c r="K216" s="526"/>
    </row>
    <row r="217" spans="1:15" x14ac:dyDescent="0.25">
      <c r="A217" s="374">
        <v>38301</v>
      </c>
      <c r="B217" s="380" t="s">
        <v>533</v>
      </c>
      <c r="C217" s="369">
        <v>128831.09</v>
      </c>
      <c r="D217" s="370">
        <v>0</v>
      </c>
      <c r="E217" s="369">
        <v>128831.09</v>
      </c>
      <c r="F217" s="369">
        <f t="shared" si="486"/>
        <v>15700</v>
      </c>
      <c r="G217" s="369">
        <f t="shared" si="486"/>
        <v>15700</v>
      </c>
      <c r="H217" s="369">
        <f t="shared" si="486"/>
        <v>15700</v>
      </c>
      <c r="I217" s="538">
        <f>[1]Sheet1!$M$544</f>
        <v>15700</v>
      </c>
      <c r="J217" s="369"/>
      <c r="K217" s="369">
        <v>128831.09</v>
      </c>
      <c r="L217" s="369">
        <v>7000</v>
      </c>
      <c r="M217" s="538">
        <v>7000</v>
      </c>
      <c r="N217" s="538">
        <v>7000</v>
      </c>
      <c r="O217" s="369">
        <v>121831.09</v>
      </c>
    </row>
    <row r="218" spans="1:15" x14ac:dyDescent="0.25">
      <c r="A218" s="362">
        <v>385</v>
      </c>
      <c r="B218" s="366" t="s">
        <v>534</v>
      </c>
      <c r="C218" s="364">
        <f t="shared" ref="C218" si="494">SUM(C219)</f>
        <v>14000</v>
      </c>
      <c r="D218" s="364">
        <f t="shared" ref="D218" si="495">SUM(D219)</f>
        <v>0</v>
      </c>
      <c r="E218" s="364">
        <f t="shared" ref="E218" si="496">SUM(E219)</f>
        <v>14000</v>
      </c>
      <c r="F218" s="364">
        <f>SUM(F219)</f>
        <v>340.91</v>
      </c>
      <c r="G218" s="364">
        <f t="shared" ref="G218" si="497">SUM(G219)</f>
        <v>340.91</v>
      </c>
      <c r="H218" s="364">
        <f t="shared" ref="H218" si="498">SUM(H219)</f>
        <v>340.91</v>
      </c>
      <c r="I218" s="364">
        <f t="shared" ref="I218" si="499">SUM(I219)</f>
        <v>340.91</v>
      </c>
      <c r="J218" s="364">
        <f t="shared" ref="J218" si="500">SUM(J219)</f>
        <v>0</v>
      </c>
      <c r="K218" s="526"/>
    </row>
    <row r="219" spans="1:15" x14ac:dyDescent="0.25">
      <c r="A219" s="374">
        <v>38501</v>
      </c>
      <c r="B219" s="380" t="s">
        <v>535</v>
      </c>
      <c r="C219" s="369">
        <v>14000</v>
      </c>
      <c r="D219" s="370">
        <v>0</v>
      </c>
      <c r="E219" s="369">
        <v>14000</v>
      </c>
      <c r="F219" s="369">
        <f t="shared" si="486"/>
        <v>340.91</v>
      </c>
      <c r="G219" s="369">
        <f t="shared" si="486"/>
        <v>340.91</v>
      </c>
      <c r="H219" s="369">
        <f t="shared" si="486"/>
        <v>340.91</v>
      </c>
      <c r="I219" s="538">
        <f>[1]Sheet1!$M$546</f>
        <v>340.91</v>
      </c>
      <c r="J219" s="369"/>
      <c r="K219" s="369">
        <v>14000</v>
      </c>
      <c r="L219" s="369">
        <v>340.91</v>
      </c>
      <c r="M219" s="538">
        <v>340.91</v>
      </c>
      <c r="N219" s="538">
        <v>0</v>
      </c>
      <c r="O219" s="369">
        <v>13659.09</v>
      </c>
    </row>
    <row r="220" spans="1:15" x14ac:dyDescent="0.25">
      <c r="A220" s="362">
        <v>3900</v>
      </c>
      <c r="B220" s="363" t="s">
        <v>536</v>
      </c>
      <c r="C220" s="364">
        <f t="shared" ref="C220:E220" si="501">C221+C223</f>
        <v>58500</v>
      </c>
      <c r="D220" s="364">
        <f t="shared" si="501"/>
        <v>0</v>
      </c>
      <c r="E220" s="364">
        <f t="shared" si="501"/>
        <v>58500</v>
      </c>
      <c r="F220" s="364">
        <f>F221+F223</f>
        <v>40055</v>
      </c>
      <c r="G220" s="364">
        <f t="shared" ref="G220:J220" si="502">G221+G223</f>
        <v>40055</v>
      </c>
      <c r="H220" s="364">
        <f t="shared" si="502"/>
        <v>40055</v>
      </c>
      <c r="I220" s="364">
        <f t="shared" si="502"/>
        <v>40055</v>
      </c>
      <c r="J220" s="364">
        <f t="shared" si="502"/>
        <v>0</v>
      </c>
      <c r="K220" s="526"/>
    </row>
    <row r="221" spans="1:15" x14ac:dyDescent="0.25">
      <c r="A221" s="362">
        <v>392</v>
      </c>
      <c r="B221" s="366" t="s">
        <v>537</v>
      </c>
      <c r="C221" s="364">
        <f t="shared" ref="C221" si="503">SUM(C222)</f>
        <v>48500</v>
      </c>
      <c r="D221" s="364">
        <f t="shared" ref="D221" si="504">SUM(D222)</f>
        <v>0</v>
      </c>
      <c r="E221" s="364">
        <f t="shared" ref="E221" si="505">SUM(E222)</f>
        <v>48500</v>
      </c>
      <c r="F221" s="364">
        <f>SUM(F222)</f>
        <v>39710</v>
      </c>
      <c r="G221" s="364">
        <f t="shared" ref="G221" si="506">SUM(G222)</f>
        <v>39710</v>
      </c>
      <c r="H221" s="364">
        <f t="shared" ref="H221" si="507">SUM(H222)</f>
        <v>39710</v>
      </c>
      <c r="I221" s="364">
        <f t="shared" ref="I221" si="508">SUM(I222)</f>
        <v>39710</v>
      </c>
      <c r="J221" s="364">
        <f t="shared" ref="J221" si="509">SUM(J222)</f>
        <v>0</v>
      </c>
      <c r="K221" s="526"/>
    </row>
    <row r="222" spans="1:15" x14ac:dyDescent="0.25">
      <c r="A222" s="374">
        <v>39201</v>
      </c>
      <c r="B222" s="380" t="s">
        <v>537</v>
      </c>
      <c r="C222" s="369">
        <v>48500</v>
      </c>
      <c r="D222" s="370">
        <v>0</v>
      </c>
      <c r="E222" s="369">
        <v>48500</v>
      </c>
      <c r="F222" s="369">
        <f t="shared" ref="F222:H224" si="510">G222</f>
        <v>39710</v>
      </c>
      <c r="G222" s="369">
        <f t="shared" si="510"/>
        <v>39710</v>
      </c>
      <c r="H222" s="369">
        <f t="shared" si="510"/>
        <v>39710</v>
      </c>
      <c r="I222" s="538">
        <f>[1]Sheet1!$M$549</f>
        <v>39710</v>
      </c>
      <c r="J222" s="369"/>
      <c r="K222" s="369">
        <v>48500</v>
      </c>
      <c r="L222" s="369">
        <v>14560</v>
      </c>
      <c r="M222" s="538">
        <v>14560</v>
      </c>
      <c r="N222" s="538">
        <v>14560</v>
      </c>
      <c r="O222" s="369">
        <v>33940</v>
      </c>
    </row>
    <row r="223" spans="1:15" x14ac:dyDescent="0.25">
      <c r="A223" s="362">
        <v>395</v>
      </c>
      <c r="B223" s="366" t="s">
        <v>538</v>
      </c>
      <c r="C223" s="364">
        <f t="shared" ref="C223" si="511">SUM(C224)</f>
        <v>10000</v>
      </c>
      <c r="D223" s="364">
        <f t="shared" ref="D223" si="512">SUM(D224)</f>
        <v>0</v>
      </c>
      <c r="E223" s="364">
        <f t="shared" ref="E223" si="513">SUM(E224)</f>
        <v>10000</v>
      </c>
      <c r="F223" s="364">
        <f>SUM(F224)</f>
        <v>345</v>
      </c>
      <c r="G223" s="364">
        <f t="shared" ref="G223" si="514">SUM(G224)</f>
        <v>345</v>
      </c>
      <c r="H223" s="364">
        <f t="shared" ref="H223" si="515">SUM(H224)</f>
        <v>345</v>
      </c>
      <c r="I223" s="364">
        <f t="shared" ref="I223" si="516">SUM(I224)</f>
        <v>345</v>
      </c>
      <c r="J223" s="364">
        <f t="shared" ref="J223" si="517">SUM(J224)</f>
        <v>0</v>
      </c>
      <c r="K223" s="526"/>
    </row>
    <row r="224" spans="1:15" ht="15.75" thickBot="1" x14ac:dyDescent="0.3">
      <c r="A224" s="374">
        <v>39501</v>
      </c>
      <c r="B224" s="380" t="s">
        <v>538</v>
      </c>
      <c r="C224" s="369">
        <v>10000</v>
      </c>
      <c r="D224" s="370">
        <v>0</v>
      </c>
      <c r="E224" s="369">
        <v>10000</v>
      </c>
      <c r="F224" s="369">
        <f t="shared" si="510"/>
        <v>345</v>
      </c>
      <c r="G224" s="369">
        <f t="shared" si="510"/>
        <v>345</v>
      </c>
      <c r="H224" s="369">
        <f t="shared" si="510"/>
        <v>345</v>
      </c>
      <c r="I224" s="538">
        <f>[1]Sheet1!$M$551</f>
        <v>345</v>
      </c>
      <c r="J224" s="369"/>
      <c r="K224" s="369">
        <v>10000</v>
      </c>
      <c r="L224" s="369">
        <v>345</v>
      </c>
      <c r="M224" s="538">
        <v>345</v>
      </c>
      <c r="N224" s="538">
        <v>345</v>
      </c>
      <c r="O224" s="369">
        <v>9655</v>
      </c>
    </row>
    <row r="225" spans="1:15" ht="30.75" thickBot="1" x14ac:dyDescent="0.3">
      <c r="A225" s="377">
        <v>4000</v>
      </c>
      <c r="B225" s="360" t="s">
        <v>539</v>
      </c>
      <c r="C225" s="378">
        <f t="shared" ref="C225:E226" si="518">C226</f>
        <v>2563139.5234999186</v>
      </c>
      <c r="D225" s="378">
        <f t="shared" si="518"/>
        <v>0</v>
      </c>
      <c r="E225" s="378">
        <f t="shared" si="518"/>
        <v>2563139.5234999186</v>
      </c>
      <c r="F225" s="378">
        <f>F226</f>
        <v>995714</v>
      </c>
      <c r="G225" s="378">
        <f t="shared" ref="G225:J226" si="519">G226</f>
        <v>995714</v>
      </c>
      <c r="H225" s="378">
        <f t="shared" si="519"/>
        <v>995714</v>
      </c>
      <c r="I225" s="378">
        <f t="shared" si="519"/>
        <v>995714</v>
      </c>
      <c r="J225" s="378">
        <f t="shared" si="519"/>
        <v>0</v>
      </c>
      <c r="K225" s="525"/>
    </row>
    <row r="226" spans="1:15" x14ac:dyDescent="0.25">
      <c r="A226" s="362">
        <v>4400</v>
      </c>
      <c r="B226" s="363" t="s">
        <v>540</v>
      </c>
      <c r="C226" s="364">
        <f t="shared" si="518"/>
        <v>2563139.5234999186</v>
      </c>
      <c r="D226" s="364">
        <f t="shared" si="518"/>
        <v>0</v>
      </c>
      <c r="E226" s="364">
        <f t="shared" si="518"/>
        <v>2563139.5234999186</v>
      </c>
      <c r="F226" s="364">
        <f>F227</f>
        <v>995714</v>
      </c>
      <c r="G226" s="364">
        <f t="shared" si="519"/>
        <v>995714</v>
      </c>
      <c r="H226" s="364">
        <f t="shared" si="519"/>
        <v>995714</v>
      </c>
      <c r="I226" s="364">
        <f t="shared" si="519"/>
        <v>995714</v>
      </c>
      <c r="J226" s="364">
        <f t="shared" si="519"/>
        <v>0</v>
      </c>
      <c r="K226" s="526"/>
    </row>
    <row r="227" spans="1:15" ht="25.5" x14ac:dyDescent="0.25">
      <c r="A227" s="362">
        <v>442</v>
      </c>
      <c r="B227" s="366" t="s">
        <v>541</v>
      </c>
      <c r="C227" s="364">
        <f t="shared" ref="C227:E227" si="520">SUM(C228:C230)</f>
        <v>2563139.5234999186</v>
      </c>
      <c r="D227" s="364">
        <f t="shared" si="520"/>
        <v>0</v>
      </c>
      <c r="E227" s="364">
        <f t="shared" si="520"/>
        <v>2563139.5234999186</v>
      </c>
      <c r="F227" s="364">
        <f>SUM(F228:F230)</f>
        <v>995714</v>
      </c>
      <c r="G227" s="364">
        <f t="shared" ref="G227:J227" si="521">SUM(G228:G230)</f>
        <v>995714</v>
      </c>
      <c r="H227" s="364">
        <f t="shared" si="521"/>
        <v>995714</v>
      </c>
      <c r="I227" s="364">
        <f t="shared" si="521"/>
        <v>995714</v>
      </c>
      <c r="J227" s="364">
        <f t="shared" si="521"/>
        <v>0</v>
      </c>
      <c r="K227" s="526"/>
    </row>
    <row r="228" spans="1:15" x14ac:dyDescent="0.25">
      <c r="A228" s="385">
        <v>44203</v>
      </c>
      <c r="B228" s="383" t="s">
        <v>542</v>
      </c>
      <c r="C228" s="369">
        <v>2530139.5234999186</v>
      </c>
      <c r="D228" s="370">
        <v>0</v>
      </c>
      <c r="E228" s="369">
        <v>2530139.5234999186</v>
      </c>
      <c r="F228" s="369">
        <f t="shared" ref="F228:H230" si="522">G228</f>
        <v>995250</v>
      </c>
      <c r="G228" s="369">
        <f t="shared" si="522"/>
        <v>995250</v>
      </c>
      <c r="H228" s="369">
        <f t="shared" si="522"/>
        <v>995250</v>
      </c>
      <c r="I228" s="538">
        <f>[1]Sheet1!$M$555</f>
        <v>995250</v>
      </c>
      <c r="J228" s="539"/>
      <c r="K228" s="369">
        <v>2530139.5234999186</v>
      </c>
      <c r="L228" s="369">
        <v>2530139.5234999186</v>
      </c>
      <c r="M228" s="538">
        <v>604750</v>
      </c>
      <c r="N228" s="538">
        <v>604750</v>
      </c>
      <c r="O228" s="539">
        <v>1925389.5234999186</v>
      </c>
    </row>
    <row r="229" spans="1:15" x14ac:dyDescent="0.25">
      <c r="A229" s="385">
        <v>44204</v>
      </c>
      <c r="B229" s="383" t="s">
        <v>543</v>
      </c>
      <c r="C229" s="369">
        <v>3000</v>
      </c>
      <c r="D229" s="370">
        <v>0</v>
      </c>
      <c r="E229" s="369">
        <v>3000</v>
      </c>
      <c r="F229" s="369">
        <f t="shared" si="522"/>
        <v>464</v>
      </c>
      <c r="G229" s="369">
        <f t="shared" si="522"/>
        <v>464</v>
      </c>
      <c r="H229" s="369">
        <f t="shared" si="522"/>
        <v>464</v>
      </c>
      <c r="I229" s="538">
        <f>[1]Sheet1!$M$556</f>
        <v>464</v>
      </c>
      <c r="J229" s="539"/>
      <c r="K229" s="369">
        <v>3000</v>
      </c>
      <c r="L229" s="369">
        <v>0</v>
      </c>
      <c r="M229" s="538">
        <v>0</v>
      </c>
      <c r="N229" s="538">
        <v>0</v>
      </c>
      <c r="O229" s="539">
        <v>3000</v>
      </c>
    </row>
    <row r="230" spans="1:15" ht="45.75" thickBot="1" x14ac:dyDescent="0.3">
      <c r="A230" s="385">
        <v>44402</v>
      </c>
      <c r="B230" s="383" t="s">
        <v>544</v>
      </c>
      <c r="C230" s="369">
        <v>30000</v>
      </c>
      <c r="D230" s="370">
        <v>0</v>
      </c>
      <c r="E230" s="369">
        <v>30000</v>
      </c>
      <c r="F230" s="369">
        <f t="shared" si="522"/>
        <v>0</v>
      </c>
      <c r="G230" s="369">
        <f t="shared" si="522"/>
        <v>0</v>
      </c>
      <c r="H230" s="369">
        <f t="shared" si="522"/>
        <v>0</v>
      </c>
      <c r="I230" s="538"/>
      <c r="J230" s="539"/>
      <c r="K230" s="369">
        <v>30000</v>
      </c>
      <c r="L230" s="369">
        <v>0</v>
      </c>
      <c r="M230" s="538">
        <v>0</v>
      </c>
      <c r="N230" s="538">
        <v>0</v>
      </c>
      <c r="O230" s="539">
        <v>30000</v>
      </c>
    </row>
    <row r="231" spans="1:15" ht="15.75" thickBot="1" x14ac:dyDescent="0.3">
      <c r="A231" s="377">
        <v>5000</v>
      </c>
      <c r="B231" s="360" t="s">
        <v>545</v>
      </c>
      <c r="C231" s="378">
        <f t="shared" ref="C231:E231" si="523">C232+C239</f>
        <v>211218.28</v>
      </c>
      <c r="D231" s="378">
        <f t="shared" si="523"/>
        <v>0</v>
      </c>
      <c r="E231" s="378">
        <f t="shared" si="523"/>
        <v>211218.28</v>
      </c>
      <c r="F231" s="378">
        <f>F232+F239</f>
        <v>4616.8</v>
      </c>
      <c r="G231" s="378">
        <f t="shared" ref="G231:J231" si="524">G232+G239</f>
        <v>4616.8</v>
      </c>
      <c r="H231" s="378">
        <f t="shared" si="524"/>
        <v>4616.8</v>
      </c>
      <c r="I231" s="378">
        <f t="shared" si="524"/>
        <v>4616.8</v>
      </c>
      <c r="J231" s="378">
        <f t="shared" si="524"/>
        <v>138883.20000000001</v>
      </c>
      <c r="K231" s="378">
        <v>4616.8</v>
      </c>
      <c r="L231" s="378">
        <v>4616.8</v>
      </c>
      <c r="M231" s="378">
        <v>4616.8</v>
      </c>
      <c r="N231" s="378">
        <v>4616.8</v>
      </c>
      <c r="O231" s="378">
        <v>206601.47999999998</v>
      </c>
    </row>
    <row r="232" spans="1:15" x14ac:dyDescent="0.25">
      <c r="A232" s="362">
        <v>5100</v>
      </c>
      <c r="B232" s="363" t="s">
        <v>546</v>
      </c>
      <c r="C232" s="364">
        <f t="shared" ref="C232:E232" si="525">C233+C235+C237</f>
        <v>100218.28</v>
      </c>
      <c r="D232" s="364">
        <f t="shared" si="525"/>
        <v>0</v>
      </c>
      <c r="E232" s="364">
        <f t="shared" si="525"/>
        <v>100218.28</v>
      </c>
      <c r="F232" s="364">
        <f>F233+F235+F237</f>
        <v>4616.8</v>
      </c>
      <c r="G232" s="364">
        <f t="shared" ref="G232:J232" si="526">G233+G235+G237</f>
        <v>4616.8</v>
      </c>
      <c r="H232" s="364">
        <f t="shared" si="526"/>
        <v>4616.8</v>
      </c>
      <c r="I232" s="364">
        <f t="shared" si="526"/>
        <v>4616.8</v>
      </c>
      <c r="J232" s="364">
        <f t="shared" si="526"/>
        <v>27883.200000000001</v>
      </c>
      <c r="K232" s="526"/>
    </row>
    <row r="233" spans="1:15" x14ac:dyDescent="0.25">
      <c r="A233" s="362">
        <v>511</v>
      </c>
      <c r="B233" s="366" t="s">
        <v>547</v>
      </c>
      <c r="C233" s="364">
        <f t="shared" ref="C233:E233" si="527">SUM(C234)</f>
        <v>32718.28</v>
      </c>
      <c r="D233" s="364">
        <f t="shared" si="527"/>
        <v>0</v>
      </c>
      <c r="E233" s="364">
        <f t="shared" si="527"/>
        <v>32718.28</v>
      </c>
      <c r="F233" s="364">
        <f>SUM(F234)</f>
        <v>0</v>
      </c>
      <c r="G233" s="364">
        <f t="shared" ref="G233:J233" si="528">SUM(G234)</f>
        <v>0</v>
      </c>
      <c r="H233" s="364">
        <f t="shared" si="528"/>
        <v>0</v>
      </c>
      <c r="I233" s="364">
        <f t="shared" si="528"/>
        <v>0</v>
      </c>
      <c r="J233" s="364">
        <f t="shared" si="528"/>
        <v>0</v>
      </c>
      <c r="K233" s="526"/>
    </row>
    <row r="234" spans="1:15" x14ac:dyDescent="0.25">
      <c r="A234" s="386">
        <v>51101</v>
      </c>
      <c r="B234" s="380" t="s">
        <v>547</v>
      </c>
      <c r="C234" s="369">
        <v>32718.28</v>
      </c>
      <c r="D234" s="370">
        <v>0</v>
      </c>
      <c r="E234" s="369">
        <v>32718.28</v>
      </c>
      <c r="F234" s="369">
        <f t="shared" ref="F234:H238" si="529">G234</f>
        <v>0</v>
      </c>
      <c r="G234" s="369">
        <f t="shared" si="529"/>
        <v>0</v>
      </c>
      <c r="H234" s="369">
        <f t="shared" si="529"/>
        <v>0</v>
      </c>
      <c r="I234" s="538">
        <v>0</v>
      </c>
      <c r="J234" s="539"/>
      <c r="K234" s="369"/>
      <c r="L234" s="369">
        <v>0</v>
      </c>
      <c r="M234" s="538">
        <v>0</v>
      </c>
      <c r="N234" s="538">
        <v>0</v>
      </c>
      <c r="O234" s="539">
        <v>32718.28</v>
      </c>
    </row>
    <row r="235" spans="1:15" x14ac:dyDescent="0.25">
      <c r="A235" s="362">
        <v>515</v>
      </c>
      <c r="B235" s="366" t="s">
        <v>548</v>
      </c>
      <c r="C235" s="364">
        <f t="shared" ref="C235" si="530">SUM(C236)</f>
        <v>32500</v>
      </c>
      <c r="D235" s="364">
        <f t="shared" ref="D235" si="531">SUM(D236)</f>
        <v>0</v>
      </c>
      <c r="E235" s="364">
        <f t="shared" ref="E235" si="532">SUM(E236)</f>
        <v>32500</v>
      </c>
      <c r="F235" s="364">
        <f>SUM(F236)</f>
        <v>4616.8</v>
      </c>
      <c r="G235" s="364">
        <f t="shared" ref="G235" si="533">SUM(G236)</f>
        <v>4616.8</v>
      </c>
      <c r="H235" s="364">
        <f t="shared" ref="H235" si="534">SUM(H236)</f>
        <v>4616.8</v>
      </c>
      <c r="I235" s="364">
        <f t="shared" ref="I235" si="535">SUM(I236)</f>
        <v>4616.8</v>
      </c>
      <c r="J235" s="364">
        <f t="shared" ref="J235" si="536">SUM(J236)</f>
        <v>27883.200000000001</v>
      </c>
      <c r="K235" s="526"/>
    </row>
    <row r="236" spans="1:15" ht="30" x14ac:dyDescent="0.25">
      <c r="A236" s="386">
        <v>51501</v>
      </c>
      <c r="B236" s="380" t="s">
        <v>549</v>
      </c>
      <c r="C236" s="369">
        <v>32500</v>
      </c>
      <c r="D236" s="370">
        <v>0</v>
      </c>
      <c r="E236" s="369">
        <v>32500</v>
      </c>
      <c r="F236" s="369">
        <f t="shared" si="529"/>
        <v>4616.8</v>
      </c>
      <c r="G236" s="369">
        <f t="shared" si="529"/>
        <v>4616.8</v>
      </c>
      <c r="H236" s="369">
        <f t="shared" si="529"/>
        <v>4616.8</v>
      </c>
      <c r="I236" s="538">
        <f>[1]Sheet1!$M$560</f>
        <v>4616.8</v>
      </c>
      <c r="J236" s="539">
        <v>27883.200000000001</v>
      </c>
      <c r="K236" s="369">
        <v>4616.8</v>
      </c>
      <c r="L236" s="369">
        <v>4616.8</v>
      </c>
      <c r="M236" s="538">
        <v>4616.8</v>
      </c>
      <c r="N236" s="538">
        <v>4616.8</v>
      </c>
      <c r="O236" s="539">
        <v>27883.200000000001</v>
      </c>
    </row>
    <row r="237" spans="1:15" x14ac:dyDescent="0.25">
      <c r="A237" s="362">
        <v>519</v>
      </c>
      <c r="B237" s="366" t="s">
        <v>550</v>
      </c>
      <c r="C237" s="364">
        <f t="shared" ref="C237" si="537">SUM(C238)</f>
        <v>35000</v>
      </c>
      <c r="D237" s="364">
        <f t="shared" ref="D237" si="538">SUM(D238)</f>
        <v>0</v>
      </c>
      <c r="E237" s="364">
        <f t="shared" ref="E237" si="539">SUM(E238)</f>
        <v>35000</v>
      </c>
      <c r="F237" s="364">
        <f>SUM(F238)</f>
        <v>0</v>
      </c>
      <c r="G237" s="364">
        <f t="shared" ref="G237" si="540">SUM(G238)</f>
        <v>0</v>
      </c>
      <c r="H237" s="364">
        <f t="shared" ref="H237" si="541">SUM(H238)</f>
        <v>0</v>
      </c>
      <c r="I237" s="364">
        <f t="shared" ref="I237" si="542">SUM(I238)</f>
        <v>0</v>
      </c>
      <c r="J237" s="364">
        <f t="shared" ref="J237" si="543">SUM(J238)</f>
        <v>0</v>
      </c>
      <c r="K237" s="526"/>
    </row>
    <row r="238" spans="1:15" x14ac:dyDescent="0.25">
      <c r="A238" s="386">
        <v>51902</v>
      </c>
      <c r="B238" s="380" t="s">
        <v>551</v>
      </c>
      <c r="C238" s="369">
        <v>35000</v>
      </c>
      <c r="D238" s="370">
        <v>0</v>
      </c>
      <c r="E238" s="369">
        <v>35000</v>
      </c>
      <c r="F238" s="369">
        <f t="shared" si="529"/>
        <v>0</v>
      </c>
      <c r="G238" s="369">
        <f t="shared" si="529"/>
        <v>0</v>
      </c>
      <c r="H238" s="369">
        <f t="shared" si="529"/>
        <v>0</v>
      </c>
      <c r="I238" s="538">
        <v>0</v>
      </c>
      <c r="J238" s="539"/>
      <c r="K238" s="529"/>
      <c r="O238" s="539">
        <v>35000</v>
      </c>
    </row>
    <row r="239" spans="1:15" x14ac:dyDescent="0.25">
      <c r="A239" s="362">
        <v>5600</v>
      </c>
      <c r="B239" s="363" t="s">
        <v>552</v>
      </c>
      <c r="C239" s="364">
        <v>111000</v>
      </c>
      <c r="D239" s="364">
        <v>0</v>
      </c>
      <c r="E239" s="364">
        <v>111000</v>
      </c>
      <c r="F239" s="364">
        <v>0</v>
      </c>
      <c r="G239" s="364">
        <v>0</v>
      </c>
      <c r="H239" s="364">
        <v>0</v>
      </c>
      <c r="I239" s="364">
        <v>0</v>
      </c>
      <c r="J239" s="364">
        <v>111000</v>
      </c>
      <c r="K239" s="526"/>
    </row>
    <row r="240" spans="1:15" x14ac:dyDescent="0.25">
      <c r="A240" s="362">
        <v>561</v>
      </c>
      <c r="B240" s="366" t="s">
        <v>553</v>
      </c>
      <c r="C240" s="364">
        <v>11000</v>
      </c>
      <c r="D240" s="364">
        <v>0</v>
      </c>
      <c r="E240" s="364">
        <v>11000</v>
      </c>
      <c r="F240" s="364">
        <v>0</v>
      </c>
      <c r="G240" s="364">
        <v>0</v>
      </c>
      <c r="H240" s="364">
        <v>0</v>
      </c>
      <c r="I240" s="364">
        <v>0</v>
      </c>
      <c r="J240" s="364">
        <v>11000</v>
      </c>
      <c r="K240" s="526"/>
    </row>
    <row r="241" spans="1:15" x14ac:dyDescent="0.25">
      <c r="A241" s="386">
        <v>56101</v>
      </c>
      <c r="B241" s="385" t="s">
        <v>553</v>
      </c>
      <c r="C241" s="369">
        <v>11000</v>
      </c>
      <c r="D241" s="370">
        <v>0</v>
      </c>
      <c r="E241" s="369">
        <v>11000</v>
      </c>
      <c r="F241" s="369">
        <f t="shared" ref="F241:H243" si="544">G241</f>
        <v>0</v>
      </c>
      <c r="G241" s="369">
        <f t="shared" si="544"/>
        <v>0</v>
      </c>
      <c r="H241" s="369">
        <f t="shared" si="544"/>
        <v>0</v>
      </c>
      <c r="I241" s="538">
        <v>0</v>
      </c>
      <c r="J241" s="539"/>
      <c r="K241" s="529"/>
      <c r="O241" s="539">
        <v>11000</v>
      </c>
    </row>
    <row r="242" spans="1:15" ht="25.5" x14ac:dyDescent="0.25">
      <c r="A242" s="362">
        <v>564</v>
      </c>
      <c r="B242" s="366" t="s">
        <v>554</v>
      </c>
      <c r="C242" s="364">
        <v>100000</v>
      </c>
      <c r="D242" s="364">
        <v>0</v>
      </c>
      <c r="E242" s="364">
        <v>100000</v>
      </c>
      <c r="F242" s="364">
        <v>0</v>
      </c>
      <c r="G242" s="364">
        <v>0</v>
      </c>
      <c r="H242" s="364">
        <v>0</v>
      </c>
      <c r="I242" s="364">
        <v>0</v>
      </c>
      <c r="J242" s="364">
        <v>100000</v>
      </c>
      <c r="K242" s="526"/>
    </row>
    <row r="243" spans="1:15" ht="15.75" thickBot="1" x14ac:dyDescent="0.3">
      <c r="A243" s="386">
        <v>56401</v>
      </c>
      <c r="B243" s="385" t="s">
        <v>554</v>
      </c>
      <c r="C243" s="369">
        <v>100000</v>
      </c>
      <c r="D243" s="370">
        <v>0</v>
      </c>
      <c r="E243" s="369">
        <v>100000</v>
      </c>
      <c r="F243" s="369">
        <f t="shared" si="544"/>
        <v>0</v>
      </c>
      <c r="G243" s="369">
        <f t="shared" si="544"/>
        <v>0</v>
      </c>
      <c r="H243" s="369">
        <f t="shared" si="544"/>
        <v>0</v>
      </c>
      <c r="I243" s="538">
        <v>0</v>
      </c>
      <c r="J243" s="539"/>
      <c r="K243" s="529"/>
      <c r="O243" s="539">
        <v>100000</v>
      </c>
    </row>
    <row r="244" spans="1:15" ht="15.75" thickBot="1" x14ac:dyDescent="0.3">
      <c r="A244" s="377">
        <v>6000</v>
      </c>
      <c r="B244" s="360" t="s">
        <v>555</v>
      </c>
      <c r="C244" s="378">
        <f>C245</f>
        <v>2333097.54</v>
      </c>
      <c r="D244" s="378">
        <f t="shared" ref="D244:J245" si="545">D245</f>
        <v>0</v>
      </c>
      <c r="E244" s="378">
        <f t="shared" si="545"/>
        <v>2333097.54</v>
      </c>
      <c r="F244" s="378">
        <f t="shared" si="545"/>
        <v>1254045.8500000001</v>
      </c>
      <c r="G244" s="378">
        <f t="shared" si="545"/>
        <v>1254045.8500000001</v>
      </c>
      <c r="H244" s="378">
        <f t="shared" si="545"/>
        <v>1254045.8500000001</v>
      </c>
      <c r="I244" s="378">
        <f t="shared" si="545"/>
        <v>1254045.8500000001</v>
      </c>
      <c r="J244" s="378">
        <f t="shared" si="545"/>
        <v>0</v>
      </c>
      <c r="K244" s="525"/>
    </row>
    <row r="245" spans="1:15" x14ac:dyDescent="0.25">
      <c r="A245" s="362">
        <v>6200</v>
      </c>
      <c r="B245" s="363" t="s">
        <v>546</v>
      </c>
      <c r="C245" s="364">
        <f>C246</f>
        <v>2333097.54</v>
      </c>
      <c r="D245" s="364">
        <f t="shared" si="545"/>
        <v>0</v>
      </c>
      <c r="E245" s="364">
        <f t="shared" si="545"/>
        <v>2333097.54</v>
      </c>
      <c r="F245" s="364">
        <f t="shared" si="545"/>
        <v>1254045.8500000001</v>
      </c>
      <c r="G245" s="364">
        <f t="shared" si="545"/>
        <v>1254045.8500000001</v>
      </c>
      <c r="H245" s="364">
        <f t="shared" si="545"/>
        <v>1254045.8500000001</v>
      </c>
      <c r="I245" s="364">
        <f t="shared" si="545"/>
        <v>1254045.8500000001</v>
      </c>
      <c r="J245" s="364">
        <f t="shared" si="545"/>
        <v>0</v>
      </c>
      <c r="K245" s="526"/>
    </row>
    <row r="246" spans="1:15" x14ac:dyDescent="0.25">
      <c r="A246" s="362">
        <v>622</v>
      </c>
      <c r="B246" s="366" t="s">
        <v>547</v>
      </c>
      <c r="C246" s="364">
        <f>SUM(C247)</f>
        <v>2333097.54</v>
      </c>
      <c r="D246" s="364">
        <f t="shared" ref="D246:J246" si="546">SUM(D247)</f>
        <v>0</v>
      </c>
      <c r="E246" s="364">
        <f t="shared" si="546"/>
        <v>2333097.54</v>
      </c>
      <c r="F246" s="364">
        <f t="shared" si="546"/>
        <v>1254045.8500000001</v>
      </c>
      <c r="G246" s="364">
        <f t="shared" si="546"/>
        <v>1254045.8500000001</v>
      </c>
      <c r="H246" s="364">
        <f t="shared" si="546"/>
        <v>1254045.8500000001</v>
      </c>
      <c r="I246" s="364">
        <f t="shared" si="546"/>
        <v>1254045.8500000001</v>
      </c>
      <c r="J246" s="364">
        <f t="shared" si="546"/>
        <v>0</v>
      </c>
      <c r="K246" s="526"/>
    </row>
    <row r="247" spans="1:15" ht="30.75" thickBot="1" x14ac:dyDescent="0.3">
      <c r="A247" s="386">
        <v>62217</v>
      </c>
      <c r="B247" s="380" t="s">
        <v>556</v>
      </c>
      <c r="C247" s="369">
        <v>2333097.54</v>
      </c>
      <c r="D247" s="370">
        <v>0</v>
      </c>
      <c r="E247" s="369">
        <v>2333097.54</v>
      </c>
      <c r="F247" s="369">
        <f t="shared" ref="F247:H249" si="547">G247</f>
        <v>1254045.8500000001</v>
      </c>
      <c r="G247" s="369">
        <f t="shared" si="547"/>
        <v>1254045.8500000001</v>
      </c>
      <c r="H247" s="369">
        <f t="shared" si="547"/>
        <v>1254045.8500000001</v>
      </c>
      <c r="I247" s="538">
        <f>[1]Sheet1!$M$566</f>
        <v>1254045.8500000001</v>
      </c>
      <c r="J247" s="539"/>
      <c r="K247" s="369">
        <v>112887.69</v>
      </c>
      <c r="L247" s="369">
        <v>112887.69</v>
      </c>
      <c r="M247" s="538">
        <v>112887.69</v>
      </c>
      <c r="N247" s="538">
        <v>112887.69</v>
      </c>
      <c r="O247" s="539">
        <v>2220209.85</v>
      </c>
    </row>
    <row r="248" spans="1:15" ht="30.75" thickBot="1" x14ac:dyDescent="0.3">
      <c r="A248" s="377">
        <v>7000</v>
      </c>
      <c r="B248" s="360" t="s">
        <v>557</v>
      </c>
      <c r="C248" s="378">
        <f>SUM(C249)</f>
        <v>28659.110000000095</v>
      </c>
      <c r="D248" s="378">
        <f t="shared" ref="D248" si="548">SUM(D249)</f>
        <v>0</v>
      </c>
      <c r="E248" s="378">
        <f t="shared" ref="E248" si="549">SUM(E249)</f>
        <v>28659.110000000095</v>
      </c>
      <c r="F248" s="378">
        <f t="shared" ref="F248" si="550">SUM(F249)</f>
        <v>23200</v>
      </c>
      <c r="G248" s="378">
        <f t="shared" ref="G248" si="551">SUM(G249)</f>
        <v>23200</v>
      </c>
      <c r="H248" s="378">
        <f t="shared" ref="H248" si="552">SUM(H249)</f>
        <v>23200</v>
      </c>
      <c r="I248" s="378">
        <f t="shared" ref="I248" si="553">SUM(I249)</f>
        <v>23200</v>
      </c>
      <c r="J248" s="378">
        <f t="shared" ref="J248" si="554">SUM(J249)</f>
        <v>0</v>
      </c>
      <c r="K248" s="525"/>
    </row>
    <row r="249" spans="1:15" ht="30" x14ac:dyDescent="0.25">
      <c r="A249" s="386">
        <v>75601</v>
      </c>
      <c r="B249" s="387" t="s">
        <v>558</v>
      </c>
      <c r="C249" s="369">
        <v>28659.110000000095</v>
      </c>
      <c r="D249" s="365">
        <v>0</v>
      </c>
      <c r="E249" s="369">
        <v>28659.110000000095</v>
      </c>
      <c r="F249" s="369">
        <f t="shared" si="547"/>
        <v>23200</v>
      </c>
      <c r="G249" s="369">
        <f t="shared" si="547"/>
        <v>23200</v>
      </c>
      <c r="H249" s="369">
        <f t="shared" si="547"/>
        <v>23200</v>
      </c>
      <c r="I249" s="538">
        <f>[1]Sheet1!$M$572</f>
        <v>23200</v>
      </c>
      <c r="J249" s="540"/>
      <c r="K249" s="369">
        <v>17400</v>
      </c>
      <c r="L249" s="369">
        <v>17400</v>
      </c>
      <c r="M249" s="538">
        <v>11600</v>
      </c>
      <c r="N249" s="538">
        <v>11600</v>
      </c>
      <c r="O249" s="540">
        <v>17059.110000000095</v>
      </c>
    </row>
    <row r="250" spans="1:15" ht="15.75" thickBot="1" x14ac:dyDescent="0.3">
      <c r="A250" s="388"/>
      <c r="B250" s="389"/>
      <c r="C250" s="533"/>
      <c r="D250" s="533"/>
      <c r="E250" s="533"/>
      <c r="F250" s="533"/>
      <c r="G250" s="533"/>
      <c r="H250" s="533"/>
      <c r="I250" s="533"/>
      <c r="J250" s="533"/>
      <c r="K250" s="390"/>
    </row>
    <row r="251" spans="1:15" ht="45.75" thickBot="1" x14ac:dyDescent="0.3">
      <c r="A251" s="377">
        <v>62217</v>
      </c>
      <c r="B251" s="360" t="s">
        <v>559</v>
      </c>
      <c r="C251" s="378">
        <f>SUM(C252:C256)</f>
        <v>2333097.54</v>
      </c>
      <c r="D251" s="378">
        <f t="shared" ref="D251:J251" si="555">SUM(D252:D256)</f>
        <v>0</v>
      </c>
      <c r="E251" s="378">
        <f t="shared" si="555"/>
        <v>2333097.54</v>
      </c>
      <c r="F251" s="378">
        <f t="shared" si="555"/>
        <v>1254045.8499999999</v>
      </c>
      <c r="G251" s="378">
        <f t="shared" si="555"/>
        <v>1254045.8499999999</v>
      </c>
      <c r="H251" s="378">
        <f t="shared" si="555"/>
        <v>1254045.8499999999</v>
      </c>
      <c r="I251" s="378">
        <f t="shared" si="555"/>
        <v>1254045.8499999999</v>
      </c>
      <c r="J251" s="378">
        <f t="shared" si="555"/>
        <v>0</v>
      </c>
      <c r="K251" s="525"/>
    </row>
    <row r="252" spans="1:15" x14ac:dyDescent="0.25">
      <c r="A252" s="391">
        <v>62217</v>
      </c>
      <c r="B252" s="380" t="s">
        <v>560</v>
      </c>
      <c r="C252" s="392">
        <v>1436489</v>
      </c>
      <c r="D252" s="370">
        <v>0</v>
      </c>
      <c r="E252" s="369">
        <v>1436489</v>
      </c>
      <c r="F252" s="369">
        <f t="shared" ref="F252:H252" si="556">G252</f>
        <v>864113.76</v>
      </c>
      <c r="G252" s="369">
        <f t="shared" si="556"/>
        <v>864113.76</v>
      </c>
      <c r="H252" s="369">
        <f t="shared" si="556"/>
        <v>864113.76</v>
      </c>
      <c r="I252" s="538">
        <v>864113.76</v>
      </c>
      <c r="J252" s="540"/>
      <c r="K252" s="393">
        <v>24568.69</v>
      </c>
      <c r="L252" s="369">
        <v>24568.69</v>
      </c>
      <c r="M252" s="538">
        <v>24568.69</v>
      </c>
      <c r="N252" s="538">
        <v>24568.69</v>
      </c>
      <c r="O252" s="540">
        <v>1411920.31</v>
      </c>
    </row>
    <row r="253" spans="1:15" x14ac:dyDescent="0.25">
      <c r="A253" s="391">
        <v>62217</v>
      </c>
      <c r="B253" s="380" t="s">
        <v>561</v>
      </c>
      <c r="C253" s="392">
        <v>400043.22</v>
      </c>
      <c r="D253" s="370">
        <v>0</v>
      </c>
      <c r="E253" s="369">
        <v>400043.22</v>
      </c>
      <c r="F253" s="369">
        <f t="shared" ref="F253:H253" si="557">G253</f>
        <v>0</v>
      </c>
      <c r="G253" s="369">
        <f t="shared" si="557"/>
        <v>0</v>
      </c>
      <c r="H253" s="369">
        <f t="shared" si="557"/>
        <v>0</v>
      </c>
      <c r="I253" s="538"/>
      <c r="J253" s="540"/>
      <c r="K253" s="393"/>
      <c r="L253" s="369">
        <v>0</v>
      </c>
      <c r="M253" s="538">
        <v>0</v>
      </c>
      <c r="N253" s="538">
        <v>0</v>
      </c>
      <c r="O253" s="540">
        <v>400043.22</v>
      </c>
    </row>
    <row r="254" spans="1:15" ht="25.5" x14ac:dyDescent="0.25">
      <c r="A254" s="391">
        <v>62217</v>
      </c>
      <c r="B254" s="394" t="s">
        <v>562</v>
      </c>
      <c r="C254" s="392">
        <v>38451.4</v>
      </c>
      <c r="D254" s="370">
        <v>0</v>
      </c>
      <c r="E254" s="369">
        <v>38451.4</v>
      </c>
      <c r="F254" s="369">
        <f t="shared" ref="F254:H254" si="558">G254</f>
        <v>27000</v>
      </c>
      <c r="G254" s="369">
        <f t="shared" si="558"/>
        <v>27000</v>
      </c>
      <c r="H254" s="369">
        <f t="shared" si="558"/>
        <v>27000</v>
      </c>
      <c r="I254" s="538">
        <v>27000</v>
      </c>
      <c r="J254" s="540"/>
      <c r="K254" s="393">
        <v>27000</v>
      </c>
      <c r="L254" s="369">
        <v>27000</v>
      </c>
      <c r="M254" s="538">
        <v>27000</v>
      </c>
      <c r="N254" s="538">
        <v>27000</v>
      </c>
      <c r="O254" s="540">
        <v>11451.400000000001</v>
      </c>
    </row>
    <row r="255" spans="1:15" x14ac:dyDescent="0.25">
      <c r="A255" s="391">
        <v>62217</v>
      </c>
      <c r="B255" s="394" t="s">
        <v>563</v>
      </c>
      <c r="C255" s="392">
        <v>456648.92</v>
      </c>
      <c r="D255" s="370">
        <v>0</v>
      </c>
      <c r="E255" s="369">
        <v>456648.92</v>
      </c>
      <c r="F255" s="369">
        <f t="shared" ref="F255:H255" si="559">G255</f>
        <v>348925.66</v>
      </c>
      <c r="G255" s="369">
        <f t="shared" si="559"/>
        <v>348925.66</v>
      </c>
      <c r="H255" s="369">
        <f t="shared" si="559"/>
        <v>348925.66</v>
      </c>
      <c r="I255" s="538">
        <v>348925.66</v>
      </c>
      <c r="J255" s="540"/>
      <c r="K255" s="393">
        <v>61319</v>
      </c>
      <c r="L255" s="369">
        <v>61319</v>
      </c>
      <c r="M255" s="538">
        <v>61319</v>
      </c>
      <c r="N255" s="538">
        <v>61319</v>
      </c>
      <c r="O255" s="540">
        <v>395329.92</v>
      </c>
    </row>
    <row r="256" spans="1:15" ht="15.75" thickBot="1" x14ac:dyDescent="0.3">
      <c r="A256" s="391">
        <v>62217</v>
      </c>
      <c r="B256" s="394" t="s">
        <v>564</v>
      </c>
      <c r="C256" s="392">
        <v>1465</v>
      </c>
      <c r="D256" s="370">
        <v>0</v>
      </c>
      <c r="E256" s="369">
        <v>1465</v>
      </c>
      <c r="F256" s="369">
        <f t="shared" ref="F256:H256" si="560">G256</f>
        <v>14006.43</v>
      </c>
      <c r="G256" s="369">
        <f t="shared" si="560"/>
        <v>14006.43</v>
      </c>
      <c r="H256" s="369">
        <f t="shared" si="560"/>
        <v>14006.43</v>
      </c>
      <c r="I256" s="538">
        <v>14006.43</v>
      </c>
      <c r="J256" s="540"/>
      <c r="K256" s="393"/>
      <c r="L256" s="369">
        <v>0</v>
      </c>
      <c r="M256" s="538">
        <v>0</v>
      </c>
      <c r="N256" s="538">
        <v>0</v>
      </c>
      <c r="O256" s="540">
        <v>1465</v>
      </c>
    </row>
    <row r="257" spans="1:15" ht="30.75" thickBot="1" x14ac:dyDescent="0.3">
      <c r="A257" s="377">
        <v>75601</v>
      </c>
      <c r="B257" s="360" t="s">
        <v>565</v>
      </c>
      <c r="C257" s="378">
        <f>SUM(C258)</f>
        <v>28659.110000000095</v>
      </c>
      <c r="D257" s="378">
        <f t="shared" ref="D257:J257" si="561">SUM(D258)</f>
        <v>0</v>
      </c>
      <c r="E257" s="378">
        <f t="shared" si="561"/>
        <v>28659.110000000095</v>
      </c>
      <c r="F257" s="378">
        <f t="shared" si="561"/>
        <v>23200</v>
      </c>
      <c r="G257" s="378">
        <f t="shared" si="561"/>
        <v>23200</v>
      </c>
      <c r="H257" s="378">
        <f t="shared" si="561"/>
        <v>23200</v>
      </c>
      <c r="I257" s="378">
        <f t="shared" si="561"/>
        <v>23200</v>
      </c>
      <c r="J257" s="378">
        <f t="shared" si="561"/>
        <v>0</v>
      </c>
      <c r="K257" s="525"/>
    </row>
    <row r="258" spans="1:15" x14ac:dyDescent="0.25">
      <c r="A258" s="391">
        <v>75601</v>
      </c>
      <c r="B258" s="380" t="s">
        <v>566</v>
      </c>
      <c r="C258" s="392">
        <v>28659.110000000095</v>
      </c>
      <c r="D258" s="365">
        <v>0</v>
      </c>
      <c r="E258" s="392">
        <v>28659.110000000095</v>
      </c>
      <c r="F258" s="369">
        <f t="shared" ref="F258:H258" si="562">G258</f>
        <v>23200</v>
      </c>
      <c r="G258" s="369">
        <f t="shared" si="562"/>
        <v>23200</v>
      </c>
      <c r="H258" s="369">
        <f t="shared" si="562"/>
        <v>23200</v>
      </c>
      <c r="I258" s="369">
        <v>23200</v>
      </c>
      <c r="J258" s="540"/>
      <c r="K258" s="393">
        <v>17400</v>
      </c>
      <c r="L258" s="369">
        <v>17400</v>
      </c>
      <c r="M258" s="369">
        <v>11600</v>
      </c>
      <c r="N258" s="369">
        <v>11600</v>
      </c>
      <c r="O258" s="540">
        <v>17059.110000000095</v>
      </c>
    </row>
    <row r="259" spans="1:15" ht="15.75" thickBot="1" x14ac:dyDescent="0.3"/>
    <row r="260" spans="1:15" ht="15.75" thickBot="1" x14ac:dyDescent="0.3">
      <c r="A260" s="395"/>
      <c r="B260" s="396" t="s">
        <v>226</v>
      </c>
      <c r="C260" s="378">
        <f>+C10+C48+C127+C225+C231+C244+C248</f>
        <v>41885775.079544254</v>
      </c>
      <c r="D260" s="378">
        <f t="shared" ref="D260:J260" si="563">+D10+D48+D127+D225+D231+D244+D248</f>
        <v>0</v>
      </c>
      <c r="E260" s="378">
        <f t="shared" si="563"/>
        <v>41885775.079544254</v>
      </c>
      <c r="F260" s="378">
        <f t="shared" si="563"/>
        <v>35703227.916044332</v>
      </c>
      <c r="G260" s="378">
        <f t="shared" si="563"/>
        <v>17511699.52</v>
      </c>
      <c r="H260" s="378">
        <f t="shared" si="563"/>
        <v>17451699.52</v>
      </c>
      <c r="I260" s="378">
        <f t="shared" si="563"/>
        <v>17110103.68</v>
      </c>
      <c r="J260" s="378">
        <f t="shared" si="563"/>
        <v>138883.20000000001</v>
      </c>
      <c r="K260" s="525"/>
    </row>
  </sheetData>
  <mergeCells count="8">
    <mergeCell ref="A1:J1"/>
    <mergeCell ref="A7:B7"/>
    <mergeCell ref="A8:B8"/>
    <mergeCell ref="A2:J2"/>
    <mergeCell ref="A3:J3"/>
    <mergeCell ref="A4:J4"/>
    <mergeCell ref="A5:J5"/>
    <mergeCell ref="A6:J6"/>
  </mergeCells>
  <pageMargins left="0.27559055118110237" right="0.27559055118110237" top="0.51181102362204722" bottom="0.19685039370078741" header="0.31496062992125984" footer="0.15748031496062992"/>
  <pageSetup scale="84" fitToHeight="0" orientation="landscape" r:id="rId1"/>
  <headerFooter>
    <oddFooter>&amp;R&amp;"Arial Narrow,Normal"&amp;8&amp;U&amp;P de &amp;N</oddFooter>
  </headerFooter>
  <ignoredErrors>
    <ignoredError sqref="C8:J50 C52:E52 C51:E51 J51 C54:J54 C53:E53 J53 J52 C56:J56 C55:E55 I55:J55 C58:J58 C57:E57 I57:J57 C60:J60 C59:E59 J59 C62:J63 C61:E61 J61 C67:J68 C64:E64 J64 C65:E66 J66 J65 C70:J71 C69:E69 I69:J69 C73:J73 C72:E72 I72:J72 C75:J75 C74:E74 I74:J74 C77:J77 C76:E76 J76 C79:J79 C78:E78 J78 C81:J81 C80:E80 I80:J80 C83:J83 C82:E82 J82 C85:J85 C84:E84 J84 C87:J87 C86:E86 I86:J86 C89:J90 C88:E88 J88 C92:J92 C91:E91 I91:J91 C94:J94 C93:E93 I93:J93 C96:J96 C95:E95 I95:J95 C98:J98 C97:E97 I97:J97 C100:J101 C99:E99 I99:J99 C104:J105 C102:E103 J103 J102 C107:J107 C106:E106 I106:J106 C109:J109 C108:E108 I108:J108 C111:J112 C110:E110 J110 C114:J115 C113:E113 I113:J113 C117:J117 C116:E116 I116:J116 C119:J119 C118:E118 J118 C121:J121 C120:E120 I120:J120 C123:J123 C122:E122 J122 C125:J125 C124:E124 I124:J124 C127:J129 C126:E126 J126 C132:J132 C130:E130 J130 C131:E131 I131:J131 C134:J134 C133:E133 I133:J133 C136:J136 C135:E135 J135 C138:J138 C137:E137 J137 C140:J140 C139:E139 J139 C142:J142 C141:E141 J141 C144:J145 C143:E143 J143 C147:J147 C146:E146 J146 C149:J149 C148:E148 J148 C151:J151 C150:E150 I150:J150 C153:J153 C152:E152 J152 C155:J156 C154:E154 I154:J154 C158:J158 C157:E157 J157 C160:J160 C159:E159 I159:J159 C162:J162 C161:E161 J161 C164:J164 C163:E163 J163 C166:J166 C165:E165 J165 C169:J170 C167:E167 J167 C168:E168 I168:J168 C172:J172 C171:E171 J171 C174:J174 C173:E173 I173:J173 C176:J177 C175:E175 J175 C181:J181 C178:E178 J178 C179:E179 J179 C180:E180 J180 C184:J184 C182:E182 J182 C183:E183 I183:J183 C187:J187 C185:E185 J185 C186:E186 I186:J186 C189:J189 C188:E188 J188 C191:J191 C190:E190 J190 C193:J194 C192:E192 J192 C196:J196 C195:E195 J195 C198:J199 C197:E197 I197:J197 C201:J201 C200:E200 J200 C203:J203 C202:E202 J202 C206:J206 C204:E204 J204 C205:E205 J205 C208:J208 C207:E207 J207 C210:J210 C209:E209 J209 C212:J214 C211:E211 I211:J211 C216:J216 C215:E215 J215 C218:J218 C217:E217 J217 C220:J221 C219:E219 J219 C223:J223 C222:E222 J222 C225:J227 C224:E224 J224 C231:J233 C228:E228 J228 C229:E229 J229 C230:E230 I230:J230 C235:J235 C234:E234 I234:J234 C237:J237 C236:E236 J236 C239:J240 C238:E238 I238:J238 C242:J242 C241:E241 I241:J241 C244:J246 C243:E243 I243:J243 C248:J248 C247:E247 J247 C250:J251 C249:E249 J249 C257:J257 C252:E256 I253:J253 C259:J260 C258:E258 J258 J256 J254 J255 J252" numberStoredAsText="1"/>
    <ignoredError sqref="F51 G51:I51 F52:I52" numberStoredAsText="1" formula="1"/>
    <ignoredError sqref="F53:I53 G157 I157" 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7" sqref="D7"/>
    </sheetView>
  </sheetViews>
  <sheetFormatPr baseColWidth="10" defaultRowHeight="14.25" x14ac:dyDescent="0.2"/>
  <cols>
    <col min="1" max="1" width="4.28515625" style="140" customWidth="1"/>
    <col min="2" max="2" width="35.7109375" style="8" customWidth="1"/>
    <col min="3" max="5" width="14.7109375" style="8" customWidth="1"/>
    <col min="6" max="16384" width="11.42578125" style="8"/>
  </cols>
  <sheetData>
    <row r="1" spans="1:5" ht="15" x14ac:dyDescent="0.25">
      <c r="E1" s="237" t="s">
        <v>313</v>
      </c>
    </row>
    <row r="2" spans="1:5" ht="15.75" x14ac:dyDescent="0.25">
      <c r="A2" s="473" t="s">
        <v>381</v>
      </c>
      <c r="B2" s="473"/>
      <c r="C2" s="473"/>
      <c r="D2" s="473"/>
      <c r="E2" s="473"/>
    </row>
    <row r="3" spans="1:5" ht="15.75" x14ac:dyDescent="0.25">
      <c r="A3" s="473" t="s">
        <v>319</v>
      </c>
      <c r="B3" s="473"/>
      <c r="C3" s="473"/>
      <c r="D3" s="473"/>
      <c r="E3" s="473"/>
    </row>
    <row r="4" spans="1:5" ht="15.75" x14ac:dyDescent="0.25">
      <c r="A4" s="473" t="s">
        <v>320</v>
      </c>
      <c r="B4" s="473"/>
      <c r="C4" s="473"/>
      <c r="D4" s="473"/>
      <c r="E4" s="473"/>
    </row>
    <row r="5" spans="1:5" ht="15.75" x14ac:dyDescent="0.25">
      <c r="A5" s="63"/>
      <c r="B5" s="63"/>
      <c r="C5" s="63"/>
      <c r="D5" s="63"/>
      <c r="E5" s="63"/>
    </row>
    <row r="6" spans="1:5" ht="15.75" x14ac:dyDescent="0.25">
      <c r="A6" s="63"/>
      <c r="B6" s="63"/>
      <c r="C6" s="64" t="s">
        <v>321</v>
      </c>
      <c r="D6" s="397" t="s">
        <v>594</v>
      </c>
      <c r="E6" s="398"/>
    </row>
    <row r="7" spans="1:5" ht="6.75" customHeight="1" thickBot="1" x14ac:dyDescent="0.25"/>
    <row r="8" spans="1:5" s="238" customFormat="1" ht="30" customHeight="1" thickBot="1" x14ac:dyDescent="0.3">
      <c r="A8" s="474" t="s">
        <v>134</v>
      </c>
      <c r="B8" s="475"/>
      <c r="C8" s="229" t="s">
        <v>322</v>
      </c>
      <c r="D8" s="230" t="s">
        <v>323</v>
      </c>
      <c r="E8" s="231" t="s">
        <v>323</v>
      </c>
    </row>
    <row r="9" spans="1:5" s="138" customFormat="1" ht="39.950000000000003" customHeight="1" x14ac:dyDescent="0.2">
      <c r="A9" s="226" t="s">
        <v>324</v>
      </c>
      <c r="B9" s="222"/>
      <c r="C9" s="223"/>
      <c r="D9" s="224"/>
      <c r="E9" s="227"/>
    </row>
    <row r="10" spans="1:5" s="138" customFormat="1" ht="30" customHeight="1" x14ac:dyDescent="0.2">
      <c r="A10" s="239"/>
      <c r="B10" s="240" t="s">
        <v>325</v>
      </c>
      <c r="C10" s="241">
        <v>0</v>
      </c>
      <c r="D10" s="242">
        <v>0</v>
      </c>
      <c r="E10" s="243">
        <v>0</v>
      </c>
    </row>
    <row r="11" spans="1:5" s="138" customFormat="1" ht="30" customHeight="1" x14ac:dyDescent="0.2">
      <c r="A11" s="239"/>
      <c r="B11" s="240" t="s">
        <v>326</v>
      </c>
      <c r="C11" s="241">
        <v>0</v>
      </c>
      <c r="D11" s="242">
        <v>0</v>
      </c>
      <c r="E11" s="243">
        <v>0</v>
      </c>
    </row>
    <row r="12" spans="1:5" s="138" customFormat="1" ht="39.950000000000003" customHeight="1" x14ac:dyDescent="0.2">
      <c r="A12" s="226" t="s">
        <v>327</v>
      </c>
      <c r="B12" s="222"/>
      <c r="C12" s="223"/>
      <c r="D12" s="224"/>
      <c r="E12" s="227"/>
    </row>
    <row r="13" spans="1:5" s="138" customFormat="1" ht="30" customHeight="1" x14ac:dyDescent="0.2">
      <c r="A13" s="239"/>
      <c r="B13" s="240" t="s">
        <v>325</v>
      </c>
      <c r="C13" s="241">
        <v>0</v>
      </c>
      <c r="D13" s="242">
        <v>0</v>
      </c>
      <c r="E13" s="243">
        <v>0</v>
      </c>
    </row>
    <row r="14" spans="1:5" s="138" customFormat="1" ht="30" customHeight="1" x14ac:dyDescent="0.2">
      <c r="A14" s="239"/>
      <c r="B14" s="240" t="s">
        <v>326</v>
      </c>
      <c r="C14" s="241">
        <v>0</v>
      </c>
      <c r="D14" s="242">
        <v>0</v>
      </c>
      <c r="E14" s="243">
        <v>0</v>
      </c>
    </row>
    <row r="15" spans="1:5" s="138" customFormat="1" ht="39.950000000000003" customHeight="1" x14ac:dyDescent="0.2">
      <c r="A15" s="228" t="s">
        <v>328</v>
      </c>
      <c r="B15" s="221"/>
      <c r="C15" s="225"/>
      <c r="D15" s="224"/>
      <c r="E15" s="227"/>
    </row>
    <row r="16" spans="1:5" s="138" customFormat="1" ht="39.950000000000003" customHeight="1" thickBot="1" x14ac:dyDescent="0.25">
      <c r="A16" s="228" t="s">
        <v>329</v>
      </c>
      <c r="B16" s="221"/>
      <c r="C16" s="225"/>
      <c r="D16" s="224"/>
      <c r="E16" s="227"/>
    </row>
    <row r="17" spans="1:10" ht="30" customHeight="1" thickBot="1" x14ac:dyDescent="0.25">
      <c r="A17" s="232" t="s">
        <v>330</v>
      </c>
      <c r="B17" s="233"/>
      <c r="C17" s="234">
        <v>0</v>
      </c>
      <c r="D17" s="235">
        <v>0</v>
      </c>
      <c r="E17" s="236">
        <v>0</v>
      </c>
    </row>
    <row r="18" spans="1:10" x14ac:dyDescent="0.2">
      <c r="J18" s="65"/>
    </row>
    <row r="19" spans="1:10" x14ac:dyDescent="0.2">
      <c r="C19" s="244"/>
      <c r="J19" s="65"/>
    </row>
    <row r="20" spans="1:10" x14ac:dyDescent="0.2">
      <c r="J20" s="65"/>
    </row>
    <row r="21" spans="1:10" x14ac:dyDescent="0.2">
      <c r="J21" s="65"/>
    </row>
    <row r="22" spans="1:10" x14ac:dyDescent="0.2">
      <c r="J22" s="65"/>
    </row>
    <row r="23" spans="1:10" x14ac:dyDescent="0.2">
      <c r="J23" s="65"/>
    </row>
  </sheetData>
  <mergeCells count="4">
    <mergeCell ref="A3:E3"/>
    <mergeCell ref="A4:E4"/>
    <mergeCell ref="A8:B8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A5" sqref="A5:A7"/>
    </sheetView>
  </sheetViews>
  <sheetFormatPr baseColWidth="10" defaultRowHeight="15" x14ac:dyDescent="0.25"/>
  <cols>
    <col min="1" max="1" width="5.28515625" customWidth="1"/>
    <col min="2" max="2" width="29.140625" customWidth="1"/>
    <col min="3" max="3" width="27.42578125" customWidth="1"/>
  </cols>
  <sheetData>
    <row r="1" spans="1:8" x14ac:dyDescent="0.25">
      <c r="A1" s="484" t="s">
        <v>356</v>
      </c>
      <c r="B1" s="484"/>
      <c r="C1" s="484"/>
      <c r="D1" s="484"/>
      <c r="E1" s="484"/>
      <c r="F1" s="484"/>
      <c r="G1" s="484"/>
      <c r="H1" s="484"/>
    </row>
    <row r="2" spans="1:8" x14ac:dyDescent="0.25">
      <c r="A2" s="484" t="s">
        <v>381</v>
      </c>
      <c r="B2" s="484"/>
      <c r="C2" s="484"/>
      <c r="D2" s="484"/>
      <c r="E2" s="484"/>
      <c r="F2" s="484"/>
      <c r="G2" s="484"/>
      <c r="H2" s="484"/>
    </row>
    <row r="3" spans="1:8" x14ac:dyDescent="0.25">
      <c r="A3" s="485" t="s">
        <v>38</v>
      </c>
      <c r="B3" s="485"/>
      <c r="C3" s="485"/>
      <c r="D3" s="485"/>
      <c r="E3" s="485"/>
      <c r="F3" s="485"/>
      <c r="G3" s="485"/>
      <c r="H3" s="485"/>
    </row>
    <row r="4" spans="1:8" ht="15.75" thickBot="1" x14ac:dyDescent="0.3">
      <c r="A4" s="485" t="s">
        <v>567</v>
      </c>
      <c r="B4" s="485"/>
      <c r="C4" s="485"/>
      <c r="D4" s="485"/>
      <c r="E4" s="485"/>
      <c r="F4" s="485"/>
      <c r="G4" s="485"/>
      <c r="H4" s="485"/>
    </row>
    <row r="5" spans="1:8" s="173" customFormat="1" x14ac:dyDescent="0.25">
      <c r="A5" s="486" t="s">
        <v>368</v>
      </c>
      <c r="B5" s="489" t="s">
        <v>369</v>
      </c>
      <c r="C5" s="489" t="s">
        <v>370</v>
      </c>
      <c r="D5" s="489" t="s">
        <v>371</v>
      </c>
      <c r="E5" s="489" t="s">
        <v>372</v>
      </c>
      <c r="F5" s="489"/>
      <c r="G5" s="489"/>
      <c r="H5" s="492"/>
    </row>
    <row r="6" spans="1:8" s="173" customFormat="1" x14ac:dyDescent="0.25">
      <c r="A6" s="487"/>
      <c r="B6" s="490"/>
      <c r="C6" s="490"/>
      <c r="D6" s="490"/>
      <c r="E6" s="490" t="s">
        <v>373</v>
      </c>
      <c r="F6" s="490"/>
      <c r="G6" s="490" t="s">
        <v>374</v>
      </c>
      <c r="H6" s="493"/>
    </row>
    <row r="7" spans="1:8" s="173" customFormat="1" ht="15.75" thickBot="1" x14ac:dyDescent="0.3">
      <c r="A7" s="488"/>
      <c r="B7" s="491"/>
      <c r="C7" s="491"/>
      <c r="D7" s="491"/>
      <c r="E7" s="290" t="s">
        <v>375</v>
      </c>
      <c r="F7" s="290" t="s">
        <v>376</v>
      </c>
      <c r="G7" s="290" t="s">
        <v>375</v>
      </c>
      <c r="H7" s="291" t="s">
        <v>376</v>
      </c>
    </row>
    <row r="8" spans="1:8" ht="26.25" customHeight="1" x14ac:dyDescent="0.25">
      <c r="A8" s="482">
        <v>1</v>
      </c>
      <c r="B8" s="483"/>
      <c r="C8" s="483"/>
      <c r="D8" s="480"/>
      <c r="E8" s="292"/>
      <c r="F8" s="480"/>
      <c r="G8" s="480"/>
      <c r="H8" s="481"/>
    </row>
    <row r="9" spans="1:8" x14ac:dyDescent="0.25">
      <c r="A9" s="477"/>
      <c r="B9" s="478"/>
      <c r="C9" s="478"/>
      <c r="D9" s="479"/>
      <c r="E9" s="293"/>
      <c r="F9" s="479"/>
      <c r="G9" s="479"/>
      <c r="H9" s="476"/>
    </row>
    <row r="10" spans="1:8" x14ac:dyDescent="0.25">
      <c r="A10" s="477"/>
      <c r="B10" s="478"/>
      <c r="C10" s="478"/>
      <c r="D10" s="479"/>
      <c r="E10" s="293"/>
      <c r="F10" s="479"/>
      <c r="G10" s="479"/>
      <c r="H10" s="476"/>
    </row>
    <row r="11" spans="1:8" ht="0.75" customHeight="1" x14ac:dyDescent="0.25">
      <c r="A11" s="477"/>
      <c r="B11" s="478"/>
      <c r="C11" s="478"/>
      <c r="D11" s="479"/>
      <c r="E11" s="293"/>
      <c r="F11" s="479"/>
      <c r="G11" s="479"/>
      <c r="H11" s="476"/>
    </row>
    <row r="12" spans="1:8" x14ac:dyDescent="0.25">
      <c r="A12" s="477"/>
      <c r="B12" s="478"/>
      <c r="C12" s="478"/>
      <c r="D12" s="479"/>
      <c r="E12" s="293"/>
      <c r="F12" s="479"/>
      <c r="G12" s="479"/>
      <c r="H12" s="476"/>
    </row>
    <row r="13" spans="1:8" ht="1.5" customHeight="1" x14ac:dyDescent="0.25">
      <c r="A13" s="477"/>
      <c r="B13" s="478"/>
      <c r="C13" s="478"/>
      <c r="D13" s="479"/>
      <c r="E13" s="293"/>
      <c r="F13" s="479"/>
      <c r="G13" s="479"/>
      <c r="H13" s="476"/>
    </row>
    <row r="14" spans="1:8" x14ac:dyDescent="0.25">
      <c r="A14" s="477"/>
      <c r="B14" s="478"/>
      <c r="C14" s="478"/>
      <c r="D14" s="479"/>
      <c r="E14" s="293"/>
      <c r="F14" s="479"/>
      <c r="G14" s="479"/>
      <c r="H14" s="476"/>
    </row>
    <row r="15" spans="1:8" ht="0.75" customHeight="1" x14ac:dyDescent="0.25">
      <c r="A15" s="477"/>
      <c r="B15" s="478"/>
      <c r="C15" s="478"/>
      <c r="D15" s="479"/>
      <c r="E15" s="293"/>
      <c r="F15" s="479"/>
      <c r="G15" s="479"/>
      <c r="H15" s="476"/>
    </row>
    <row r="16" spans="1:8" x14ac:dyDescent="0.25">
      <c r="A16" s="477"/>
      <c r="B16" s="478"/>
      <c r="C16" s="478"/>
      <c r="D16" s="479"/>
      <c r="E16" s="293"/>
      <c r="F16" s="479"/>
      <c r="G16" s="479"/>
      <c r="H16" s="476"/>
    </row>
    <row r="17" spans="1:8" ht="1.5" customHeight="1" x14ac:dyDescent="0.25">
      <c r="A17" s="477"/>
      <c r="B17" s="478"/>
      <c r="C17" s="478"/>
      <c r="D17" s="479"/>
      <c r="E17" s="293"/>
      <c r="F17" s="479"/>
      <c r="G17" s="479"/>
      <c r="H17" s="476"/>
    </row>
    <row r="18" spans="1:8" x14ac:dyDescent="0.25">
      <c r="A18" s="477"/>
      <c r="B18" s="478"/>
      <c r="C18" s="478"/>
      <c r="D18" s="479"/>
      <c r="E18" s="293"/>
      <c r="F18" s="479"/>
      <c r="G18" s="479"/>
      <c r="H18" s="476"/>
    </row>
    <row r="19" spans="1:8" ht="0.75" customHeight="1" x14ac:dyDescent="0.25">
      <c r="A19" s="477"/>
      <c r="B19" s="478"/>
      <c r="C19" s="478"/>
      <c r="D19" s="479"/>
      <c r="E19" s="293"/>
      <c r="F19" s="479"/>
      <c r="G19" s="479"/>
      <c r="H19" s="476"/>
    </row>
    <row r="20" spans="1:8" x14ac:dyDescent="0.25">
      <c r="A20" s="294"/>
      <c r="B20" s="295"/>
      <c r="C20" s="295"/>
      <c r="D20" s="293"/>
      <c r="E20" s="293"/>
      <c r="F20" s="293"/>
      <c r="G20" s="293"/>
      <c r="H20" s="296"/>
    </row>
    <row r="21" spans="1:8" x14ac:dyDescent="0.25">
      <c r="A21" s="294">
        <v>2</v>
      </c>
      <c r="B21" s="295"/>
      <c r="C21" s="295"/>
      <c r="D21" s="293"/>
      <c r="E21" s="293"/>
      <c r="F21" s="293"/>
      <c r="G21" s="293"/>
      <c r="H21" s="296"/>
    </row>
    <row r="22" spans="1:8" ht="26.25" customHeight="1" x14ac:dyDescent="0.25">
      <c r="A22" s="477">
        <v>3</v>
      </c>
      <c r="B22" s="478"/>
      <c r="C22" s="478"/>
      <c r="D22" s="479"/>
      <c r="E22" s="479"/>
      <c r="F22" s="479"/>
      <c r="G22" s="479"/>
      <c r="H22" s="476"/>
    </row>
    <row r="23" spans="1:8" x14ac:dyDescent="0.25">
      <c r="A23" s="477"/>
      <c r="B23" s="478"/>
      <c r="C23" s="478"/>
      <c r="D23" s="479"/>
      <c r="E23" s="479"/>
      <c r="F23" s="479"/>
      <c r="G23" s="479"/>
      <c r="H23" s="476"/>
    </row>
    <row r="24" spans="1:8" x14ac:dyDescent="0.25">
      <c r="A24" s="477">
        <v>4</v>
      </c>
      <c r="B24" s="478"/>
      <c r="C24" s="478"/>
      <c r="D24" s="479"/>
      <c r="E24" s="293"/>
      <c r="F24" s="479"/>
      <c r="G24" s="479"/>
      <c r="H24" s="476"/>
    </row>
    <row r="25" spans="1:8" x14ac:dyDescent="0.25">
      <c r="A25" s="477"/>
      <c r="B25" s="478"/>
      <c r="C25" s="478"/>
      <c r="D25" s="479"/>
      <c r="E25" s="293"/>
      <c r="F25" s="479"/>
      <c r="G25" s="479"/>
      <c r="H25" s="476"/>
    </row>
    <row r="26" spans="1:8" x14ac:dyDescent="0.25">
      <c r="A26" s="294"/>
      <c r="B26" s="295"/>
      <c r="C26" s="295"/>
      <c r="D26" s="293"/>
      <c r="E26" s="293"/>
      <c r="F26" s="293"/>
      <c r="G26" s="293"/>
      <c r="H26" s="296"/>
    </row>
    <row r="27" spans="1:8" x14ac:dyDescent="0.25">
      <c r="A27" s="294">
        <v>5</v>
      </c>
      <c r="B27" s="295"/>
      <c r="C27" s="295"/>
      <c r="D27" s="293"/>
      <c r="E27" s="293"/>
      <c r="F27" s="293"/>
      <c r="G27" s="293"/>
      <c r="H27" s="296"/>
    </row>
    <row r="28" spans="1:8" ht="15.75" thickBot="1" x14ac:dyDescent="0.3">
      <c r="A28" s="297">
        <v>6</v>
      </c>
      <c r="B28" s="298"/>
      <c r="C28" s="298"/>
      <c r="D28" s="299"/>
      <c r="E28" s="299"/>
      <c r="F28" s="299"/>
      <c r="G28" s="299"/>
      <c r="H28" s="300"/>
    </row>
    <row r="29" spans="1:8" ht="4.5" customHeight="1" x14ac:dyDescent="0.25">
      <c r="A29" s="301"/>
      <c r="B29" s="302"/>
      <c r="C29" s="302"/>
      <c r="D29" s="303"/>
      <c r="E29" s="303"/>
      <c r="F29" s="303"/>
      <c r="G29" s="303"/>
      <c r="H29" s="303"/>
    </row>
    <row r="30" spans="1:8" x14ac:dyDescent="0.25">
      <c r="A30" s="304" t="s">
        <v>377</v>
      </c>
      <c r="C30" s="305"/>
      <c r="D30" s="305"/>
      <c r="E30" s="305"/>
      <c r="F30" s="305"/>
      <c r="G30" s="305"/>
      <c r="H30" s="305"/>
    </row>
    <row r="31" spans="1:8" x14ac:dyDescent="0.25">
      <c r="A31" s="306"/>
      <c r="B31" s="306"/>
      <c r="C31" s="306"/>
      <c r="D31" s="306"/>
      <c r="E31" s="306"/>
      <c r="F31" s="306"/>
      <c r="G31" s="306"/>
      <c r="H31" s="306"/>
    </row>
    <row r="32" spans="1:8" x14ac:dyDescent="0.25">
      <c r="A32" s="306"/>
      <c r="B32" s="306"/>
      <c r="C32" s="306"/>
      <c r="D32" s="306"/>
      <c r="E32" s="306"/>
      <c r="F32" s="306"/>
      <c r="G32" s="306"/>
      <c r="H32" s="306"/>
    </row>
    <row r="33" spans="1:8" x14ac:dyDescent="0.25">
      <c r="A33" s="306"/>
      <c r="B33" s="306"/>
      <c r="C33" s="306"/>
      <c r="D33" s="306"/>
      <c r="E33" s="306"/>
      <c r="F33" s="306"/>
      <c r="G33" s="306"/>
      <c r="H33" s="306"/>
    </row>
  </sheetData>
  <mergeCells count="68">
    <mergeCell ref="A1:H1"/>
    <mergeCell ref="A2:H2"/>
    <mergeCell ref="A3:H3"/>
    <mergeCell ref="A4:H4"/>
    <mergeCell ref="A5:A7"/>
    <mergeCell ref="B5:B7"/>
    <mergeCell ref="C5:C7"/>
    <mergeCell ref="D5:D7"/>
    <mergeCell ref="E5:H5"/>
    <mergeCell ref="E6:F6"/>
    <mergeCell ref="G6:H6"/>
    <mergeCell ref="A8:A9"/>
    <mergeCell ref="B8:B9"/>
    <mergeCell ref="C8:C9"/>
    <mergeCell ref="D8:D9"/>
    <mergeCell ref="F8:F9"/>
    <mergeCell ref="G8:G9"/>
    <mergeCell ref="H8:H9"/>
    <mergeCell ref="H10:H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C10:C11"/>
    <mergeCell ref="D10:D11"/>
    <mergeCell ref="F10:F11"/>
    <mergeCell ref="G10:G11"/>
    <mergeCell ref="H14:H15"/>
    <mergeCell ref="A16:A17"/>
    <mergeCell ref="B16:B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4:F15"/>
    <mergeCell ref="G14:G15"/>
    <mergeCell ref="H18:H19"/>
    <mergeCell ref="A22:A23"/>
    <mergeCell ref="B22:B23"/>
    <mergeCell ref="C22:C23"/>
    <mergeCell ref="D22:D23"/>
    <mergeCell ref="E22:E23"/>
    <mergeCell ref="F22:F23"/>
    <mergeCell ref="G22:G23"/>
    <mergeCell ref="H22:H23"/>
    <mergeCell ref="A18:A19"/>
    <mergeCell ref="B18:B19"/>
    <mergeCell ref="C18:C19"/>
    <mergeCell ref="D18:D19"/>
    <mergeCell ref="F18:F19"/>
    <mergeCell ref="G18:G19"/>
    <mergeCell ref="H24:H25"/>
    <mergeCell ref="A24:A25"/>
    <mergeCell ref="B24:B25"/>
    <mergeCell ref="C24:C25"/>
    <mergeCell ref="D24:D25"/>
    <mergeCell ref="F24:F25"/>
    <mergeCell ref="G24:G25"/>
  </mergeCells>
  <printOptions horizontalCentered="1"/>
  <pageMargins left="0.27" right="0.15748031496062992" top="0.39370078740157483" bottom="0.35433070866141736" header="0.31496062992125984" footer="0.31496062992125984"/>
  <pageSetup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zoomScale="70" zoomScaleNormal="70" workbookViewId="0">
      <selection activeCell="N34" sqref="N34"/>
    </sheetView>
  </sheetViews>
  <sheetFormatPr baseColWidth="10" defaultRowHeight="12.75" x14ac:dyDescent="0.25"/>
  <cols>
    <col min="1" max="1" width="3.5703125" style="274" customWidth="1"/>
    <col min="2" max="2" width="2.85546875" style="274" customWidth="1"/>
    <col min="3" max="3" width="3.140625" style="274" customWidth="1"/>
    <col min="4" max="7" width="3.28515625" style="274" customWidth="1"/>
    <col min="8" max="8" width="3.42578125" style="274" customWidth="1"/>
    <col min="9" max="9" width="4.85546875" style="274" customWidth="1"/>
    <col min="10" max="10" width="3.42578125" style="274" customWidth="1"/>
    <col min="11" max="12" width="5.140625" style="274" customWidth="1"/>
    <col min="13" max="13" width="5.7109375" style="274" customWidth="1"/>
    <col min="14" max="14" width="65.42578125" style="287" customWidth="1"/>
    <col min="15" max="15" width="13.28515625" style="288" customWidth="1"/>
    <col min="16" max="17" width="15.7109375" style="289" bestFit="1" customWidth="1"/>
    <col min="18" max="19" width="14.7109375" style="289" bestFit="1" customWidth="1"/>
    <col min="20" max="20" width="15.7109375" style="289" bestFit="1" customWidth="1"/>
    <col min="21" max="21" width="8.7109375" style="289" customWidth="1"/>
    <col min="22" max="16384" width="11.42578125" style="274"/>
  </cols>
  <sheetData>
    <row r="1" spans="1:21" s="246" customFormat="1" ht="19.5" customHeight="1" x14ac:dyDescent="0.2">
      <c r="A1" s="245"/>
      <c r="M1" s="247"/>
      <c r="P1" s="248"/>
      <c r="Q1" s="248"/>
      <c r="R1" s="248"/>
      <c r="S1" s="248"/>
      <c r="T1" s="498" t="s">
        <v>316</v>
      </c>
      <c r="U1" s="499"/>
    </row>
    <row r="2" spans="1:21" s="246" customFormat="1" ht="19.5" customHeight="1" x14ac:dyDescent="0.25">
      <c r="A2" s="249" t="s">
        <v>354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1"/>
      <c r="N2" s="250"/>
      <c r="O2" s="250"/>
      <c r="P2" s="250"/>
      <c r="Q2" s="250"/>
      <c r="R2" s="250"/>
      <c r="S2" s="250"/>
      <c r="T2" s="250"/>
      <c r="U2" s="248"/>
    </row>
    <row r="3" spans="1:21" s="246" customFormat="1" ht="19.5" customHeight="1" x14ac:dyDescent="0.25">
      <c r="A3" s="252" t="s">
        <v>355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50"/>
      <c r="O3" s="250"/>
      <c r="P3" s="250"/>
      <c r="Q3" s="250"/>
      <c r="R3" s="250"/>
      <c r="S3" s="250"/>
      <c r="T3" s="250"/>
      <c r="U3" s="248"/>
    </row>
    <row r="4" spans="1:21" s="246" customFormat="1" ht="19.5" customHeight="1" x14ac:dyDescent="0.25">
      <c r="A4" s="253" t="s">
        <v>356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250"/>
      <c r="O4" s="250"/>
      <c r="P4" s="250"/>
      <c r="Q4" s="250"/>
      <c r="R4" s="250"/>
      <c r="S4" s="250"/>
      <c r="T4" s="250"/>
      <c r="U4" s="248"/>
    </row>
    <row r="5" spans="1:21" s="246" customFormat="1" ht="19.5" customHeight="1" x14ac:dyDescent="0.25">
      <c r="A5" s="253" t="s">
        <v>357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1"/>
      <c r="N5" s="250"/>
      <c r="O5" s="250"/>
      <c r="P5" s="250"/>
      <c r="Q5" s="250"/>
      <c r="R5" s="250"/>
      <c r="S5" s="250"/>
      <c r="T5" s="250"/>
      <c r="U5" s="248"/>
    </row>
    <row r="6" spans="1:21" s="246" customFormat="1" ht="19.5" customHeight="1" x14ac:dyDescent="0.25">
      <c r="A6" s="245"/>
      <c r="M6" s="247"/>
      <c r="P6" s="248"/>
      <c r="Q6" s="248"/>
      <c r="R6" s="248"/>
      <c r="S6" s="248"/>
      <c r="T6" s="248"/>
      <c r="U6" s="248"/>
    </row>
    <row r="7" spans="1:21" s="255" customFormat="1" ht="19.5" customHeight="1" thickBot="1" x14ac:dyDescent="0.3">
      <c r="A7" s="254" t="s">
        <v>358</v>
      </c>
      <c r="H7" s="256"/>
      <c r="I7" s="257"/>
      <c r="J7" s="257"/>
      <c r="K7" s="258"/>
      <c r="L7" s="258"/>
      <c r="M7" s="259"/>
      <c r="P7" s="260"/>
      <c r="Q7" s="260"/>
      <c r="R7" s="260"/>
      <c r="S7" s="260"/>
      <c r="T7" s="261"/>
      <c r="U7" s="262"/>
    </row>
    <row r="8" spans="1:21" s="246" customFormat="1" ht="19.5" customHeight="1" x14ac:dyDescent="0.25">
      <c r="A8" s="263" t="s">
        <v>359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5"/>
      <c r="N8" s="500" t="s">
        <v>360</v>
      </c>
      <c r="O8" s="503" t="s">
        <v>361</v>
      </c>
      <c r="P8" s="264" t="s">
        <v>238</v>
      </c>
      <c r="Q8" s="264"/>
      <c r="R8" s="264" t="s">
        <v>362</v>
      </c>
      <c r="S8" s="264"/>
      <c r="T8" s="264"/>
      <c r="U8" s="506" t="s">
        <v>363</v>
      </c>
    </row>
    <row r="9" spans="1:21" s="246" customFormat="1" ht="19.5" customHeight="1" x14ac:dyDescent="0.25">
      <c r="A9" s="509" t="s">
        <v>228</v>
      </c>
      <c r="B9" s="494" t="s">
        <v>229</v>
      </c>
      <c r="C9" s="494" t="s">
        <v>230</v>
      </c>
      <c r="D9" s="494" t="s">
        <v>231</v>
      </c>
      <c r="E9" s="494" t="s">
        <v>232</v>
      </c>
      <c r="F9" s="494" t="s">
        <v>233</v>
      </c>
      <c r="G9" s="494" t="s">
        <v>364</v>
      </c>
      <c r="H9" s="496" t="s">
        <v>234</v>
      </c>
      <c r="I9" s="494" t="s">
        <v>365</v>
      </c>
      <c r="J9" s="494" t="s">
        <v>366</v>
      </c>
      <c r="K9" s="494" t="s">
        <v>235</v>
      </c>
      <c r="L9" s="494" t="s">
        <v>236</v>
      </c>
      <c r="M9" s="494" t="s">
        <v>237</v>
      </c>
      <c r="N9" s="501"/>
      <c r="O9" s="504"/>
      <c r="P9" s="494" t="s">
        <v>239</v>
      </c>
      <c r="Q9" s="494" t="s">
        <v>367</v>
      </c>
      <c r="R9" s="494" t="s">
        <v>239</v>
      </c>
      <c r="S9" s="266" t="s">
        <v>240</v>
      </c>
      <c r="T9" s="494" t="s">
        <v>353</v>
      </c>
      <c r="U9" s="507"/>
    </row>
    <row r="10" spans="1:21" s="246" customFormat="1" ht="19.5" customHeight="1" x14ac:dyDescent="0.25">
      <c r="A10" s="510"/>
      <c r="B10" s="495"/>
      <c r="C10" s="495"/>
      <c r="D10" s="495"/>
      <c r="E10" s="495"/>
      <c r="F10" s="495"/>
      <c r="G10" s="495"/>
      <c r="H10" s="497"/>
      <c r="I10" s="495"/>
      <c r="J10" s="495"/>
      <c r="K10" s="495"/>
      <c r="L10" s="495"/>
      <c r="M10" s="495"/>
      <c r="N10" s="502"/>
      <c r="O10" s="505"/>
      <c r="P10" s="495"/>
      <c r="Q10" s="495"/>
      <c r="R10" s="495"/>
      <c r="S10" s="267" t="s">
        <v>241</v>
      </c>
      <c r="T10" s="495"/>
      <c r="U10" s="508"/>
    </row>
    <row r="11" spans="1:21" x14ac:dyDescent="0.25">
      <c r="A11" s="268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70"/>
      <c r="O11" s="271"/>
      <c r="P11" s="272"/>
      <c r="Q11" s="272"/>
      <c r="R11" s="272"/>
      <c r="S11" s="272"/>
      <c r="T11" s="272"/>
      <c r="U11" s="273"/>
    </row>
    <row r="12" spans="1:21" x14ac:dyDescent="0.25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7"/>
      <c r="O12" s="278"/>
      <c r="P12" s="279"/>
      <c r="Q12" s="279"/>
      <c r="R12" s="279"/>
      <c r="S12" s="279"/>
      <c r="T12" s="279"/>
      <c r="U12" s="280"/>
    </row>
    <row r="13" spans="1:21" x14ac:dyDescent="0.25">
      <c r="A13" s="275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  <c r="O13" s="278"/>
      <c r="P13" s="276"/>
      <c r="Q13" s="276"/>
      <c r="R13" s="276"/>
      <c r="S13" s="276"/>
      <c r="T13" s="276"/>
      <c r="U13" s="281"/>
    </row>
    <row r="14" spans="1:21" x14ac:dyDescent="0.25">
      <c r="A14" s="275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7"/>
      <c r="O14" s="278"/>
      <c r="P14" s="276"/>
      <c r="Q14" s="276"/>
      <c r="R14" s="276"/>
      <c r="S14" s="276"/>
      <c r="T14" s="276"/>
      <c r="U14" s="281"/>
    </row>
    <row r="15" spans="1:21" x14ac:dyDescent="0.25">
      <c r="A15" s="275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7"/>
      <c r="O15" s="278"/>
      <c r="P15" s="276"/>
      <c r="Q15" s="276"/>
      <c r="R15" s="276"/>
      <c r="S15" s="276"/>
      <c r="T15" s="276"/>
      <c r="U15" s="281"/>
    </row>
    <row r="16" spans="1:21" x14ac:dyDescent="0.25">
      <c r="A16" s="275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7"/>
      <c r="O16" s="278"/>
      <c r="P16" s="276"/>
      <c r="Q16" s="276"/>
      <c r="R16" s="276"/>
      <c r="S16" s="276"/>
      <c r="T16" s="276"/>
      <c r="U16" s="281"/>
    </row>
    <row r="17" spans="1:21" x14ac:dyDescent="0.25">
      <c r="A17" s="275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7"/>
      <c r="O17" s="278"/>
      <c r="P17" s="276"/>
      <c r="Q17" s="276"/>
      <c r="R17" s="276"/>
      <c r="S17" s="276"/>
      <c r="T17" s="276"/>
      <c r="U17" s="281"/>
    </row>
    <row r="18" spans="1:21" x14ac:dyDescent="0.25">
      <c r="A18" s="275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7"/>
      <c r="O18" s="278"/>
      <c r="P18" s="276"/>
      <c r="Q18" s="276"/>
      <c r="R18" s="276"/>
      <c r="S18" s="276"/>
      <c r="T18" s="276"/>
      <c r="U18" s="281"/>
    </row>
    <row r="19" spans="1:2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7"/>
      <c r="O19" s="278"/>
      <c r="P19" s="276"/>
      <c r="Q19" s="276"/>
      <c r="R19" s="276"/>
      <c r="S19" s="276"/>
      <c r="T19" s="276"/>
      <c r="U19" s="281"/>
    </row>
    <row r="20" spans="1:21" x14ac:dyDescent="0.25">
      <c r="A20" s="275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278"/>
      <c r="P20" s="276"/>
      <c r="Q20" s="276"/>
      <c r="R20" s="276"/>
      <c r="S20" s="276"/>
      <c r="T20" s="276"/>
      <c r="U20" s="281"/>
    </row>
    <row r="21" spans="1:21" x14ac:dyDescent="0.25">
      <c r="A21" s="27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7"/>
      <c r="O21" s="278"/>
      <c r="P21" s="276"/>
      <c r="Q21" s="276"/>
      <c r="R21" s="276"/>
      <c r="S21" s="276"/>
      <c r="T21" s="276"/>
      <c r="U21" s="281"/>
    </row>
    <row r="22" spans="1:21" x14ac:dyDescent="0.25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511" t="s">
        <v>378</v>
      </c>
      <c r="O22" s="278"/>
      <c r="P22" s="276"/>
      <c r="Q22" s="276"/>
      <c r="R22" s="276"/>
      <c r="S22" s="276"/>
      <c r="T22" s="276"/>
      <c r="U22" s="281"/>
    </row>
    <row r="23" spans="1:21" x14ac:dyDescent="0.25">
      <c r="A23" s="27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512"/>
      <c r="O23" s="278"/>
      <c r="P23" s="276"/>
      <c r="Q23" s="276"/>
      <c r="R23" s="276"/>
      <c r="S23" s="276"/>
      <c r="T23" s="276"/>
      <c r="U23" s="281"/>
    </row>
    <row r="24" spans="1:21" x14ac:dyDescent="0.25">
      <c r="A24" s="275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512"/>
      <c r="O24" s="278"/>
      <c r="P24" s="276"/>
      <c r="Q24" s="276"/>
      <c r="R24" s="276"/>
      <c r="S24" s="276"/>
      <c r="T24" s="276"/>
      <c r="U24" s="281"/>
    </row>
    <row r="25" spans="1:21" x14ac:dyDescent="0.25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512"/>
      <c r="O25" s="278"/>
      <c r="P25" s="276"/>
      <c r="Q25" s="276"/>
      <c r="R25" s="276"/>
      <c r="S25" s="276"/>
      <c r="T25" s="276"/>
      <c r="U25" s="281"/>
    </row>
    <row r="26" spans="1:21" x14ac:dyDescent="0.25">
      <c r="A26" s="275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512"/>
      <c r="O26" s="278"/>
      <c r="P26" s="276"/>
      <c r="Q26" s="276"/>
      <c r="R26" s="276"/>
      <c r="S26" s="276"/>
      <c r="T26" s="276"/>
      <c r="U26" s="281"/>
    </row>
    <row r="27" spans="1:21" x14ac:dyDescent="0.25">
      <c r="A27" s="275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513"/>
      <c r="O27" s="278"/>
      <c r="P27" s="276"/>
      <c r="Q27" s="276"/>
      <c r="R27" s="276"/>
      <c r="S27" s="276"/>
      <c r="T27" s="276"/>
      <c r="U27" s="281"/>
    </row>
    <row r="28" spans="1:21" x14ac:dyDescent="0.25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7"/>
      <c r="O28" s="278"/>
      <c r="P28" s="276"/>
      <c r="Q28" s="276"/>
      <c r="R28" s="276"/>
      <c r="S28" s="276"/>
      <c r="T28" s="276"/>
      <c r="U28" s="281"/>
    </row>
    <row r="29" spans="1:21" x14ac:dyDescent="0.25">
      <c r="A29" s="275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7"/>
      <c r="O29" s="278"/>
      <c r="P29" s="276"/>
      <c r="Q29" s="276"/>
      <c r="R29" s="276"/>
      <c r="S29" s="276"/>
      <c r="T29" s="276"/>
      <c r="U29" s="281"/>
    </row>
    <row r="30" spans="1:21" x14ac:dyDescent="0.25">
      <c r="A30" s="275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7"/>
      <c r="O30" s="278"/>
      <c r="P30" s="276"/>
      <c r="Q30" s="276"/>
      <c r="R30" s="276"/>
      <c r="S30" s="276"/>
      <c r="T30" s="276"/>
      <c r="U30" s="281"/>
    </row>
    <row r="31" spans="1:21" x14ac:dyDescent="0.25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7"/>
      <c r="O31" s="278"/>
      <c r="P31" s="276"/>
      <c r="Q31" s="276"/>
      <c r="R31" s="276"/>
      <c r="S31" s="276"/>
      <c r="T31" s="276"/>
      <c r="U31" s="281"/>
    </row>
    <row r="32" spans="1:21" x14ac:dyDescent="0.25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7"/>
      <c r="O32" s="278"/>
      <c r="P32" s="276"/>
      <c r="Q32" s="276"/>
      <c r="R32" s="276"/>
      <c r="S32" s="276"/>
      <c r="T32" s="276"/>
      <c r="U32" s="281"/>
    </row>
    <row r="33" spans="1:21" x14ac:dyDescent="0.25">
      <c r="A33" s="275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7"/>
      <c r="O33" s="278"/>
      <c r="P33" s="276"/>
      <c r="Q33" s="276"/>
      <c r="R33" s="276"/>
      <c r="S33" s="276"/>
      <c r="T33" s="276"/>
      <c r="U33" s="281"/>
    </row>
    <row r="34" spans="1:21" x14ac:dyDescent="0.25">
      <c r="A34" s="275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7"/>
      <c r="O34" s="278"/>
      <c r="P34" s="276"/>
      <c r="Q34" s="276"/>
      <c r="R34" s="276"/>
      <c r="S34" s="276"/>
      <c r="T34" s="276"/>
      <c r="U34" s="281"/>
    </row>
    <row r="35" spans="1:21" x14ac:dyDescent="0.25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278"/>
      <c r="P35" s="276"/>
      <c r="Q35" s="276"/>
      <c r="R35" s="276"/>
      <c r="S35" s="276"/>
      <c r="T35" s="276"/>
      <c r="U35" s="281"/>
    </row>
    <row r="36" spans="1:21" x14ac:dyDescent="0.25">
      <c r="A36" s="275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7"/>
      <c r="O36" s="278"/>
      <c r="P36" s="276"/>
      <c r="Q36" s="276"/>
      <c r="R36" s="276"/>
      <c r="S36" s="276"/>
      <c r="T36" s="276"/>
      <c r="U36" s="281"/>
    </row>
    <row r="37" spans="1:21" x14ac:dyDescent="0.25">
      <c r="A37" s="275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7"/>
      <c r="O37" s="278"/>
      <c r="P37" s="276"/>
      <c r="Q37" s="276"/>
      <c r="R37" s="276"/>
      <c r="S37" s="276"/>
      <c r="T37" s="276"/>
      <c r="U37" s="281"/>
    </row>
    <row r="38" spans="1:21" x14ac:dyDescent="0.25">
      <c r="A38" s="275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7"/>
      <c r="O38" s="278"/>
      <c r="P38" s="276"/>
      <c r="Q38" s="276"/>
      <c r="R38" s="276"/>
      <c r="S38" s="276"/>
      <c r="T38" s="276"/>
      <c r="U38" s="281"/>
    </row>
    <row r="39" spans="1:21" x14ac:dyDescent="0.25">
      <c r="A39" s="275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7"/>
      <c r="O39" s="278"/>
      <c r="P39" s="276"/>
      <c r="Q39" s="276"/>
      <c r="R39" s="276"/>
      <c r="S39" s="276"/>
      <c r="T39" s="276"/>
      <c r="U39" s="281"/>
    </row>
    <row r="40" spans="1:21" x14ac:dyDescent="0.25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7"/>
      <c r="O40" s="278"/>
      <c r="P40" s="276"/>
      <c r="Q40" s="276"/>
      <c r="R40" s="276"/>
      <c r="S40" s="276"/>
      <c r="T40" s="276"/>
      <c r="U40" s="281"/>
    </row>
    <row r="41" spans="1:21" x14ac:dyDescent="0.25">
      <c r="A41" s="275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7"/>
      <c r="O41" s="278"/>
      <c r="P41" s="276"/>
      <c r="Q41" s="276"/>
      <c r="R41" s="276"/>
      <c r="S41" s="276"/>
      <c r="T41" s="276"/>
      <c r="U41" s="281"/>
    </row>
    <row r="42" spans="1:21" x14ac:dyDescent="0.25">
      <c r="A42" s="275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7"/>
      <c r="O42" s="278"/>
      <c r="P42" s="276"/>
      <c r="Q42" s="276"/>
      <c r="R42" s="276"/>
      <c r="S42" s="276"/>
      <c r="T42" s="276"/>
      <c r="U42" s="281"/>
    </row>
    <row r="43" spans="1:21" x14ac:dyDescent="0.25">
      <c r="A43" s="275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7"/>
      <c r="O43" s="278"/>
      <c r="P43" s="276"/>
      <c r="Q43" s="276"/>
      <c r="R43" s="276"/>
      <c r="S43" s="276"/>
      <c r="T43" s="276"/>
      <c r="U43" s="281"/>
    </row>
    <row r="44" spans="1:21" x14ac:dyDescent="0.25">
      <c r="A44" s="275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7"/>
      <c r="O44" s="278"/>
      <c r="P44" s="276"/>
      <c r="Q44" s="276"/>
      <c r="R44" s="276"/>
      <c r="S44" s="276"/>
      <c r="T44" s="276"/>
      <c r="U44" s="281"/>
    </row>
    <row r="45" spans="1:21" x14ac:dyDescent="0.25">
      <c r="A45" s="275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7"/>
      <c r="O45" s="278"/>
      <c r="P45" s="276"/>
      <c r="Q45" s="276"/>
      <c r="R45" s="276"/>
      <c r="S45" s="276"/>
      <c r="T45" s="276"/>
      <c r="U45" s="281"/>
    </row>
    <row r="46" spans="1:21" x14ac:dyDescent="0.25">
      <c r="A46" s="275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7"/>
      <c r="O46" s="278"/>
      <c r="P46" s="276"/>
      <c r="Q46" s="276"/>
      <c r="R46" s="276"/>
      <c r="S46" s="276"/>
      <c r="T46" s="276"/>
      <c r="U46" s="281"/>
    </row>
    <row r="47" spans="1:21" x14ac:dyDescent="0.25">
      <c r="A47" s="275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7"/>
      <c r="O47" s="278"/>
      <c r="P47" s="276"/>
      <c r="Q47" s="276"/>
      <c r="R47" s="276"/>
      <c r="S47" s="276"/>
      <c r="T47" s="276"/>
      <c r="U47" s="281"/>
    </row>
    <row r="48" spans="1:21" x14ac:dyDescent="0.25">
      <c r="A48" s="275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7"/>
      <c r="O48" s="278"/>
      <c r="P48" s="276"/>
      <c r="Q48" s="276"/>
      <c r="R48" s="276"/>
      <c r="S48" s="276"/>
      <c r="T48" s="276"/>
      <c r="U48" s="281"/>
    </row>
    <row r="49" spans="1:21" x14ac:dyDescent="0.25">
      <c r="A49" s="275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7"/>
      <c r="O49" s="278"/>
      <c r="P49" s="276"/>
      <c r="Q49" s="276"/>
      <c r="R49" s="276"/>
      <c r="S49" s="276"/>
      <c r="T49" s="276"/>
      <c r="U49" s="281"/>
    </row>
    <row r="50" spans="1:21" x14ac:dyDescent="0.25">
      <c r="A50" s="275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7"/>
      <c r="O50" s="278"/>
      <c r="P50" s="276"/>
      <c r="Q50" s="276"/>
      <c r="R50" s="276"/>
      <c r="S50" s="276"/>
      <c r="T50" s="276"/>
      <c r="U50" s="281"/>
    </row>
    <row r="51" spans="1:21" x14ac:dyDescent="0.25">
      <c r="A51" s="275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7"/>
      <c r="O51" s="278"/>
      <c r="P51" s="276"/>
      <c r="Q51" s="276"/>
      <c r="R51" s="276"/>
      <c r="S51" s="276"/>
      <c r="T51" s="276"/>
      <c r="U51" s="281"/>
    </row>
    <row r="52" spans="1:21" x14ac:dyDescent="0.25">
      <c r="A52" s="275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7"/>
      <c r="O52" s="278"/>
      <c r="P52" s="276"/>
      <c r="Q52" s="276"/>
      <c r="R52" s="276"/>
      <c r="S52" s="276"/>
      <c r="T52" s="276"/>
      <c r="U52" s="281"/>
    </row>
    <row r="53" spans="1:21" x14ac:dyDescent="0.25">
      <c r="A53" s="275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7"/>
      <c r="O53" s="278"/>
      <c r="P53" s="276"/>
      <c r="Q53" s="276"/>
      <c r="R53" s="276"/>
      <c r="S53" s="276"/>
      <c r="T53" s="276"/>
      <c r="U53" s="281"/>
    </row>
    <row r="54" spans="1:21" x14ac:dyDescent="0.25">
      <c r="A54" s="275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7"/>
      <c r="O54" s="278"/>
      <c r="P54" s="276"/>
      <c r="Q54" s="276"/>
      <c r="R54" s="276"/>
      <c r="S54" s="276"/>
      <c r="T54" s="276"/>
      <c r="U54" s="281"/>
    </row>
    <row r="55" spans="1:21" x14ac:dyDescent="0.25">
      <c r="A55" s="275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7"/>
      <c r="O55" s="278"/>
      <c r="P55" s="276"/>
      <c r="Q55" s="276"/>
      <c r="R55" s="276"/>
      <c r="S55" s="276"/>
      <c r="T55" s="276"/>
      <c r="U55" s="281"/>
    </row>
    <row r="56" spans="1:21" x14ac:dyDescent="0.25">
      <c r="A56" s="275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7"/>
      <c r="O56" s="278"/>
      <c r="P56" s="276"/>
      <c r="Q56" s="276"/>
      <c r="R56" s="276"/>
      <c r="S56" s="276"/>
      <c r="T56" s="276"/>
      <c r="U56" s="281"/>
    </row>
    <row r="57" spans="1:21" x14ac:dyDescent="0.25">
      <c r="A57" s="275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7"/>
      <c r="O57" s="278"/>
      <c r="P57" s="276"/>
      <c r="Q57" s="276"/>
      <c r="R57" s="276"/>
      <c r="S57" s="276"/>
      <c r="T57" s="276"/>
      <c r="U57" s="281"/>
    </row>
    <row r="58" spans="1:21" x14ac:dyDescent="0.25">
      <c r="A58" s="275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7"/>
      <c r="O58" s="278"/>
      <c r="P58" s="276"/>
      <c r="Q58" s="276"/>
      <c r="R58" s="276"/>
      <c r="S58" s="276"/>
      <c r="T58" s="276"/>
      <c r="U58" s="281"/>
    </row>
    <row r="59" spans="1:21" x14ac:dyDescent="0.25">
      <c r="A59" s="275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7"/>
      <c r="O59" s="278"/>
      <c r="P59" s="276"/>
      <c r="Q59" s="276"/>
      <c r="R59" s="276"/>
      <c r="S59" s="276"/>
      <c r="T59" s="276"/>
      <c r="U59" s="281"/>
    </row>
    <row r="60" spans="1:21" x14ac:dyDescent="0.25">
      <c r="A60" s="275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7"/>
      <c r="O60" s="278"/>
      <c r="P60" s="276"/>
      <c r="Q60" s="276"/>
      <c r="R60" s="276"/>
      <c r="S60" s="276"/>
      <c r="T60" s="276"/>
      <c r="U60" s="281"/>
    </row>
    <row r="61" spans="1:21" x14ac:dyDescent="0.25">
      <c r="A61" s="275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7"/>
      <c r="O61" s="278"/>
      <c r="P61" s="276"/>
      <c r="Q61" s="276"/>
      <c r="R61" s="276"/>
      <c r="S61" s="276"/>
      <c r="T61" s="276"/>
      <c r="U61" s="281"/>
    </row>
    <row r="62" spans="1:21" x14ac:dyDescent="0.25">
      <c r="A62" s="282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4"/>
      <c r="O62" s="285"/>
      <c r="P62" s="283"/>
      <c r="Q62" s="283"/>
      <c r="R62" s="283"/>
      <c r="S62" s="283"/>
      <c r="T62" s="283"/>
      <c r="U62" s="286"/>
    </row>
    <row r="63" spans="1:21" s="255" customFormat="1" ht="19.5" customHeight="1" thickBot="1" x14ac:dyDescent="0.3">
      <c r="A63" s="254" t="s">
        <v>358</v>
      </c>
      <c r="H63" s="256"/>
      <c r="I63" s="257"/>
      <c r="J63" s="257"/>
      <c r="K63" s="258"/>
      <c r="L63" s="258"/>
      <c r="M63" s="259"/>
      <c r="P63" s="260"/>
      <c r="Q63" s="260"/>
      <c r="R63" s="260"/>
      <c r="S63" s="260"/>
      <c r="T63" s="261"/>
      <c r="U63" s="262"/>
    </row>
    <row r="64" spans="1:21" s="246" customFormat="1" ht="19.5" customHeight="1" x14ac:dyDescent="0.25">
      <c r="A64" s="263" t="s">
        <v>359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5"/>
      <c r="N64" s="500" t="s">
        <v>360</v>
      </c>
      <c r="O64" s="503" t="s">
        <v>361</v>
      </c>
      <c r="P64" s="264" t="s">
        <v>238</v>
      </c>
      <c r="Q64" s="264"/>
      <c r="R64" s="264" t="s">
        <v>362</v>
      </c>
      <c r="S64" s="264"/>
      <c r="T64" s="264"/>
      <c r="U64" s="506" t="s">
        <v>363</v>
      </c>
    </row>
    <row r="65" spans="1:21" s="246" customFormat="1" ht="19.5" customHeight="1" x14ac:dyDescent="0.25">
      <c r="A65" s="509" t="s">
        <v>228</v>
      </c>
      <c r="B65" s="494" t="s">
        <v>229</v>
      </c>
      <c r="C65" s="494" t="s">
        <v>230</v>
      </c>
      <c r="D65" s="494" t="s">
        <v>231</v>
      </c>
      <c r="E65" s="494" t="s">
        <v>232</v>
      </c>
      <c r="F65" s="494" t="s">
        <v>233</v>
      </c>
      <c r="G65" s="494" t="s">
        <v>364</v>
      </c>
      <c r="H65" s="496" t="s">
        <v>379</v>
      </c>
      <c r="I65" s="494" t="s">
        <v>365</v>
      </c>
      <c r="J65" s="494" t="s">
        <v>366</v>
      </c>
      <c r="K65" s="494" t="s">
        <v>235</v>
      </c>
      <c r="L65" s="494" t="s">
        <v>236</v>
      </c>
      <c r="M65" s="494" t="s">
        <v>237</v>
      </c>
      <c r="N65" s="501"/>
      <c r="O65" s="504"/>
      <c r="P65" s="494" t="s">
        <v>239</v>
      </c>
      <c r="Q65" s="494" t="s">
        <v>367</v>
      </c>
      <c r="R65" s="494" t="s">
        <v>239</v>
      </c>
      <c r="S65" s="266" t="s">
        <v>240</v>
      </c>
      <c r="T65" s="494" t="s">
        <v>353</v>
      </c>
      <c r="U65" s="507"/>
    </row>
    <row r="66" spans="1:21" s="246" customFormat="1" ht="19.5" customHeight="1" x14ac:dyDescent="0.25">
      <c r="A66" s="510"/>
      <c r="B66" s="495"/>
      <c r="C66" s="495"/>
      <c r="D66" s="495"/>
      <c r="E66" s="495"/>
      <c r="F66" s="495"/>
      <c r="G66" s="495"/>
      <c r="H66" s="497"/>
      <c r="I66" s="495"/>
      <c r="J66" s="495"/>
      <c r="K66" s="495"/>
      <c r="L66" s="495"/>
      <c r="M66" s="495"/>
      <c r="N66" s="502"/>
      <c r="O66" s="505"/>
      <c r="P66" s="495"/>
      <c r="Q66" s="495"/>
      <c r="R66" s="495"/>
      <c r="S66" s="267" t="s">
        <v>241</v>
      </c>
      <c r="T66" s="495"/>
      <c r="U66" s="508"/>
    </row>
    <row r="67" spans="1:21" x14ac:dyDescent="0.25">
      <c r="A67" s="268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70"/>
      <c r="O67" s="271"/>
      <c r="P67" s="272"/>
      <c r="Q67" s="272"/>
      <c r="R67" s="272"/>
      <c r="S67" s="272"/>
      <c r="T67" s="272"/>
      <c r="U67" s="273"/>
    </row>
    <row r="68" spans="1:21" x14ac:dyDescent="0.25">
      <c r="A68" s="275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7"/>
      <c r="O68" s="278"/>
      <c r="P68" s="279"/>
      <c r="Q68" s="279"/>
      <c r="R68" s="279"/>
      <c r="S68" s="279"/>
      <c r="T68" s="279"/>
      <c r="U68" s="280"/>
    </row>
    <row r="69" spans="1:21" x14ac:dyDescent="0.25">
      <c r="A69" s="275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7"/>
      <c r="O69" s="278"/>
      <c r="P69" s="276"/>
      <c r="Q69" s="276"/>
      <c r="R69" s="276"/>
      <c r="S69" s="276"/>
      <c r="T69" s="276"/>
      <c r="U69" s="281"/>
    </row>
    <row r="70" spans="1:21" x14ac:dyDescent="0.25">
      <c r="A70" s="275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7"/>
      <c r="O70" s="278"/>
      <c r="P70" s="276"/>
      <c r="Q70" s="276"/>
      <c r="R70" s="276"/>
      <c r="S70" s="276"/>
      <c r="T70" s="276"/>
      <c r="U70" s="281"/>
    </row>
    <row r="71" spans="1:21" x14ac:dyDescent="0.25">
      <c r="A71" s="275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7"/>
      <c r="O71" s="278"/>
      <c r="P71" s="276"/>
      <c r="Q71" s="276"/>
      <c r="R71" s="276"/>
      <c r="S71" s="276"/>
      <c r="T71" s="276"/>
      <c r="U71" s="281"/>
    </row>
    <row r="72" spans="1:21" x14ac:dyDescent="0.25">
      <c r="A72" s="275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7"/>
      <c r="O72" s="278"/>
      <c r="P72" s="276"/>
      <c r="Q72" s="276"/>
      <c r="R72" s="276"/>
      <c r="S72" s="276"/>
      <c r="T72" s="276"/>
      <c r="U72" s="281"/>
    </row>
    <row r="73" spans="1:21" x14ac:dyDescent="0.25">
      <c r="A73" s="275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7"/>
      <c r="O73" s="278"/>
      <c r="P73" s="276"/>
      <c r="Q73" s="276"/>
      <c r="R73" s="276"/>
      <c r="S73" s="276"/>
      <c r="T73" s="276"/>
      <c r="U73" s="281"/>
    </row>
    <row r="74" spans="1:21" x14ac:dyDescent="0.25">
      <c r="A74" s="275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7"/>
      <c r="O74" s="278"/>
      <c r="P74" s="276"/>
      <c r="Q74" s="276"/>
      <c r="R74" s="276"/>
      <c r="S74" s="276"/>
      <c r="T74" s="276"/>
      <c r="U74" s="281"/>
    </row>
    <row r="75" spans="1:21" x14ac:dyDescent="0.25">
      <c r="A75" s="275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7"/>
      <c r="O75" s="278"/>
      <c r="P75" s="276"/>
      <c r="Q75" s="276"/>
      <c r="R75" s="276"/>
      <c r="S75" s="276"/>
      <c r="T75" s="276"/>
      <c r="U75" s="281"/>
    </row>
    <row r="76" spans="1:21" x14ac:dyDescent="0.25">
      <c r="A76" s="275"/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7"/>
      <c r="O76" s="278"/>
      <c r="P76" s="276"/>
      <c r="Q76" s="276"/>
      <c r="R76" s="276"/>
      <c r="S76" s="276"/>
      <c r="T76" s="276"/>
      <c r="U76" s="281"/>
    </row>
    <row r="77" spans="1:21" x14ac:dyDescent="0.25">
      <c r="A77" s="275"/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7"/>
      <c r="O77" s="278"/>
      <c r="P77" s="276"/>
      <c r="Q77" s="276"/>
      <c r="R77" s="276"/>
      <c r="S77" s="276"/>
      <c r="T77" s="276"/>
      <c r="U77" s="281"/>
    </row>
    <row r="78" spans="1:21" x14ac:dyDescent="0.25">
      <c r="A78" s="275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514" t="s">
        <v>380</v>
      </c>
      <c r="O78" s="278"/>
      <c r="P78" s="276"/>
      <c r="Q78" s="276"/>
      <c r="R78" s="276"/>
      <c r="S78" s="276"/>
      <c r="T78" s="276"/>
      <c r="U78" s="281"/>
    </row>
    <row r="79" spans="1:21" x14ac:dyDescent="0.25">
      <c r="A79" s="275"/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515"/>
      <c r="O79" s="278"/>
      <c r="P79" s="276"/>
      <c r="Q79" s="276"/>
      <c r="R79" s="276"/>
      <c r="S79" s="276"/>
      <c r="T79" s="276"/>
      <c r="U79" s="281"/>
    </row>
    <row r="80" spans="1:21" x14ac:dyDescent="0.25">
      <c r="A80" s="275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515"/>
      <c r="O80" s="278"/>
      <c r="P80" s="276"/>
      <c r="Q80" s="276"/>
      <c r="R80" s="276"/>
      <c r="S80" s="276"/>
      <c r="T80" s="276"/>
      <c r="U80" s="281"/>
    </row>
    <row r="81" spans="1:21" x14ac:dyDescent="0.25">
      <c r="A81" s="275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515"/>
      <c r="O81" s="278"/>
      <c r="P81" s="276"/>
      <c r="Q81" s="276"/>
      <c r="R81" s="276"/>
      <c r="S81" s="276"/>
      <c r="T81" s="276"/>
      <c r="U81" s="281"/>
    </row>
    <row r="82" spans="1:21" x14ac:dyDescent="0.25">
      <c r="A82" s="275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515"/>
      <c r="O82" s="278"/>
      <c r="P82" s="276"/>
      <c r="Q82" s="276"/>
      <c r="R82" s="276"/>
      <c r="S82" s="276"/>
      <c r="T82" s="276"/>
      <c r="U82" s="281"/>
    </row>
    <row r="83" spans="1:21" x14ac:dyDescent="0.25">
      <c r="A83" s="275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516"/>
      <c r="O83" s="278"/>
      <c r="P83" s="276"/>
      <c r="Q83" s="276"/>
      <c r="R83" s="276"/>
      <c r="S83" s="276"/>
      <c r="T83" s="276"/>
      <c r="U83" s="281"/>
    </row>
    <row r="84" spans="1:21" x14ac:dyDescent="0.25">
      <c r="A84" s="275"/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7"/>
      <c r="O84" s="278"/>
      <c r="P84" s="276"/>
      <c r="Q84" s="276"/>
      <c r="R84" s="276"/>
      <c r="S84" s="276"/>
      <c r="T84" s="276"/>
      <c r="U84" s="281"/>
    </row>
    <row r="85" spans="1:21" x14ac:dyDescent="0.25">
      <c r="A85" s="275"/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7"/>
      <c r="O85" s="278"/>
      <c r="P85" s="276"/>
      <c r="Q85" s="276"/>
      <c r="R85" s="276"/>
      <c r="S85" s="276"/>
      <c r="T85" s="276"/>
      <c r="U85" s="281"/>
    </row>
    <row r="86" spans="1:21" x14ac:dyDescent="0.25">
      <c r="A86" s="275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7"/>
      <c r="O86" s="278"/>
      <c r="P86" s="276"/>
      <c r="Q86" s="276"/>
      <c r="R86" s="276"/>
      <c r="S86" s="276"/>
      <c r="T86" s="276"/>
      <c r="U86" s="281"/>
    </row>
    <row r="87" spans="1:21" x14ac:dyDescent="0.25">
      <c r="A87" s="275"/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7"/>
      <c r="O87" s="278"/>
      <c r="P87" s="276"/>
      <c r="Q87" s="276"/>
      <c r="R87" s="276"/>
      <c r="S87" s="276"/>
      <c r="T87" s="276"/>
      <c r="U87" s="281"/>
    </row>
    <row r="88" spans="1:21" x14ac:dyDescent="0.25">
      <c r="A88" s="275"/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7"/>
      <c r="O88" s="278"/>
      <c r="P88" s="276"/>
      <c r="Q88" s="276"/>
      <c r="R88" s="276"/>
      <c r="S88" s="276"/>
      <c r="T88" s="276"/>
      <c r="U88" s="281"/>
    </row>
    <row r="89" spans="1:21" x14ac:dyDescent="0.25">
      <c r="A89" s="275"/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7"/>
      <c r="O89" s="278"/>
      <c r="P89" s="276"/>
      <c r="Q89" s="276"/>
      <c r="R89" s="276"/>
      <c r="S89" s="276"/>
      <c r="T89" s="276"/>
      <c r="U89" s="281"/>
    </row>
    <row r="90" spans="1:21" x14ac:dyDescent="0.25">
      <c r="A90" s="275"/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7"/>
      <c r="O90" s="278"/>
      <c r="P90" s="276"/>
      <c r="Q90" s="276"/>
      <c r="R90" s="276"/>
      <c r="S90" s="276"/>
      <c r="T90" s="276"/>
      <c r="U90" s="281"/>
    </row>
    <row r="91" spans="1:21" x14ac:dyDescent="0.25">
      <c r="A91" s="275"/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7"/>
      <c r="O91" s="278"/>
      <c r="P91" s="276"/>
      <c r="Q91" s="276"/>
      <c r="R91" s="276"/>
      <c r="S91" s="276"/>
      <c r="T91" s="276"/>
      <c r="U91" s="281"/>
    </row>
    <row r="92" spans="1:21" x14ac:dyDescent="0.25">
      <c r="A92" s="275"/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7"/>
      <c r="O92" s="278"/>
      <c r="P92" s="276"/>
      <c r="Q92" s="276"/>
      <c r="R92" s="276"/>
      <c r="S92" s="276"/>
      <c r="T92" s="276"/>
      <c r="U92" s="281"/>
    </row>
    <row r="93" spans="1:21" x14ac:dyDescent="0.25">
      <c r="A93" s="275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7"/>
      <c r="O93" s="278"/>
      <c r="P93" s="276"/>
      <c r="Q93" s="276"/>
      <c r="R93" s="276"/>
      <c r="S93" s="276"/>
      <c r="T93" s="276"/>
      <c r="U93" s="281"/>
    </row>
    <row r="94" spans="1:21" x14ac:dyDescent="0.25">
      <c r="A94" s="275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7"/>
      <c r="O94" s="278"/>
      <c r="P94" s="276"/>
      <c r="Q94" s="276"/>
      <c r="R94" s="276"/>
      <c r="S94" s="276"/>
      <c r="T94" s="276"/>
      <c r="U94" s="281"/>
    </row>
    <row r="95" spans="1:21" x14ac:dyDescent="0.25">
      <c r="A95" s="275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7"/>
      <c r="O95" s="278"/>
      <c r="P95" s="276"/>
      <c r="Q95" s="276"/>
      <c r="R95" s="276"/>
      <c r="S95" s="276"/>
      <c r="T95" s="276"/>
      <c r="U95" s="281"/>
    </row>
    <row r="96" spans="1:21" x14ac:dyDescent="0.25">
      <c r="A96" s="275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7"/>
      <c r="O96" s="278"/>
      <c r="P96" s="276"/>
      <c r="Q96" s="276"/>
      <c r="R96" s="276"/>
      <c r="S96" s="276"/>
      <c r="T96" s="276"/>
      <c r="U96" s="281"/>
    </row>
    <row r="97" spans="1:21" x14ac:dyDescent="0.25">
      <c r="A97" s="275"/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7"/>
      <c r="O97" s="278"/>
      <c r="P97" s="276"/>
      <c r="Q97" s="276"/>
      <c r="R97" s="276"/>
      <c r="S97" s="276"/>
      <c r="T97" s="276"/>
      <c r="U97" s="281"/>
    </row>
    <row r="98" spans="1:21" x14ac:dyDescent="0.25">
      <c r="A98" s="275"/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7"/>
      <c r="O98" s="278"/>
      <c r="P98" s="276"/>
      <c r="Q98" s="276"/>
      <c r="R98" s="276"/>
      <c r="S98" s="276"/>
      <c r="T98" s="276"/>
      <c r="U98" s="281"/>
    </row>
    <row r="99" spans="1:21" x14ac:dyDescent="0.25">
      <c r="A99" s="275"/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7"/>
      <c r="O99" s="278"/>
      <c r="P99" s="276"/>
      <c r="Q99" s="276"/>
      <c r="R99" s="276"/>
      <c r="S99" s="276"/>
      <c r="T99" s="276"/>
      <c r="U99" s="281"/>
    </row>
    <row r="100" spans="1:21" x14ac:dyDescent="0.25">
      <c r="A100" s="275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7"/>
      <c r="O100" s="278"/>
      <c r="P100" s="276"/>
      <c r="Q100" s="276"/>
      <c r="R100" s="276"/>
      <c r="S100" s="276"/>
      <c r="T100" s="276"/>
      <c r="U100" s="281"/>
    </row>
    <row r="101" spans="1:21" x14ac:dyDescent="0.25">
      <c r="A101" s="275"/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7"/>
      <c r="O101" s="278"/>
      <c r="P101" s="276"/>
      <c r="Q101" s="276"/>
      <c r="R101" s="276"/>
      <c r="S101" s="276"/>
      <c r="T101" s="276"/>
      <c r="U101" s="281"/>
    </row>
    <row r="102" spans="1:21" x14ac:dyDescent="0.25">
      <c r="A102" s="275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7"/>
      <c r="O102" s="278"/>
      <c r="P102" s="276"/>
      <c r="Q102" s="276"/>
      <c r="R102" s="276"/>
      <c r="S102" s="276"/>
      <c r="T102" s="276"/>
      <c r="U102" s="281"/>
    </row>
    <row r="103" spans="1:21" x14ac:dyDescent="0.25">
      <c r="A103" s="275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7"/>
      <c r="O103" s="278"/>
      <c r="P103" s="276"/>
      <c r="Q103" s="276"/>
      <c r="R103" s="276"/>
      <c r="S103" s="276"/>
      <c r="T103" s="276"/>
      <c r="U103" s="281"/>
    </row>
    <row r="104" spans="1:21" x14ac:dyDescent="0.25">
      <c r="A104" s="275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7"/>
      <c r="O104" s="278"/>
      <c r="P104" s="276"/>
      <c r="Q104" s="276"/>
      <c r="R104" s="276"/>
      <c r="S104" s="276"/>
      <c r="T104" s="276"/>
      <c r="U104" s="281"/>
    </row>
    <row r="105" spans="1:21" x14ac:dyDescent="0.25">
      <c r="A105" s="275"/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7"/>
      <c r="O105" s="278"/>
      <c r="P105" s="276"/>
      <c r="Q105" s="276"/>
      <c r="R105" s="276"/>
      <c r="S105" s="276"/>
      <c r="T105" s="276"/>
      <c r="U105" s="281"/>
    </row>
    <row r="106" spans="1:21" x14ac:dyDescent="0.25">
      <c r="A106" s="275"/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7"/>
      <c r="O106" s="278"/>
      <c r="P106" s="276"/>
      <c r="Q106" s="276"/>
      <c r="R106" s="276"/>
      <c r="S106" s="276"/>
      <c r="T106" s="276"/>
      <c r="U106" s="281"/>
    </row>
    <row r="107" spans="1:21" x14ac:dyDescent="0.25">
      <c r="A107" s="275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7"/>
      <c r="O107" s="278"/>
      <c r="P107" s="276"/>
      <c r="Q107" s="276"/>
      <c r="R107" s="276"/>
      <c r="S107" s="276"/>
      <c r="T107" s="276"/>
      <c r="U107" s="281"/>
    </row>
    <row r="108" spans="1:21" x14ac:dyDescent="0.25">
      <c r="A108" s="275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7"/>
      <c r="O108" s="278"/>
      <c r="P108" s="276"/>
      <c r="Q108" s="276"/>
      <c r="R108" s="276"/>
      <c r="S108" s="276"/>
      <c r="T108" s="276"/>
      <c r="U108" s="281"/>
    </row>
    <row r="109" spans="1:21" x14ac:dyDescent="0.25">
      <c r="A109" s="275"/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7"/>
      <c r="O109" s="278"/>
      <c r="P109" s="276"/>
      <c r="Q109" s="276"/>
      <c r="R109" s="276"/>
      <c r="S109" s="276"/>
      <c r="T109" s="276"/>
      <c r="U109" s="281"/>
    </row>
    <row r="110" spans="1:21" x14ac:dyDescent="0.25">
      <c r="A110" s="275"/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7"/>
      <c r="O110" s="278"/>
      <c r="P110" s="276"/>
      <c r="Q110" s="276"/>
      <c r="R110" s="276"/>
      <c r="S110" s="276"/>
      <c r="T110" s="276"/>
      <c r="U110" s="281"/>
    </row>
    <row r="111" spans="1:21" x14ac:dyDescent="0.25">
      <c r="A111" s="275"/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7"/>
      <c r="O111" s="278"/>
      <c r="P111" s="276"/>
      <c r="Q111" s="276"/>
      <c r="R111" s="276"/>
      <c r="S111" s="276"/>
      <c r="T111" s="276"/>
      <c r="U111" s="281"/>
    </row>
    <row r="112" spans="1:21" x14ac:dyDescent="0.25">
      <c r="A112" s="275"/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7"/>
      <c r="O112" s="278"/>
      <c r="P112" s="276"/>
      <c r="Q112" s="276"/>
      <c r="R112" s="276"/>
      <c r="S112" s="276"/>
      <c r="T112" s="276"/>
      <c r="U112" s="281"/>
    </row>
    <row r="113" spans="1:21" x14ac:dyDescent="0.25">
      <c r="A113" s="275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7"/>
      <c r="O113" s="278"/>
      <c r="P113" s="276"/>
      <c r="Q113" s="276"/>
      <c r="R113" s="276"/>
      <c r="S113" s="276"/>
      <c r="T113" s="276"/>
      <c r="U113" s="281"/>
    </row>
    <row r="114" spans="1:21" x14ac:dyDescent="0.25">
      <c r="A114" s="275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7"/>
      <c r="O114" s="278"/>
      <c r="P114" s="276"/>
      <c r="Q114" s="276"/>
      <c r="R114" s="276"/>
      <c r="S114" s="276"/>
      <c r="T114" s="276"/>
      <c r="U114" s="281"/>
    </row>
    <row r="115" spans="1:21" x14ac:dyDescent="0.25">
      <c r="A115" s="275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7"/>
      <c r="O115" s="278"/>
      <c r="P115" s="276"/>
      <c r="Q115" s="276"/>
      <c r="R115" s="276"/>
      <c r="S115" s="276"/>
      <c r="T115" s="276"/>
      <c r="U115" s="281"/>
    </row>
    <row r="116" spans="1:21" x14ac:dyDescent="0.25">
      <c r="A116" s="275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7"/>
      <c r="O116" s="278"/>
      <c r="P116" s="276"/>
      <c r="Q116" s="276"/>
      <c r="R116" s="276"/>
      <c r="S116" s="276"/>
      <c r="T116" s="276"/>
      <c r="U116" s="281"/>
    </row>
    <row r="117" spans="1:21" x14ac:dyDescent="0.25">
      <c r="A117" s="275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7"/>
      <c r="O117" s="278"/>
      <c r="P117" s="276"/>
      <c r="Q117" s="276"/>
      <c r="R117" s="276"/>
      <c r="S117" s="276"/>
      <c r="T117" s="276"/>
      <c r="U117" s="281"/>
    </row>
    <row r="118" spans="1:21" x14ac:dyDescent="0.25">
      <c r="A118" s="282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4"/>
      <c r="O118" s="285"/>
      <c r="P118" s="283"/>
      <c r="Q118" s="283"/>
      <c r="R118" s="283"/>
      <c r="S118" s="283"/>
      <c r="T118" s="283"/>
      <c r="U118" s="286"/>
    </row>
  </sheetData>
  <mergeCells count="43">
    <mergeCell ref="T65:T66"/>
    <mergeCell ref="N78:N83"/>
    <mergeCell ref="A65:A66"/>
    <mergeCell ref="B65:B66"/>
    <mergeCell ref="C65:C66"/>
    <mergeCell ref="D65:D66"/>
    <mergeCell ref="E65:E66"/>
    <mergeCell ref="F9:F10"/>
    <mergeCell ref="N22:N27"/>
    <mergeCell ref="N64:N66"/>
    <mergeCell ref="O64:O66"/>
    <mergeCell ref="U64:U66"/>
    <mergeCell ref="F65:F66"/>
    <mergeCell ref="G65:G66"/>
    <mergeCell ref="H65:H66"/>
    <mergeCell ref="I65:I66"/>
    <mergeCell ref="J65:J66"/>
    <mergeCell ref="K65:K66"/>
    <mergeCell ref="L65:L66"/>
    <mergeCell ref="M65:M66"/>
    <mergeCell ref="P65:P66"/>
    <mergeCell ref="Q65:Q66"/>
    <mergeCell ref="R65:R66"/>
    <mergeCell ref="A9:A10"/>
    <mergeCell ref="B9:B10"/>
    <mergeCell ref="C9:C10"/>
    <mergeCell ref="D9:D10"/>
    <mergeCell ref="E9:E10"/>
    <mergeCell ref="L9:L10"/>
    <mergeCell ref="T1:U1"/>
    <mergeCell ref="N8:N10"/>
    <mergeCell ref="O8:O10"/>
    <mergeCell ref="U8:U10"/>
    <mergeCell ref="M9:M10"/>
    <mergeCell ref="P9:P10"/>
    <mergeCell ref="Q9:Q10"/>
    <mergeCell ref="R9:R10"/>
    <mergeCell ref="T9:T10"/>
    <mergeCell ref="G9:G10"/>
    <mergeCell ref="H9:H10"/>
    <mergeCell ref="I9:I10"/>
    <mergeCell ref="J9:J10"/>
    <mergeCell ref="K9:K10"/>
  </mergeCells>
  <printOptions horizontalCentered="1"/>
  <pageMargins left="0.35433070866141736" right="0.27559055118110237" top="0.43307086614173229" bottom="0.39370078740157483" header="0.31496062992125984" footer="0.15748031496062992"/>
  <pageSetup scale="62" fitToHeight="0" orientation="landscape" horizontalDpi="300" verticalDpi="1200" r:id="rId1"/>
  <headerFooter>
    <oddFooter>&amp;L&amp;8( * ) SUPERIOR AL 100&amp;C&amp;"MS Sans Serif,Negrita"&amp;8AVANCE PRELIMINAR DEL EJERCICIO&amp;R&amp;8&amp;P de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J36" sqref="J36"/>
    </sheetView>
  </sheetViews>
  <sheetFormatPr baseColWidth="10" defaultRowHeight="15" x14ac:dyDescent="0.25"/>
  <cols>
    <col min="1" max="1" width="0.5703125" customWidth="1"/>
    <col min="2" max="2" width="3.28515625" customWidth="1"/>
    <col min="4" max="4" width="43.28515625" customWidth="1"/>
    <col min="5" max="5" width="11.7109375" customWidth="1"/>
    <col min="6" max="6" width="32" style="1" customWidth="1"/>
  </cols>
  <sheetData>
    <row r="1" spans="1:6" ht="15" customHeight="1" x14ac:dyDescent="0.25">
      <c r="A1" s="518" t="s">
        <v>273</v>
      </c>
      <c r="B1" s="518"/>
      <c r="C1" s="518"/>
      <c r="D1" s="518"/>
      <c r="E1" s="518"/>
      <c r="F1" s="518"/>
    </row>
    <row r="2" spans="1:6" ht="15" customHeight="1" x14ac:dyDescent="0.25">
      <c r="A2" s="518" t="s">
        <v>274</v>
      </c>
      <c r="B2" s="518"/>
      <c r="C2" s="518"/>
      <c r="D2" s="518"/>
      <c r="E2" s="518"/>
      <c r="F2" s="518"/>
    </row>
    <row r="3" spans="1:6" x14ac:dyDescent="0.25">
      <c r="A3" s="484" t="s">
        <v>303</v>
      </c>
      <c r="B3" s="484"/>
      <c r="C3" s="484"/>
      <c r="D3" s="484"/>
      <c r="E3" s="484"/>
      <c r="F3" s="484"/>
    </row>
    <row r="4" spans="1:6" x14ac:dyDescent="0.25">
      <c r="A4" s="484" t="s">
        <v>305</v>
      </c>
      <c r="B4" s="484"/>
      <c r="C4" s="484"/>
      <c r="D4" s="484"/>
      <c r="E4" s="484"/>
      <c r="F4" s="484"/>
    </row>
    <row r="5" spans="1:6" x14ac:dyDescent="0.25">
      <c r="A5" s="484" t="s">
        <v>306</v>
      </c>
      <c r="B5" s="484"/>
      <c r="C5" s="484"/>
      <c r="D5" s="484"/>
      <c r="E5" s="484"/>
      <c r="F5" s="484"/>
    </row>
    <row r="6" spans="1:6" x14ac:dyDescent="0.25">
      <c r="D6" s="25"/>
    </row>
    <row r="7" spans="1:6" x14ac:dyDescent="0.25">
      <c r="C7" s="30" t="s">
        <v>295</v>
      </c>
      <c r="D7" s="31"/>
    </row>
    <row r="8" spans="1:6" x14ac:dyDescent="0.25">
      <c r="D8" s="25"/>
    </row>
    <row r="9" spans="1:6" s="20" customFormat="1" ht="16.5" x14ac:dyDescent="0.3">
      <c r="B9" s="29" t="s">
        <v>261</v>
      </c>
      <c r="C9" s="29" t="s">
        <v>262</v>
      </c>
      <c r="D9" s="29" t="s">
        <v>294</v>
      </c>
      <c r="E9" s="35" t="s">
        <v>293</v>
      </c>
      <c r="F9" s="34" t="s">
        <v>263</v>
      </c>
    </row>
    <row r="10" spans="1:6" s="20" customFormat="1" ht="24" customHeight="1" x14ac:dyDescent="0.25">
      <c r="B10" s="32"/>
      <c r="C10" s="517" t="s">
        <v>296</v>
      </c>
      <c r="D10" s="517"/>
      <c r="E10" s="32"/>
      <c r="F10" s="37"/>
    </row>
    <row r="11" spans="1:6" s="20" customFormat="1" ht="15.75" x14ac:dyDescent="0.25">
      <c r="B11" s="33"/>
      <c r="C11" s="33"/>
      <c r="D11" s="33"/>
      <c r="E11" s="33"/>
      <c r="F11" s="38"/>
    </row>
    <row r="12" spans="1:6" x14ac:dyDescent="0.25">
      <c r="B12" s="21">
        <v>1</v>
      </c>
      <c r="C12" s="22" t="s">
        <v>55</v>
      </c>
      <c r="D12" s="22" t="s">
        <v>267</v>
      </c>
      <c r="E12" s="22" t="s">
        <v>270</v>
      </c>
      <c r="F12" s="39"/>
    </row>
    <row r="13" spans="1:6" x14ac:dyDescent="0.25">
      <c r="B13" s="21">
        <v>2</v>
      </c>
      <c r="C13" s="22" t="s">
        <v>131</v>
      </c>
      <c r="D13" s="22" t="s">
        <v>0</v>
      </c>
      <c r="E13" s="22" t="s">
        <v>270</v>
      </c>
      <c r="F13" s="39"/>
    </row>
    <row r="14" spans="1:6" x14ac:dyDescent="0.25">
      <c r="B14" s="21">
        <v>3</v>
      </c>
      <c r="C14" s="22" t="s">
        <v>132</v>
      </c>
      <c r="D14" s="22" t="s">
        <v>112</v>
      </c>
      <c r="E14" s="22" t="s">
        <v>270</v>
      </c>
      <c r="F14" s="39"/>
    </row>
    <row r="15" spans="1:6" x14ac:dyDescent="0.25">
      <c r="B15" s="21">
        <v>4</v>
      </c>
      <c r="C15" s="22" t="s">
        <v>154</v>
      </c>
      <c r="D15" s="22" t="s">
        <v>269</v>
      </c>
      <c r="E15" s="22" t="s">
        <v>270</v>
      </c>
      <c r="F15" s="39"/>
    </row>
    <row r="16" spans="1:6" x14ac:dyDescent="0.25">
      <c r="B16" s="21">
        <v>5</v>
      </c>
      <c r="C16" s="22" t="s">
        <v>153</v>
      </c>
      <c r="D16" s="22" t="s">
        <v>143</v>
      </c>
      <c r="E16" s="22" t="s">
        <v>270</v>
      </c>
      <c r="F16" s="39"/>
    </row>
    <row r="17" spans="2:6" x14ac:dyDescent="0.25">
      <c r="B17" s="21">
        <v>6</v>
      </c>
      <c r="C17" s="22" t="s">
        <v>264</v>
      </c>
      <c r="D17" s="22" t="s">
        <v>276</v>
      </c>
      <c r="E17" s="22" t="s">
        <v>271</v>
      </c>
      <c r="F17" s="42" t="s">
        <v>307</v>
      </c>
    </row>
    <row r="18" spans="2:6" x14ac:dyDescent="0.25">
      <c r="B18" s="21">
        <v>7</v>
      </c>
      <c r="C18" s="22" t="s">
        <v>265</v>
      </c>
      <c r="D18" s="22" t="s">
        <v>277</v>
      </c>
      <c r="E18" s="22" t="s">
        <v>270</v>
      </c>
      <c r="F18" s="39"/>
    </row>
    <row r="19" spans="2:6" s="20" customFormat="1" ht="24" customHeight="1" x14ac:dyDescent="0.25">
      <c r="B19" s="32"/>
      <c r="C19" s="517" t="s">
        <v>297</v>
      </c>
      <c r="D19" s="517"/>
      <c r="E19" s="32"/>
      <c r="F19" s="37"/>
    </row>
    <row r="20" spans="2:6" s="20" customFormat="1" ht="15.75" x14ac:dyDescent="0.25">
      <c r="B20" s="33"/>
      <c r="C20" s="33"/>
      <c r="D20" s="33"/>
      <c r="E20" s="33"/>
      <c r="F20" s="38"/>
    </row>
    <row r="21" spans="2:6" x14ac:dyDescent="0.25">
      <c r="B21" s="21">
        <v>8</v>
      </c>
      <c r="C21" s="22" t="s">
        <v>177</v>
      </c>
      <c r="D21" s="22" t="s">
        <v>155</v>
      </c>
      <c r="E21" s="22" t="s">
        <v>270</v>
      </c>
      <c r="F21" s="39"/>
    </row>
    <row r="22" spans="2:6" x14ac:dyDescent="0.25">
      <c r="B22" s="21">
        <v>9</v>
      </c>
      <c r="C22" s="22" t="s">
        <v>176</v>
      </c>
      <c r="D22" s="22" t="s">
        <v>156</v>
      </c>
      <c r="E22" s="22" t="s">
        <v>270</v>
      </c>
      <c r="F22" s="39"/>
    </row>
    <row r="23" spans="2:6" x14ac:dyDescent="0.25">
      <c r="B23" s="21">
        <v>10</v>
      </c>
      <c r="C23" s="22" t="s">
        <v>208</v>
      </c>
      <c r="D23" s="22" t="s">
        <v>178</v>
      </c>
      <c r="E23" s="22" t="s">
        <v>270</v>
      </c>
      <c r="F23" s="39"/>
    </row>
    <row r="24" spans="2:6" ht="13.5" customHeight="1" x14ac:dyDescent="0.25">
      <c r="B24" s="27">
        <v>11</v>
      </c>
      <c r="C24" s="23" t="s">
        <v>227</v>
      </c>
      <c r="D24" s="23" t="s">
        <v>209</v>
      </c>
      <c r="E24" s="23" t="s">
        <v>270</v>
      </c>
      <c r="F24" s="40" t="s">
        <v>308</v>
      </c>
    </row>
    <row r="25" spans="2:6" ht="13.5" customHeight="1" x14ac:dyDescent="0.25">
      <c r="B25" s="26"/>
      <c r="C25" s="24"/>
      <c r="D25" s="24" t="s">
        <v>272</v>
      </c>
      <c r="E25" s="24"/>
      <c r="F25" s="41"/>
    </row>
    <row r="26" spans="2:6" x14ac:dyDescent="0.25">
      <c r="B26" s="27">
        <v>12</v>
      </c>
      <c r="C26" s="23" t="s">
        <v>266</v>
      </c>
      <c r="D26" s="23" t="s">
        <v>209</v>
      </c>
      <c r="E26" s="23" t="s">
        <v>270</v>
      </c>
      <c r="F26" s="40" t="s">
        <v>309</v>
      </c>
    </row>
    <row r="27" spans="2:6" x14ac:dyDescent="0.25">
      <c r="B27" s="26"/>
      <c r="C27" s="24"/>
      <c r="D27" s="24" t="s">
        <v>247</v>
      </c>
      <c r="E27" s="24"/>
      <c r="F27" s="41"/>
    </row>
    <row r="28" spans="2:6" x14ac:dyDescent="0.25">
      <c r="B28" s="21">
        <v>13</v>
      </c>
      <c r="C28" s="23" t="s">
        <v>242</v>
      </c>
      <c r="D28" s="23" t="s">
        <v>283</v>
      </c>
      <c r="E28" s="23" t="s">
        <v>284</v>
      </c>
      <c r="F28" s="42" t="s">
        <v>292</v>
      </c>
    </row>
    <row r="29" spans="2:6" x14ac:dyDescent="0.25">
      <c r="B29" s="21">
        <v>14</v>
      </c>
      <c r="C29" s="22" t="s">
        <v>275</v>
      </c>
      <c r="D29" s="22" t="s">
        <v>285</v>
      </c>
      <c r="E29" s="23" t="s">
        <v>284</v>
      </c>
      <c r="F29" s="42" t="s">
        <v>292</v>
      </c>
    </row>
    <row r="30" spans="2:6" x14ac:dyDescent="0.25">
      <c r="B30" s="21">
        <v>15</v>
      </c>
      <c r="C30" s="22" t="s">
        <v>278</v>
      </c>
      <c r="D30" s="22" t="s">
        <v>286</v>
      </c>
      <c r="E30" s="23" t="s">
        <v>284</v>
      </c>
      <c r="F30" s="43"/>
    </row>
    <row r="31" spans="2:6" s="20" customFormat="1" ht="24" customHeight="1" x14ac:dyDescent="0.25">
      <c r="B31" s="32"/>
      <c r="C31" s="517" t="s">
        <v>298</v>
      </c>
      <c r="D31" s="517"/>
      <c r="E31" s="32"/>
      <c r="F31" s="44"/>
    </row>
    <row r="32" spans="2:6" s="20" customFormat="1" ht="15.75" x14ac:dyDescent="0.25">
      <c r="B32" s="33"/>
      <c r="C32" s="33"/>
      <c r="D32" s="33"/>
      <c r="E32" s="33"/>
      <c r="F32" s="45"/>
    </row>
    <row r="33" spans="2:6" x14ac:dyDescent="0.25">
      <c r="B33" s="27">
        <v>16</v>
      </c>
      <c r="C33" s="23" t="s">
        <v>282</v>
      </c>
      <c r="D33" s="23" t="s">
        <v>279</v>
      </c>
      <c r="E33" s="23" t="s">
        <v>280</v>
      </c>
      <c r="F33" s="42" t="s">
        <v>291</v>
      </c>
    </row>
    <row r="34" spans="2:6" x14ac:dyDescent="0.25">
      <c r="B34" s="26"/>
      <c r="C34" s="24"/>
      <c r="D34" s="24" t="s">
        <v>281</v>
      </c>
      <c r="E34" s="24"/>
      <c r="F34" s="46"/>
    </row>
    <row r="35" spans="2:6" x14ac:dyDescent="0.25">
      <c r="B35" s="21">
        <v>17</v>
      </c>
      <c r="C35" s="22" t="s">
        <v>287</v>
      </c>
      <c r="D35" s="22" t="s">
        <v>288</v>
      </c>
      <c r="E35" s="23" t="s">
        <v>280</v>
      </c>
      <c r="F35" s="42" t="s">
        <v>291</v>
      </c>
    </row>
    <row r="36" spans="2:6" ht="16.5" x14ac:dyDescent="0.3">
      <c r="B36" s="21">
        <v>18</v>
      </c>
      <c r="C36" s="22" t="s">
        <v>290</v>
      </c>
      <c r="D36" s="28" t="s">
        <v>289</v>
      </c>
      <c r="E36" s="22" t="s">
        <v>280</v>
      </c>
      <c r="F36" s="36"/>
    </row>
    <row r="37" spans="2:6" s="20" customFormat="1" ht="24" customHeight="1" x14ac:dyDescent="0.25">
      <c r="B37" s="32"/>
      <c r="C37" s="517" t="s">
        <v>299</v>
      </c>
      <c r="D37" s="517"/>
      <c r="E37" s="32"/>
      <c r="F37" s="37"/>
    </row>
    <row r="38" spans="2:6" s="20" customFormat="1" ht="15.75" x14ac:dyDescent="0.25">
      <c r="B38" s="47"/>
      <c r="C38" s="49" t="s">
        <v>300</v>
      </c>
      <c r="D38" s="49"/>
      <c r="E38" s="47"/>
      <c r="F38" s="48"/>
    </row>
    <row r="39" spans="2:6" x14ac:dyDescent="0.25">
      <c r="C39" s="50" t="s">
        <v>301</v>
      </c>
    </row>
  </sheetData>
  <mergeCells count="9">
    <mergeCell ref="C31:D31"/>
    <mergeCell ref="C37:D37"/>
    <mergeCell ref="A1:F1"/>
    <mergeCell ref="A2:F2"/>
    <mergeCell ref="A3:F3"/>
    <mergeCell ref="A4:F4"/>
    <mergeCell ref="C10:D10"/>
    <mergeCell ref="C19:D19"/>
    <mergeCell ref="A5:F5"/>
  </mergeCells>
  <pageMargins left="0.22" right="0.22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B1" workbookViewId="0">
      <selection activeCell="H29" sqref="H29"/>
    </sheetView>
  </sheetViews>
  <sheetFormatPr baseColWidth="10" defaultRowHeight="15" x14ac:dyDescent="0.25"/>
  <cols>
    <col min="1" max="1" width="0.5703125" hidden="1" customWidth="1"/>
    <col min="2" max="2" width="3.28515625" customWidth="1"/>
    <col min="4" max="4" width="64.42578125" customWidth="1"/>
  </cols>
  <sheetData>
    <row r="1" spans="1:4" ht="15" customHeight="1" x14ac:dyDescent="0.25">
      <c r="A1" s="518" t="s">
        <v>273</v>
      </c>
      <c r="B1" s="518"/>
      <c r="C1" s="518"/>
      <c r="D1" s="518"/>
    </row>
    <row r="2" spans="1:4" ht="15" customHeight="1" x14ac:dyDescent="0.25">
      <c r="A2" s="518" t="s">
        <v>274</v>
      </c>
      <c r="B2" s="518"/>
      <c r="C2" s="518"/>
      <c r="D2" s="518"/>
    </row>
    <row r="3" spans="1:4" x14ac:dyDescent="0.25">
      <c r="A3" s="484" t="s">
        <v>303</v>
      </c>
      <c r="B3" s="484"/>
      <c r="C3" s="484"/>
      <c r="D3" s="484"/>
    </row>
    <row r="4" spans="1:4" x14ac:dyDescent="0.25">
      <c r="A4" s="484" t="s">
        <v>305</v>
      </c>
      <c r="B4" s="484"/>
      <c r="C4" s="484"/>
      <c r="D4" s="484"/>
    </row>
    <row r="5" spans="1:4" x14ac:dyDescent="0.25">
      <c r="A5" s="484" t="s">
        <v>306</v>
      </c>
      <c r="B5" s="484"/>
      <c r="C5" s="484"/>
      <c r="D5" s="484"/>
    </row>
    <row r="6" spans="1:4" x14ac:dyDescent="0.25">
      <c r="D6" s="25"/>
    </row>
    <row r="7" spans="1:4" x14ac:dyDescent="0.25">
      <c r="C7" s="30" t="s">
        <v>295</v>
      </c>
      <c r="D7" s="31"/>
    </row>
    <row r="8" spans="1:4" x14ac:dyDescent="0.25">
      <c r="D8" s="25"/>
    </row>
    <row r="9" spans="1:4" s="20" customFormat="1" ht="15.75" x14ac:dyDescent="0.25">
      <c r="B9" s="29" t="s">
        <v>261</v>
      </c>
      <c r="C9" s="29" t="s">
        <v>262</v>
      </c>
      <c r="D9" s="29" t="s">
        <v>294</v>
      </c>
    </row>
    <row r="10" spans="1:4" s="20" customFormat="1" ht="24" customHeight="1" x14ac:dyDescent="0.25">
      <c r="B10" s="32"/>
      <c r="C10" s="517" t="s">
        <v>296</v>
      </c>
      <c r="D10" s="517"/>
    </row>
    <row r="11" spans="1:4" s="20" customFormat="1" ht="15.75" x14ac:dyDescent="0.25">
      <c r="B11" s="33"/>
      <c r="C11" s="33"/>
      <c r="D11" s="33"/>
    </row>
    <row r="12" spans="1:4" x14ac:dyDescent="0.25">
      <c r="B12" s="21">
        <v>1</v>
      </c>
      <c r="C12" s="22" t="s">
        <v>55</v>
      </c>
      <c r="D12" s="22" t="s">
        <v>267</v>
      </c>
    </row>
    <row r="13" spans="1:4" x14ac:dyDescent="0.25">
      <c r="B13" s="21">
        <v>2</v>
      </c>
      <c r="C13" s="22" t="s">
        <v>131</v>
      </c>
      <c r="D13" s="22" t="s">
        <v>268</v>
      </c>
    </row>
    <row r="14" spans="1:4" x14ac:dyDescent="0.25">
      <c r="B14" s="21">
        <v>3</v>
      </c>
      <c r="C14" s="22" t="s">
        <v>132</v>
      </c>
      <c r="D14" s="22" t="s">
        <v>112</v>
      </c>
    </row>
    <row r="15" spans="1:4" x14ac:dyDescent="0.25">
      <c r="B15" s="21">
        <v>4</v>
      </c>
      <c r="C15" s="22" t="s">
        <v>154</v>
      </c>
      <c r="D15" s="22" t="s">
        <v>269</v>
      </c>
    </row>
    <row r="16" spans="1:4" x14ac:dyDescent="0.25">
      <c r="B16" s="21">
        <v>5</v>
      </c>
      <c r="C16" s="22" t="s">
        <v>153</v>
      </c>
      <c r="D16" s="22" t="s">
        <v>143</v>
      </c>
    </row>
    <row r="17" spans="2:4" x14ac:dyDescent="0.25">
      <c r="B17" s="21">
        <v>6</v>
      </c>
      <c r="C17" s="22" t="s">
        <v>264</v>
      </c>
      <c r="D17" s="22" t="s">
        <v>276</v>
      </c>
    </row>
    <row r="18" spans="2:4" x14ac:dyDescent="0.25">
      <c r="B18" s="21">
        <v>7</v>
      </c>
      <c r="C18" s="22" t="s">
        <v>265</v>
      </c>
      <c r="D18" s="22" t="s">
        <v>277</v>
      </c>
    </row>
    <row r="19" spans="2:4" x14ac:dyDescent="0.25">
      <c r="B19" s="21">
        <v>8</v>
      </c>
      <c r="C19" s="22" t="s">
        <v>177</v>
      </c>
      <c r="D19" s="22" t="s">
        <v>155</v>
      </c>
    </row>
    <row r="20" spans="2:4" x14ac:dyDescent="0.25">
      <c r="B20" s="21">
        <v>9</v>
      </c>
      <c r="C20" s="22" t="s">
        <v>176</v>
      </c>
      <c r="D20" s="22" t="s">
        <v>156</v>
      </c>
    </row>
    <row r="21" spans="2:4" s="20" customFormat="1" ht="24" customHeight="1" x14ac:dyDescent="0.25">
      <c r="B21" s="32"/>
      <c r="C21" s="517" t="s">
        <v>297</v>
      </c>
      <c r="D21" s="517"/>
    </row>
    <row r="22" spans="2:4" s="20" customFormat="1" ht="15.75" x14ac:dyDescent="0.25">
      <c r="B22" s="33"/>
      <c r="C22" s="33"/>
      <c r="D22" s="33"/>
    </row>
    <row r="23" spans="2:4" x14ac:dyDescent="0.25">
      <c r="B23" s="21">
        <v>10</v>
      </c>
      <c r="C23" s="22" t="s">
        <v>310</v>
      </c>
      <c r="D23" s="22" t="s">
        <v>178</v>
      </c>
    </row>
    <row r="24" spans="2:4" ht="13.5" customHeight="1" x14ac:dyDescent="0.25">
      <c r="B24" s="27">
        <v>11</v>
      </c>
      <c r="C24" s="23" t="s">
        <v>311</v>
      </c>
      <c r="D24" s="23" t="s">
        <v>209</v>
      </c>
    </row>
    <row r="25" spans="2:4" ht="13.5" customHeight="1" x14ac:dyDescent="0.25">
      <c r="B25" s="26"/>
      <c r="C25" s="24"/>
      <c r="D25" s="24" t="s">
        <v>272</v>
      </c>
    </row>
    <row r="26" spans="2:4" x14ac:dyDescent="0.25">
      <c r="B26" s="27">
        <v>12</v>
      </c>
      <c r="C26" s="23" t="s">
        <v>312</v>
      </c>
      <c r="D26" s="23" t="s">
        <v>209</v>
      </c>
    </row>
    <row r="27" spans="2:4" x14ac:dyDescent="0.25">
      <c r="B27" s="26"/>
      <c r="C27" s="24"/>
      <c r="D27" s="24" t="s">
        <v>247</v>
      </c>
    </row>
    <row r="28" spans="2:4" x14ac:dyDescent="0.25">
      <c r="B28" s="21">
        <v>13</v>
      </c>
      <c r="C28" s="23" t="s">
        <v>313</v>
      </c>
      <c r="D28" s="23" t="s">
        <v>283</v>
      </c>
    </row>
    <row r="29" spans="2:4" x14ac:dyDescent="0.25">
      <c r="B29" s="21">
        <v>14</v>
      </c>
      <c r="C29" s="22" t="s">
        <v>314</v>
      </c>
      <c r="D29" s="22" t="s">
        <v>285</v>
      </c>
    </row>
    <row r="30" spans="2:4" x14ac:dyDescent="0.25">
      <c r="B30" s="21">
        <v>15</v>
      </c>
      <c r="C30" s="22" t="s">
        <v>315</v>
      </c>
      <c r="D30" s="22" t="s">
        <v>286</v>
      </c>
    </row>
    <row r="31" spans="2:4" s="20" customFormat="1" ht="24" customHeight="1" x14ac:dyDescent="0.25">
      <c r="B31" s="32"/>
      <c r="C31" s="517" t="s">
        <v>298</v>
      </c>
      <c r="D31" s="517"/>
    </row>
    <row r="32" spans="2:4" s="20" customFormat="1" ht="15.75" x14ac:dyDescent="0.25">
      <c r="B32" s="33"/>
      <c r="C32" s="33"/>
      <c r="D32" s="33"/>
    </row>
    <row r="33" spans="2:4" x14ac:dyDescent="0.25">
      <c r="B33" s="27">
        <v>16</v>
      </c>
      <c r="C33" s="23" t="s">
        <v>316</v>
      </c>
      <c r="D33" s="23" t="s">
        <v>279</v>
      </c>
    </row>
    <row r="34" spans="2:4" x14ac:dyDescent="0.25">
      <c r="B34" s="26"/>
      <c r="C34" s="24"/>
      <c r="D34" s="24" t="s">
        <v>281</v>
      </c>
    </row>
    <row r="35" spans="2:4" x14ac:dyDescent="0.25">
      <c r="B35" s="21">
        <v>17</v>
      </c>
      <c r="C35" s="22" t="s">
        <v>317</v>
      </c>
      <c r="D35" s="22" t="s">
        <v>288</v>
      </c>
    </row>
    <row r="36" spans="2:4" x14ac:dyDescent="0.25">
      <c r="B36" s="21">
        <v>18</v>
      </c>
      <c r="C36" s="22" t="s">
        <v>318</v>
      </c>
      <c r="D36" s="28" t="s">
        <v>289</v>
      </c>
    </row>
    <row r="37" spans="2:4" s="20" customFormat="1" ht="24" customHeight="1" x14ac:dyDescent="0.25">
      <c r="B37" s="32"/>
      <c r="C37" s="517" t="s">
        <v>299</v>
      </c>
      <c r="D37" s="517"/>
    </row>
    <row r="38" spans="2:4" s="20" customFormat="1" ht="15.75" x14ac:dyDescent="0.25">
      <c r="B38" s="47"/>
      <c r="C38" s="53" t="s">
        <v>300</v>
      </c>
      <c r="D38" s="49"/>
    </row>
    <row r="39" spans="2:4" x14ac:dyDescent="0.25">
      <c r="C39" s="50" t="s">
        <v>301</v>
      </c>
    </row>
  </sheetData>
  <mergeCells count="9">
    <mergeCell ref="C21:D21"/>
    <mergeCell ref="C31:D31"/>
    <mergeCell ref="C37:D37"/>
    <mergeCell ref="A1:D1"/>
    <mergeCell ref="A2:D2"/>
    <mergeCell ref="A3:D3"/>
    <mergeCell ref="A4:D4"/>
    <mergeCell ref="A5:D5"/>
    <mergeCell ref="C10:D10"/>
  </mergeCells>
  <pageMargins left="1.1100000000000001" right="0.2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workbookViewId="0">
      <selection activeCell="A4" sqref="A4:D4"/>
    </sheetView>
  </sheetViews>
  <sheetFormatPr baseColWidth="10" defaultRowHeight="15.75" x14ac:dyDescent="0.25"/>
  <cols>
    <col min="1" max="1" width="1.5703125" style="95" customWidth="1"/>
    <col min="2" max="2" width="101.7109375" style="95" bestFit="1" customWidth="1"/>
    <col min="3" max="3" width="18.42578125" style="95" customWidth="1"/>
    <col min="4" max="4" width="18" style="95" customWidth="1"/>
    <col min="5" max="16384" width="11.42578125" style="96"/>
  </cols>
  <sheetData>
    <row r="1" spans="1:7" s="1" customFormat="1" ht="15" x14ac:dyDescent="0.25">
      <c r="A1" s="434" t="s">
        <v>245</v>
      </c>
      <c r="B1" s="434"/>
      <c r="C1" s="434"/>
      <c r="D1" s="434"/>
      <c r="E1" s="69"/>
      <c r="G1" s="68"/>
    </row>
    <row r="2" spans="1:7" x14ac:dyDescent="0.25">
      <c r="A2" s="432" t="s">
        <v>381</v>
      </c>
      <c r="B2" s="432"/>
      <c r="C2" s="432"/>
      <c r="D2" s="432"/>
    </row>
    <row r="3" spans="1:7" x14ac:dyDescent="0.25">
      <c r="A3" s="432" t="s">
        <v>0</v>
      </c>
      <c r="B3" s="432"/>
      <c r="C3" s="432"/>
      <c r="D3" s="432"/>
    </row>
    <row r="4" spans="1:7" x14ac:dyDescent="0.25">
      <c r="A4" s="432" t="s">
        <v>568</v>
      </c>
      <c r="B4" s="432"/>
      <c r="C4" s="432"/>
      <c r="D4" s="432"/>
    </row>
    <row r="5" spans="1:7" s="95" customFormat="1" thickBot="1" x14ac:dyDescent="0.3">
      <c r="A5" s="433" t="s">
        <v>142</v>
      </c>
      <c r="B5" s="433"/>
      <c r="C5" s="433"/>
      <c r="D5" s="433"/>
    </row>
    <row r="6" spans="1:7" x14ac:dyDescent="0.25">
      <c r="A6" s="114"/>
      <c r="B6" s="115"/>
      <c r="C6" s="116">
        <v>2014</v>
      </c>
      <c r="D6" s="117" t="s">
        <v>382</v>
      </c>
    </row>
    <row r="7" spans="1:7" x14ac:dyDescent="0.25">
      <c r="A7" s="98" t="s">
        <v>1</v>
      </c>
      <c r="B7" s="99"/>
      <c r="C7" s="110"/>
      <c r="D7" s="100"/>
    </row>
    <row r="8" spans="1:7" x14ac:dyDescent="0.25">
      <c r="A8" s="101" t="s">
        <v>2</v>
      </c>
      <c r="B8" s="102"/>
      <c r="C8" s="111"/>
      <c r="D8" s="103"/>
    </row>
    <row r="9" spans="1:7" x14ac:dyDescent="0.25">
      <c r="A9" s="97"/>
      <c r="B9" s="112" t="s">
        <v>3</v>
      </c>
      <c r="C9" s="329">
        <v>838096</v>
      </c>
      <c r="D9" s="330">
        <v>1357801</v>
      </c>
    </row>
    <row r="10" spans="1:7" x14ac:dyDescent="0.25">
      <c r="A10" s="97"/>
      <c r="B10" s="112" t="s">
        <v>4</v>
      </c>
      <c r="C10" s="329"/>
      <c r="D10" s="330"/>
    </row>
    <row r="11" spans="1:7" x14ac:dyDescent="0.25">
      <c r="A11" s="97"/>
      <c r="B11" s="112" t="s">
        <v>5</v>
      </c>
      <c r="C11" s="331"/>
      <c r="D11" s="332"/>
    </row>
    <row r="12" spans="1:7" x14ac:dyDescent="0.25">
      <c r="A12" s="97"/>
      <c r="B12" s="112" t="s">
        <v>6</v>
      </c>
      <c r="C12" s="331"/>
      <c r="D12" s="332"/>
    </row>
    <row r="13" spans="1:7" ht="18.75" x14ac:dyDescent="0.25">
      <c r="A13" s="97"/>
      <c r="B13" s="112" t="s">
        <v>243</v>
      </c>
      <c r="C13" s="331"/>
      <c r="D13" s="332">
        <v>1300000</v>
      </c>
    </row>
    <row r="14" spans="1:7" x14ac:dyDescent="0.25">
      <c r="A14" s="97"/>
      <c r="B14" s="112" t="s">
        <v>7</v>
      </c>
      <c r="C14" s="331"/>
      <c r="D14" s="332"/>
    </row>
    <row r="15" spans="1:7" x14ac:dyDescent="0.25">
      <c r="A15" s="97"/>
      <c r="B15" s="112" t="s">
        <v>8</v>
      </c>
      <c r="C15" s="331"/>
      <c r="D15" s="332"/>
    </row>
    <row r="16" spans="1:7" x14ac:dyDescent="0.25">
      <c r="A16" s="97"/>
      <c r="B16" s="112" t="s">
        <v>9</v>
      </c>
      <c r="C16" s="331"/>
      <c r="D16" s="332"/>
    </row>
    <row r="17" spans="1:4" x14ac:dyDescent="0.25">
      <c r="A17" s="101" t="s">
        <v>10</v>
      </c>
      <c r="B17" s="102"/>
      <c r="C17" s="329"/>
      <c r="D17" s="330"/>
    </row>
    <row r="18" spans="1:4" x14ac:dyDescent="0.25">
      <c r="A18" s="97"/>
      <c r="B18" s="112" t="s">
        <v>11</v>
      </c>
      <c r="C18" s="331"/>
      <c r="D18" s="332">
        <v>1165256</v>
      </c>
    </row>
    <row r="19" spans="1:4" x14ac:dyDescent="0.25">
      <c r="A19" s="97"/>
      <c r="B19" s="112" t="s">
        <v>12</v>
      </c>
      <c r="C19" s="329">
        <v>14287182.5</v>
      </c>
      <c r="D19" s="330">
        <v>37997438</v>
      </c>
    </row>
    <row r="20" spans="1:4" x14ac:dyDescent="0.25">
      <c r="A20" s="101" t="s">
        <v>13</v>
      </c>
      <c r="B20" s="102"/>
      <c r="C20" s="329"/>
      <c r="D20" s="330"/>
    </row>
    <row r="21" spans="1:4" x14ac:dyDescent="0.25">
      <c r="A21" s="97"/>
      <c r="B21" s="112" t="s">
        <v>14</v>
      </c>
      <c r="C21" s="329">
        <v>887.67</v>
      </c>
      <c r="D21" s="330">
        <v>57039</v>
      </c>
    </row>
    <row r="22" spans="1:4" x14ac:dyDescent="0.25">
      <c r="A22" s="97"/>
      <c r="B22" s="112" t="s">
        <v>15</v>
      </c>
      <c r="C22" s="329"/>
      <c r="D22" s="330"/>
    </row>
    <row r="23" spans="1:4" x14ac:dyDescent="0.25">
      <c r="A23" s="97"/>
      <c r="B23" s="112" t="s">
        <v>16</v>
      </c>
      <c r="C23" s="329"/>
      <c r="D23" s="330"/>
    </row>
    <row r="24" spans="1:4" x14ac:dyDescent="0.25">
      <c r="A24" s="97"/>
      <c r="B24" s="112" t="s">
        <v>17</v>
      </c>
      <c r="C24" s="329"/>
      <c r="D24" s="330"/>
    </row>
    <row r="25" spans="1:4" x14ac:dyDescent="0.25">
      <c r="A25" s="97"/>
      <c r="B25" s="112" t="s">
        <v>18</v>
      </c>
      <c r="C25" s="329">
        <v>95</v>
      </c>
      <c r="D25" s="330">
        <v>3</v>
      </c>
    </row>
    <row r="26" spans="1:4" x14ac:dyDescent="0.25">
      <c r="A26" s="97"/>
      <c r="B26" s="110"/>
      <c r="C26" s="329"/>
      <c r="D26" s="330"/>
    </row>
    <row r="27" spans="1:4" x14ac:dyDescent="0.25">
      <c r="A27" s="104" t="s">
        <v>19</v>
      </c>
      <c r="B27" s="105"/>
      <c r="C27" s="333">
        <f>SUM(C9:C26)</f>
        <v>15126261.17</v>
      </c>
      <c r="D27" s="334">
        <f>SUM(D9:D26)</f>
        <v>41877537</v>
      </c>
    </row>
    <row r="28" spans="1:4" x14ac:dyDescent="0.25">
      <c r="A28" s="97"/>
      <c r="B28" s="110"/>
      <c r="C28" s="329"/>
      <c r="D28" s="330"/>
    </row>
    <row r="29" spans="1:4" x14ac:dyDescent="0.25">
      <c r="A29" s="98" t="s">
        <v>20</v>
      </c>
      <c r="B29" s="99"/>
      <c r="C29" s="329"/>
      <c r="D29" s="330"/>
    </row>
    <row r="30" spans="1:4" x14ac:dyDescent="0.25">
      <c r="A30" s="101" t="s">
        <v>21</v>
      </c>
      <c r="B30" s="102"/>
      <c r="C30" s="329"/>
      <c r="D30" s="330"/>
    </row>
    <row r="31" spans="1:4" x14ac:dyDescent="0.25">
      <c r="A31" s="97"/>
      <c r="B31" s="112" t="s">
        <v>22</v>
      </c>
      <c r="C31" s="329">
        <v>13404937.17</v>
      </c>
      <c r="D31" s="330">
        <v>30189634</v>
      </c>
    </row>
    <row r="32" spans="1:4" x14ac:dyDescent="0.25">
      <c r="A32" s="97"/>
      <c r="B32" s="112" t="s">
        <v>23</v>
      </c>
      <c r="C32" s="329">
        <v>244289.7</v>
      </c>
      <c r="D32" s="330">
        <v>987505</v>
      </c>
    </row>
    <row r="33" spans="1:4" x14ac:dyDescent="0.25">
      <c r="A33" s="97"/>
      <c r="B33" s="112" t="s">
        <v>24</v>
      </c>
      <c r="C33" s="329">
        <v>1211236.3700000001</v>
      </c>
      <c r="D33" s="330">
        <v>3805864</v>
      </c>
    </row>
    <row r="34" spans="1:4" x14ac:dyDescent="0.25">
      <c r="A34" s="101" t="s">
        <v>12</v>
      </c>
      <c r="B34" s="102"/>
      <c r="C34" s="329"/>
      <c r="D34" s="330"/>
    </row>
    <row r="35" spans="1:4" x14ac:dyDescent="0.25">
      <c r="A35" s="97"/>
      <c r="B35" s="112" t="s">
        <v>25</v>
      </c>
      <c r="C35" s="329"/>
      <c r="D35" s="330"/>
    </row>
    <row r="36" spans="1:4" x14ac:dyDescent="0.25">
      <c r="A36" s="97"/>
      <c r="B36" s="112" t="s">
        <v>26</v>
      </c>
      <c r="C36" s="329"/>
      <c r="D36" s="330"/>
    </row>
    <row r="37" spans="1:4" x14ac:dyDescent="0.25">
      <c r="A37" s="97"/>
      <c r="B37" s="112" t="s">
        <v>27</v>
      </c>
      <c r="C37" s="329"/>
      <c r="D37" s="330"/>
    </row>
    <row r="38" spans="1:4" x14ac:dyDescent="0.25">
      <c r="A38" s="97"/>
      <c r="B38" s="112" t="s">
        <v>28</v>
      </c>
      <c r="C38" s="329">
        <v>995714</v>
      </c>
      <c r="D38" s="330">
        <v>2847368</v>
      </c>
    </row>
    <row r="39" spans="1:4" x14ac:dyDescent="0.25">
      <c r="A39" s="97"/>
      <c r="B39" s="112" t="s">
        <v>29</v>
      </c>
      <c r="C39" s="329"/>
      <c r="D39" s="330"/>
    </row>
    <row r="40" spans="1:4" x14ac:dyDescent="0.25">
      <c r="A40" s="97"/>
      <c r="B40" s="112" t="s">
        <v>30</v>
      </c>
      <c r="C40" s="329"/>
      <c r="D40" s="330"/>
    </row>
    <row r="41" spans="1:4" x14ac:dyDescent="0.25">
      <c r="A41" s="97"/>
      <c r="B41" s="112" t="s">
        <v>31</v>
      </c>
      <c r="C41" s="329"/>
      <c r="D41" s="330"/>
    </row>
    <row r="42" spans="1:4" x14ac:dyDescent="0.25">
      <c r="A42" s="97"/>
      <c r="B42" s="112" t="s">
        <v>32</v>
      </c>
      <c r="C42" s="329"/>
      <c r="D42" s="330"/>
    </row>
    <row r="43" spans="1:4" x14ac:dyDescent="0.25">
      <c r="A43" s="97"/>
      <c r="B43" s="112" t="s">
        <v>33</v>
      </c>
      <c r="C43" s="329"/>
      <c r="D43" s="330"/>
    </row>
    <row r="44" spans="1:4" x14ac:dyDescent="0.25">
      <c r="A44" s="101" t="s">
        <v>34</v>
      </c>
      <c r="B44" s="102"/>
      <c r="C44" s="329"/>
      <c r="D44" s="330"/>
    </row>
    <row r="45" spans="1:4" x14ac:dyDescent="0.25">
      <c r="A45" s="97"/>
      <c r="B45" s="112" t="s">
        <v>35</v>
      </c>
      <c r="C45" s="329"/>
      <c r="D45" s="330"/>
    </row>
    <row r="46" spans="1:4" x14ac:dyDescent="0.25">
      <c r="A46" s="97"/>
      <c r="B46" s="112" t="s">
        <v>36</v>
      </c>
      <c r="C46" s="329"/>
      <c r="D46" s="330"/>
    </row>
    <row r="47" spans="1:4" x14ac:dyDescent="0.25">
      <c r="A47" s="97"/>
      <c r="B47" s="112" t="s">
        <v>37</v>
      </c>
      <c r="C47" s="329"/>
      <c r="D47" s="330"/>
    </row>
    <row r="48" spans="1:4" x14ac:dyDescent="0.25">
      <c r="A48" s="101" t="s">
        <v>38</v>
      </c>
      <c r="B48" s="102"/>
      <c r="C48" s="329"/>
      <c r="D48" s="330"/>
    </row>
    <row r="49" spans="1:4" x14ac:dyDescent="0.25">
      <c r="A49" s="97"/>
      <c r="B49" s="112" t="s">
        <v>39</v>
      </c>
      <c r="C49" s="329"/>
      <c r="D49" s="330"/>
    </row>
    <row r="50" spans="1:4" x14ac:dyDescent="0.25">
      <c r="A50" s="97"/>
      <c r="B50" s="112" t="s">
        <v>40</v>
      </c>
      <c r="C50" s="329"/>
      <c r="D50" s="330"/>
    </row>
    <row r="51" spans="1:4" x14ac:dyDescent="0.25">
      <c r="A51" s="97"/>
      <c r="B51" s="112" t="s">
        <v>41</v>
      </c>
      <c r="C51" s="329"/>
      <c r="D51" s="330"/>
    </row>
    <row r="52" spans="1:4" x14ac:dyDescent="0.25">
      <c r="A52" s="97"/>
      <c r="B52" s="112" t="s">
        <v>42</v>
      </c>
      <c r="C52" s="329"/>
      <c r="D52" s="330"/>
    </row>
    <row r="53" spans="1:4" x14ac:dyDescent="0.25">
      <c r="A53" s="97"/>
      <c r="B53" s="112" t="s">
        <v>43</v>
      </c>
      <c r="C53" s="329"/>
      <c r="D53" s="330"/>
    </row>
    <row r="54" spans="1:4" x14ac:dyDescent="0.25">
      <c r="A54" s="101" t="s">
        <v>44</v>
      </c>
      <c r="B54" s="102"/>
      <c r="C54" s="331"/>
      <c r="D54" s="332"/>
    </row>
    <row r="55" spans="1:4" x14ac:dyDescent="0.25">
      <c r="A55" s="97"/>
      <c r="B55" s="112" t="s">
        <v>45</v>
      </c>
      <c r="C55" s="331">
        <v>1254045.8500000001</v>
      </c>
      <c r="D55" s="332">
        <v>4389978</v>
      </c>
    </row>
    <row r="56" spans="1:4" x14ac:dyDescent="0.25">
      <c r="A56" s="97"/>
      <c r="B56" s="112" t="s">
        <v>46</v>
      </c>
      <c r="C56" s="331"/>
      <c r="D56" s="332"/>
    </row>
    <row r="57" spans="1:4" x14ac:dyDescent="0.25">
      <c r="A57" s="97"/>
      <c r="B57" s="112" t="s">
        <v>47</v>
      </c>
      <c r="C57" s="331"/>
      <c r="D57" s="332"/>
    </row>
    <row r="58" spans="1:4" x14ac:dyDescent="0.25">
      <c r="A58" s="97"/>
      <c r="B58" s="112" t="s">
        <v>48</v>
      </c>
      <c r="C58" s="331"/>
      <c r="D58" s="332"/>
    </row>
    <row r="59" spans="1:4" x14ac:dyDescent="0.25">
      <c r="A59" s="97"/>
      <c r="B59" s="112" t="s">
        <v>49</v>
      </c>
      <c r="C59" s="331"/>
      <c r="D59" s="332"/>
    </row>
    <row r="60" spans="1:4" x14ac:dyDescent="0.25">
      <c r="A60" s="97"/>
      <c r="B60" s="112" t="s">
        <v>50</v>
      </c>
      <c r="C60" s="329">
        <v>23200</v>
      </c>
      <c r="D60" s="330">
        <v>69600</v>
      </c>
    </row>
    <row r="61" spans="1:4" x14ac:dyDescent="0.25">
      <c r="A61" s="101" t="s">
        <v>51</v>
      </c>
      <c r="B61" s="102"/>
      <c r="C61" s="331"/>
      <c r="D61" s="332"/>
    </row>
    <row r="62" spans="1:4" x14ac:dyDescent="0.25">
      <c r="A62" s="97"/>
      <c r="B62" s="112" t="s">
        <v>52</v>
      </c>
      <c r="C62" s="329"/>
      <c r="D62" s="330"/>
    </row>
    <row r="63" spans="1:4" x14ac:dyDescent="0.25">
      <c r="A63" s="97"/>
      <c r="B63" s="106"/>
      <c r="C63" s="329"/>
      <c r="D63" s="330"/>
    </row>
    <row r="64" spans="1:4" x14ac:dyDescent="0.25">
      <c r="A64" s="101" t="s">
        <v>53</v>
      </c>
      <c r="B64" s="102"/>
      <c r="C64" s="333">
        <f>SUM(C31:C63)</f>
        <v>17133423.09</v>
      </c>
      <c r="D64" s="334">
        <f>SUM(D31:D63)</f>
        <v>42289949</v>
      </c>
    </row>
    <row r="65" spans="1:4" x14ac:dyDescent="0.25">
      <c r="A65" s="97"/>
      <c r="B65" s="106"/>
      <c r="C65" s="329"/>
      <c r="D65" s="330"/>
    </row>
    <row r="66" spans="1:4" x14ac:dyDescent="0.25">
      <c r="A66" s="101" t="s">
        <v>54</v>
      </c>
      <c r="B66" s="102"/>
      <c r="C66" s="329">
        <v>-1527628.8100000005</v>
      </c>
      <c r="D66" s="330">
        <v>-610834</v>
      </c>
    </row>
    <row r="67" spans="1:4" ht="16.5" thickBot="1" x14ac:dyDescent="0.3">
      <c r="A67" s="107"/>
      <c r="B67" s="108"/>
      <c r="C67" s="108"/>
      <c r="D67" s="109"/>
    </row>
    <row r="68" spans="1:4" ht="5.25" customHeight="1" x14ac:dyDescent="0.25"/>
    <row r="69" spans="1:4" ht="18.75" x14ac:dyDescent="0.25">
      <c r="B69" s="113" t="s">
        <v>244</v>
      </c>
    </row>
  </sheetData>
  <mergeCells count="5">
    <mergeCell ref="A2:D2"/>
    <mergeCell ref="A3:D3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workbookViewId="0">
      <selection sqref="A1:D1"/>
    </sheetView>
  </sheetViews>
  <sheetFormatPr baseColWidth="10" defaultRowHeight="14.25" x14ac:dyDescent="0.2"/>
  <cols>
    <col min="1" max="1" width="2.85546875" style="8" customWidth="1"/>
    <col min="2" max="2" width="48.140625" style="8" customWidth="1"/>
    <col min="3" max="4" width="17.5703125" style="8" customWidth="1"/>
    <col min="5" max="5" width="13" style="8" bestFit="1" customWidth="1"/>
    <col min="6" max="16384" width="11.42578125" style="8"/>
  </cols>
  <sheetData>
    <row r="1" spans="1:6" s="1" customFormat="1" ht="15" x14ac:dyDescent="0.25">
      <c r="A1" s="434" t="s">
        <v>245</v>
      </c>
      <c r="B1" s="434"/>
      <c r="C1" s="434"/>
      <c r="D1" s="434"/>
    </row>
    <row r="2" spans="1:6" s="96" customFormat="1" ht="15.75" x14ac:dyDescent="0.25">
      <c r="A2" s="432" t="s">
        <v>383</v>
      </c>
      <c r="B2" s="432"/>
      <c r="C2" s="432"/>
      <c r="D2" s="432"/>
    </row>
    <row r="3" spans="1:6" s="96" customFormat="1" ht="15.75" x14ac:dyDescent="0.25">
      <c r="A3" s="432" t="s">
        <v>112</v>
      </c>
      <c r="B3" s="432"/>
      <c r="C3" s="432"/>
      <c r="D3" s="432"/>
    </row>
    <row r="4" spans="1:6" s="96" customFormat="1" ht="15.75" x14ac:dyDescent="0.25">
      <c r="A4" s="432" t="s">
        <v>568</v>
      </c>
      <c r="B4" s="432"/>
      <c r="C4" s="432"/>
      <c r="D4" s="432"/>
    </row>
    <row r="5" spans="1:6" s="95" customFormat="1" ht="15.75" thickBot="1" x14ac:dyDescent="0.3">
      <c r="A5" s="435" t="s">
        <v>142</v>
      </c>
      <c r="B5" s="435"/>
      <c r="C5" s="435"/>
      <c r="D5" s="435"/>
    </row>
    <row r="6" spans="1:6" ht="6" customHeight="1" x14ac:dyDescent="0.2">
      <c r="A6" s="118"/>
      <c r="B6" s="119"/>
      <c r="C6" s="119"/>
      <c r="D6" s="124"/>
    </row>
    <row r="7" spans="1:6" ht="15" x14ac:dyDescent="0.25">
      <c r="A7" s="125" t="s">
        <v>115</v>
      </c>
      <c r="B7" s="9"/>
      <c r="C7" s="126" t="s">
        <v>113</v>
      </c>
      <c r="D7" s="127" t="s">
        <v>114</v>
      </c>
    </row>
    <row r="8" spans="1:6" ht="6.75" customHeight="1" x14ac:dyDescent="0.2">
      <c r="A8" s="10"/>
      <c r="B8" s="9"/>
      <c r="C8" s="9"/>
      <c r="D8" s="11"/>
    </row>
    <row r="9" spans="1:6" s="123" customFormat="1" x14ac:dyDescent="0.25">
      <c r="A9" s="121" t="s">
        <v>116</v>
      </c>
      <c r="B9" s="122"/>
      <c r="C9" s="122"/>
      <c r="D9" s="339">
        <v>5263641</v>
      </c>
      <c r="E9" s="123">
        <f>5263641.08-0.04</f>
        <v>5263641.04</v>
      </c>
      <c r="F9" s="338">
        <f>E9-D9</f>
        <v>4.0000000037252903E-2</v>
      </c>
    </row>
    <row r="10" spans="1:6" ht="16.5" customHeight="1" x14ac:dyDescent="0.2">
      <c r="A10" s="10"/>
      <c r="B10" s="9"/>
      <c r="C10" s="9"/>
      <c r="D10" s="11"/>
    </row>
    <row r="11" spans="1:6" ht="16.5" customHeight="1" x14ac:dyDescent="0.2">
      <c r="A11" s="120" t="s">
        <v>117</v>
      </c>
      <c r="B11" s="9"/>
      <c r="C11" s="9"/>
      <c r="D11" s="11"/>
    </row>
    <row r="12" spans="1:6" ht="16.5" customHeight="1" x14ac:dyDescent="0.2">
      <c r="A12" s="10"/>
      <c r="B12" s="9"/>
      <c r="C12" s="9"/>
      <c r="D12" s="11"/>
    </row>
    <row r="13" spans="1:6" ht="16.5" customHeight="1" x14ac:dyDescent="0.2">
      <c r="A13" s="10"/>
      <c r="B13" s="9" t="s">
        <v>118</v>
      </c>
      <c r="C13" s="335">
        <f>[1]Sheet1!$P$354</f>
        <v>4236000</v>
      </c>
      <c r="D13" s="11"/>
    </row>
    <row r="14" spans="1:6" ht="16.5" customHeight="1" x14ac:dyDescent="0.2">
      <c r="A14" s="10"/>
      <c r="B14" s="9" t="s">
        <v>119</v>
      </c>
      <c r="C14" s="335">
        <f>[1]Sheet1!$P$358+[1]Sheet1!$P$365</f>
        <v>10889278.5</v>
      </c>
      <c r="D14" s="11"/>
    </row>
    <row r="15" spans="1:6" ht="16.5" customHeight="1" x14ac:dyDescent="0.2">
      <c r="A15" s="10"/>
      <c r="B15" s="9" t="s">
        <v>120</v>
      </c>
      <c r="C15" s="335">
        <v>-45018.26</v>
      </c>
      <c r="D15" s="11"/>
    </row>
    <row r="16" spans="1:6" ht="16.5" customHeight="1" x14ac:dyDescent="0.2">
      <c r="A16" s="10"/>
      <c r="B16" s="9" t="s">
        <v>121</v>
      </c>
      <c r="C16" s="335">
        <f>[1]Sheet1!$P$386</f>
        <v>887.67</v>
      </c>
      <c r="D16" s="11"/>
    </row>
    <row r="17" spans="1:4" ht="16.5" customHeight="1" x14ac:dyDescent="0.2">
      <c r="A17" s="10"/>
      <c r="B17" s="9" t="s">
        <v>122</v>
      </c>
      <c r="C17" s="335">
        <f>[1]Sheet1!$P$377+[1]Sheet1!$P$391</f>
        <v>484244.91</v>
      </c>
      <c r="D17" s="11"/>
    </row>
    <row r="18" spans="1:4" ht="16.5" customHeight="1" x14ac:dyDescent="0.2">
      <c r="A18" s="10"/>
      <c r="B18" s="9" t="s">
        <v>123</v>
      </c>
      <c r="C18" s="335">
        <f>[1]Sheet1!$M$127</f>
        <v>1</v>
      </c>
      <c r="D18" s="11"/>
    </row>
    <row r="19" spans="1:4" ht="16.5" customHeight="1" x14ac:dyDescent="0.2">
      <c r="A19" s="10"/>
      <c r="B19" s="9"/>
      <c r="C19" s="9"/>
      <c r="D19" s="11"/>
    </row>
    <row r="20" spans="1:4" ht="16.5" customHeight="1" x14ac:dyDescent="0.2">
      <c r="A20" s="120" t="s">
        <v>124</v>
      </c>
      <c r="B20" s="9"/>
      <c r="C20" s="336">
        <f>SUM(C13:C19)</f>
        <v>15565393.82</v>
      </c>
      <c r="D20" s="11"/>
    </row>
    <row r="21" spans="1:4" ht="16.5" customHeight="1" x14ac:dyDescent="0.2">
      <c r="A21" s="10"/>
      <c r="B21" s="9"/>
      <c r="C21" s="9"/>
      <c r="D21" s="11"/>
    </row>
    <row r="22" spans="1:4" s="123" customFormat="1" ht="16.5" customHeight="1" x14ac:dyDescent="0.25">
      <c r="A22" s="121" t="s">
        <v>125</v>
      </c>
      <c r="B22" s="122"/>
      <c r="C22" s="122"/>
      <c r="D22" s="337">
        <f>D9+C20</f>
        <v>20829034.82</v>
      </c>
    </row>
    <row r="23" spans="1:4" ht="16.5" customHeight="1" x14ac:dyDescent="0.2">
      <c r="A23" s="10"/>
      <c r="B23" s="9"/>
      <c r="C23" s="9"/>
      <c r="D23" s="11"/>
    </row>
    <row r="24" spans="1:4" ht="16.5" customHeight="1" x14ac:dyDescent="0.2">
      <c r="A24" s="120" t="s">
        <v>126</v>
      </c>
      <c r="B24" s="9"/>
      <c r="C24" s="9"/>
      <c r="D24" s="11"/>
    </row>
    <row r="25" spans="1:4" ht="16.5" customHeight="1" x14ac:dyDescent="0.2">
      <c r="A25" s="10"/>
      <c r="B25" s="9"/>
      <c r="C25" s="9"/>
      <c r="D25" s="11"/>
    </row>
    <row r="26" spans="1:4" ht="16.5" customHeight="1" x14ac:dyDescent="0.2">
      <c r="A26" s="10"/>
      <c r="B26" s="9" t="s">
        <v>22</v>
      </c>
      <c r="C26" s="335">
        <f>[1]Sheet1!$M$398</f>
        <v>13404937.17</v>
      </c>
      <c r="D26" s="11"/>
    </row>
    <row r="27" spans="1:4" ht="16.5" customHeight="1" x14ac:dyDescent="0.2">
      <c r="A27" s="10"/>
      <c r="B27" s="9" t="s">
        <v>127</v>
      </c>
      <c r="C27" s="335">
        <f>[1]Sheet1!$M$431+[1]Sheet1!$M$471</f>
        <v>1455526.07</v>
      </c>
      <c r="D27" s="11"/>
    </row>
    <row r="28" spans="1:4" ht="16.5" customHeight="1" x14ac:dyDescent="0.2">
      <c r="A28" s="10"/>
      <c r="B28" s="9" t="s">
        <v>128</v>
      </c>
      <c r="C28" s="335">
        <f>[1]Sheet1!$P$300</f>
        <v>1</v>
      </c>
      <c r="D28" s="11"/>
    </row>
    <row r="29" spans="1:4" ht="16.5" customHeight="1" x14ac:dyDescent="0.2">
      <c r="A29" s="10"/>
      <c r="B29" s="9" t="s">
        <v>129</v>
      </c>
      <c r="C29" s="335">
        <v>-7987</v>
      </c>
      <c r="D29" s="11"/>
    </row>
    <row r="30" spans="1:4" ht="16.5" customHeight="1" x14ac:dyDescent="0.2">
      <c r="A30" s="10"/>
      <c r="B30" s="9"/>
      <c r="C30" s="9"/>
      <c r="D30" s="11"/>
    </row>
    <row r="31" spans="1:4" ht="16.5" customHeight="1" x14ac:dyDescent="0.2">
      <c r="A31" s="120" t="s">
        <v>333</v>
      </c>
      <c r="B31" s="9"/>
      <c r="C31" s="336">
        <f>SUM(C26:C30)</f>
        <v>14852477.24</v>
      </c>
      <c r="D31" s="11"/>
    </row>
    <row r="32" spans="1:4" ht="16.5" customHeight="1" x14ac:dyDescent="0.2">
      <c r="A32" s="10"/>
      <c r="B32" s="9"/>
      <c r="C32" s="9"/>
      <c r="D32" s="11"/>
    </row>
    <row r="33" spans="1:6" s="123" customFormat="1" ht="16.5" customHeight="1" x14ac:dyDescent="0.25">
      <c r="A33" s="121" t="s">
        <v>130</v>
      </c>
      <c r="B33" s="122"/>
      <c r="C33" s="122"/>
      <c r="D33" s="337">
        <f>D22-C31</f>
        <v>5976557.5800000001</v>
      </c>
      <c r="E33" s="399">
        <f>[1]Sheet1!$M$20+[1]Sheet1!$M$15</f>
        <v>5976557.1600000001</v>
      </c>
      <c r="F33" s="338">
        <f>D33-E33</f>
        <v>0.41999999992549419</v>
      </c>
    </row>
    <row r="34" spans="1:6" ht="16.5" customHeight="1" thickBot="1" x14ac:dyDescent="0.25">
      <c r="A34" s="12"/>
      <c r="B34" s="13"/>
      <c r="C34" s="13"/>
      <c r="D34" s="14"/>
    </row>
    <row r="35" spans="1:6" x14ac:dyDescent="0.2">
      <c r="A35" s="9"/>
      <c r="B35" s="9"/>
      <c r="C35" s="9"/>
      <c r="D35" s="9"/>
    </row>
    <row r="36" spans="1:6" x14ac:dyDescent="0.2">
      <c r="A36" s="9"/>
      <c r="B36" s="9"/>
      <c r="C36" s="9"/>
      <c r="D36" s="9"/>
    </row>
    <row r="37" spans="1:6" x14ac:dyDescent="0.2">
      <c r="A37" s="9"/>
      <c r="B37" s="9"/>
      <c r="C37" s="9"/>
      <c r="D37" s="9"/>
    </row>
    <row r="38" spans="1:6" x14ac:dyDescent="0.2">
      <c r="A38" s="9"/>
      <c r="B38" s="9"/>
      <c r="C38" s="9"/>
      <c r="D38" s="9"/>
    </row>
    <row r="39" spans="1:6" x14ac:dyDescent="0.2">
      <c r="A39" s="9"/>
      <c r="B39" s="9"/>
      <c r="C39" s="9"/>
      <c r="D39" s="9"/>
    </row>
    <row r="40" spans="1:6" x14ac:dyDescent="0.2">
      <c r="A40" s="9"/>
      <c r="B40" s="9"/>
      <c r="C40" s="9"/>
      <c r="D40" s="9"/>
    </row>
    <row r="41" spans="1:6" x14ac:dyDescent="0.2">
      <c r="A41" s="9"/>
      <c r="B41" s="9"/>
      <c r="C41" s="9"/>
      <c r="D41" s="9"/>
    </row>
    <row r="42" spans="1:6" x14ac:dyDescent="0.2">
      <c r="A42" s="9"/>
      <c r="B42" s="9"/>
      <c r="C42" s="9"/>
      <c r="D42" s="9"/>
    </row>
    <row r="43" spans="1:6" x14ac:dyDescent="0.2">
      <c r="A43" s="9"/>
      <c r="B43" s="9"/>
      <c r="C43" s="9"/>
      <c r="D43" s="9"/>
    </row>
    <row r="44" spans="1:6" x14ac:dyDescent="0.2">
      <c r="A44" s="9"/>
      <c r="B44" s="9"/>
      <c r="C44" s="9"/>
      <c r="D44" s="9"/>
    </row>
    <row r="45" spans="1:6" x14ac:dyDescent="0.2">
      <c r="A45" s="9"/>
      <c r="B45" s="9"/>
      <c r="C45" s="9"/>
      <c r="D45" s="9"/>
    </row>
    <row r="46" spans="1:6" x14ac:dyDescent="0.2">
      <c r="A46" s="9"/>
      <c r="B46" s="9"/>
      <c r="C46" s="9"/>
      <c r="D46" s="9"/>
    </row>
    <row r="47" spans="1:6" x14ac:dyDescent="0.2">
      <c r="A47" s="9"/>
      <c r="B47" s="9"/>
      <c r="C47" s="9"/>
      <c r="D47" s="9"/>
    </row>
  </sheetData>
  <autoFilter ref="A1:D48"/>
  <mergeCells count="5">
    <mergeCell ref="A1:D1"/>
    <mergeCell ref="A2:D2"/>
    <mergeCell ref="A3:D3"/>
    <mergeCell ref="A4:D4"/>
    <mergeCell ref="A5:D5"/>
  </mergeCells>
  <printOptions horizontalCentered="1"/>
  <pageMargins left="0.62992125984251968" right="0.27559055118110237" top="0.43307086614173229" bottom="0.74803149606299213" header="0.31496062992125984" footer="0.31496062992125984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pane ySplit="6" topLeftCell="A7" activePane="bottomLeft" state="frozen"/>
      <selection pane="bottomLeft" sqref="A1:F1"/>
    </sheetView>
  </sheetViews>
  <sheetFormatPr baseColWidth="10" defaultRowHeight="15" x14ac:dyDescent="0.25"/>
  <cols>
    <col min="1" max="1" width="50.5703125" customWidth="1"/>
    <col min="2" max="2" width="10.85546875" customWidth="1"/>
    <col min="3" max="3" width="11" customWidth="1"/>
    <col min="5" max="5" width="9.7109375" customWidth="1"/>
    <col min="6" max="6" width="11.140625" customWidth="1"/>
  </cols>
  <sheetData>
    <row r="1" spans="1:7" s="1" customFormat="1" x14ac:dyDescent="0.25">
      <c r="A1" s="434" t="s">
        <v>245</v>
      </c>
      <c r="B1" s="434"/>
      <c r="C1" s="434"/>
      <c r="D1" s="434"/>
      <c r="E1" s="434"/>
      <c r="F1" s="434"/>
    </row>
    <row r="2" spans="1:7" s="96" customFormat="1" ht="15.75" x14ac:dyDescent="0.25">
      <c r="A2" s="432" t="s">
        <v>381</v>
      </c>
      <c r="B2" s="432"/>
      <c r="C2" s="432"/>
      <c r="D2" s="432"/>
      <c r="E2" s="432"/>
      <c r="F2" s="432"/>
    </row>
    <row r="3" spans="1:7" s="96" customFormat="1" ht="15.75" x14ac:dyDescent="0.25">
      <c r="A3" s="432" t="s">
        <v>133</v>
      </c>
      <c r="B3" s="432"/>
      <c r="C3" s="432"/>
      <c r="D3" s="432"/>
      <c r="E3" s="432"/>
      <c r="F3" s="432"/>
    </row>
    <row r="4" spans="1:7" s="96" customFormat="1" ht="15.75" x14ac:dyDescent="0.25">
      <c r="A4" s="432" t="s">
        <v>569</v>
      </c>
      <c r="B4" s="432"/>
      <c r="C4" s="432"/>
      <c r="D4" s="432"/>
      <c r="E4" s="432"/>
      <c r="F4" s="432"/>
    </row>
    <row r="5" spans="1:7" s="95" customFormat="1" ht="15.75" thickBot="1" x14ac:dyDescent="0.3">
      <c r="A5" s="433" t="s">
        <v>142</v>
      </c>
      <c r="B5" s="433"/>
      <c r="C5" s="433"/>
      <c r="D5" s="433"/>
      <c r="E5" s="433"/>
      <c r="F5" s="433"/>
    </row>
    <row r="6" spans="1:7" s="15" customFormat="1" ht="72.75" thickBot="1" x14ac:dyDescent="0.25">
      <c r="A6" s="128" t="s">
        <v>134</v>
      </c>
      <c r="B6" s="129" t="s">
        <v>135</v>
      </c>
      <c r="C6" s="129" t="s">
        <v>136</v>
      </c>
      <c r="D6" s="129" t="s">
        <v>137</v>
      </c>
      <c r="E6" s="129" t="s">
        <v>138</v>
      </c>
      <c r="F6" s="402" t="s">
        <v>139</v>
      </c>
      <c r="G6" s="401" t="s">
        <v>572</v>
      </c>
    </row>
    <row r="7" spans="1:7" s="132" customFormat="1" ht="16.5" customHeight="1" x14ac:dyDescent="0.25">
      <c r="A7" s="130"/>
      <c r="B7" s="131"/>
      <c r="C7" s="131"/>
      <c r="D7" s="131"/>
      <c r="E7" s="131"/>
      <c r="F7" s="342"/>
      <c r="G7" s="400"/>
    </row>
    <row r="8" spans="1:7" s="134" customFormat="1" ht="16.5" customHeight="1" x14ac:dyDescent="0.25">
      <c r="A8" s="133" t="s">
        <v>106</v>
      </c>
      <c r="B8" s="340"/>
      <c r="C8" s="340"/>
      <c r="D8" s="340"/>
      <c r="E8" s="340"/>
      <c r="F8" s="341"/>
      <c r="G8" s="400"/>
    </row>
    <row r="9" spans="1:7" s="134" customFormat="1" ht="16.5" customHeight="1" x14ac:dyDescent="0.25">
      <c r="A9" s="133"/>
      <c r="B9" s="340"/>
      <c r="C9" s="340"/>
      <c r="D9" s="340"/>
      <c r="E9" s="340"/>
      <c r="F9" s="341"/>
      <c r="G9" s="400"/>
    </row>
    <row r="10" spans="1:7" s="134" customFormat="1" ht="16.5" customHeight="1" x14ac:dyDescent="0.25">
      <c r="A10" s="133" t="s">
        <v>140</v>
      </c>
      <c r="B10" s="340">
        <f>[2]Sheet1!$P$275</f>
        <v>71363057.719999999</v>
      </c>
      <c r="C10" s="340">
        <f>[3]Sheet1!$AB$67</f>
        <v>6310587.2599999998</v>
      </c>
      <c r="D10" s="340">
        <f>[3]Sheet1!$AA$71</f>
        <v>-2766079.1</v>
      </c>
      <c r="E10" s="340"/>
      <c r="F10" s="341">
        <f>SUM(B10:E10)</f>
        <v>74907565.88000001</v>
      </c>
      <c r="G10" s="400">
        <v>2012</v>
      </c>
    </row>
    <row r="11" spans="1:7" s="134" customFormat="1" ht="16.5" customHeight="1" x14ac:dyDescent="0.25">
      <c r="A11" s="135" t="s">
        <v>36</v>
      </c>
      <c r="B11" s="340"/>
      <c r="C11" s="340"/>
      <c r="D11" s="340"/>
      <c r="E11" s="340"/>
      <c r="F11" s="341"/>
      <c r="G11" s="400"/>
    </row>
    <row r="12" spans="1:7" s="134" customFormat="1" ht="16.5" customHeight="1" x14ac:dyDescent="0.25">
      <c r="A12" s="135" t="s">
        <v>98</v>
      </c>
      <c r="B12" s="340"/>
      <c r="C12" s="340"/>
      <c r="D12" s="340"/>
      <c r="E12" s="340"/>
      <c r="F12" s="341"/>
      <c r="G12" s="400"/>
    </row>
    <row r="13" spans="1:7" s="134" customFormat="1" ht="16.5" customHeight="1" x14ac:dyDescent="0.25">
      <c r="A13" s="135" t="s">
        <v>100</v>
      </c>
      <c r="B13" s="340"/>
      <c r="C13" s="340"/>
      <c r="D13" s="340"/>
      <c r="E13" s="340"/>
      <c r="F13" s="341"/>
      <c r="G13" s="400"/>
    </row>
    <row r="14" spans="1:7" s="134" customFormat="1" ht="16.5" customHeight="1" x14ac:dyDescent="0.25">
      <c r="A14" s="133"/>
      <c r="B14" s="340"/>
      <c r="C14" s="340"/>
      <c r="D14" s="340"/>
      <c r="E14" s="340"/>
      <c r="F14" s="341"/>
      <c r="G14" s="400"/>
    </row>
    <row r="15" spans="1:7" s="134" customFormat="1" ht="24" x14ac:dyDescent="0.25">
      <c r="A15" s="133" t="s">
        <v>141</v>
      </c>
      <c r="B15" s="340"/>
      <c r="C15" s="340"/>
      <c r="D15" s="340"/>
      <c r="E15" s="340"/>
      <c r="F15" s="341"/>
      <c r="G15" s="400"/>
    </row>
    <row r="16" spans="1:7" s="134" customFormat="1" ht="16.5" customHeight="1" x14ac:dyDescent="0.25">
      <c r="A16" s="135" t="s">
        <v>54</v>
      </c>
      <c r="B16" s="340"/>
      <c r="C16" s="340"/>
      <c r="D16" s="340"/>
      <c r="E16" s="340"/>
      <c r="F16" s="341">
        <f>SUM(B16:E16)</f>
        <v>0</v>
      </c>
      <c r="G16" s="400"/>
    </row>
    <row r="17" spans="1:7" s="134" customFormat="1" ht="16.5" customHeight="1" x14ac:dyDescent="0.25">
      <c r="A17" s="135" t="s">
        <v>103</v>
      </c>
      <c r="B17" s="341"/>
      <c r="C17" s="341"/>
      <c r="D17" s="341"/>
      <c r="E17" s="341"/>
      <c r="F17" s="341"/>
      <c r="G17" s="400"/>
    </row>
    <row r="18" spans="1:7" s="134" customFormat="1" ht="16.5" customHeight="1" x14ac:dyDescent="0.25">
      <c r="A18" s="135" t="s">
        <v>104</v>
      </c>
      <c r="B18" s="340"/>
      <c r="C18" s="340"/>
      <c r="D18" s="340"/>
      <c r="E18" s="340"/>
      <c r="F18" s="341"/>
      <c r="G18" s="400"/>
    </row>
    <row r="19" spans="1:7" s="134" customFormat="1" ht="16.5" customHeight="1" x14ac:dyDescent="0.25">
      <c r="A19" s="135" t="s">
        <v>105</v>
      </c>
      <c r="B19" s="340"/>
      <c r="C19" s="340"/>
      <c r="D19" s="340"/>
      <c r="E19" s="340"/>
      <c r="F19" s="341"/>
      <c r="G19" s="400"/>
    </row>
    <row r="20" spans="1:7" s="134" customFormat="1" ht="16.5" customHeight="1" x14ac:dyDescent="0.25">
      <c r="A20" s="133"/>
      <c r="B20" s="340"/>
      <c r="C20" s="340"/>
      <c r="D20" s="340"/>
      <c r="E20" s="340"/>
      <c r="F20" s="341"/>
      <c r="G20" s="400"/>
    </row>
    <row r="21" spans="1:7" s="134" customFormat="1" ht="16.5" customHeight="1" x14ac:dyDescent="0.25">
      <c r="A21" s="133" t="s">
        <v>384</v>
      </c>
      <c r="B21" s="340">
        <v>84688371</v>
      </c>
      <c r="C21" s="340">
        <v>3442564</v>
      </c>
      <c r="D21" s="340">
        <f>C29</f>
        <v>-610833.91</v>
      </c>
      <c r="E21" s="340"/>
      <c r="F21" s="341">
        <f>SUM(B21:E21)</f>
        <v>87520101.090000004</v>
      </c>
      <c r="G21" s="400">
        <v>2013</v>
      </c>
    </row>
    <row r="22" spans="1:7" s="134" customFormat="1" ht="16.5" customHeight="1" x14ac:dyDescent="0.25">
      <c r="A22" s="133"/>
      <c r="B22" s="340"/>
      <c r="C22" s="340"/>
      <c r="D22" s="340"/>
      <c r="E22" s="340"/>
      <c r="F22" s="341"/>
      <c r="G22" s="400"/>
    </row>
    <row r="23" spans="1:7" s="134" customFormat="1" ht="24" x14ac:dyDescent="0.25">
      <c r="A23" s="133" t="s">
        <v>571</v>
      </c>
      <c r="B23" s="340"/>
      <c r="C23" s="340"/>
      <c r="D23" s="340"/>
      <c r="E23" s="340"/>
      <c r="F23" s="341">
        <f>SUM(B23:E23)</f>
        <v>0</v>
      </c>
      <c r="G23" s="400"/>
    </row>
    <row r="24" spans="1:7" s="134" customFormat="1" ht="16.5" customHeight="1" x14ac:dyDescent="0.25">
      <c r="A24" s="135" t="s">
        <v>36</v>
      </c>
      <c r="B24" s="340"/>
      <c r="C24" s="340"/>
      <c r="D24" s="340"/>
      <c r="E24" s="340"/>
      <c r="F24" s="341"/>
      <c r="G24" s="400"/>
    </row>
    <row r="25" spans="1:7" s="134" customFormat="1" ht="16.5" customHeight="1" x14ac:dyDescent="0.25">
      <c r="A25" s="135" t="s">
        <v>98</v>
      </c>
      <c r="B25" s="340"/>
      <c r="C25" s="340"/>
      <c r="D25" s="340"/>
      <c r="E25" s="340"/>
      <c r="F25" s="341"/>
      <c r="G25" s="400"/>
    </row>
    <row r="26" spans="1:7" s="134" customFormat="1" ht="16.5" customHeight="1" x14ac:dyDescent="0.25">
      <c r="A26" s="135" t="s">
        <v>100</v>
      </c>
      <c r="B26" s="340"/>
      <c r="C26" s="340"/>
      <c r="D26" s="340"/>
      <c r="E26" s="340"/>
      <c r="F26" s="341"/>
      <c r="G26" s="400"/>
    </row>
    <row r="27" spans="1:7" s="134" customFormat="1" ht="16.5" customHeight="1" x14ac:dyDescent="0.25">
      <c r="A27" s="133"/>
      <c r="B27" s="340"/>
      <c r="C27" s="340"/>
      <c r="D27" s="340"/>
      <c r="E27" s="340"/>
      <c r="F27" s="341"/>
      <c r="G27" s="400"/>
    </row>
    <row r="28" spans="1:7" s="134" customFormat="1" ht="24" x14ac:dyDescent="0.25">
      <c r="A28" s="133" t="s">
        <v>141</v>
      </c>
      <c r="B28" s="340"/>
      <c r="C28" s="340"/>
      <c r="D28" s="340"/>
      <c r="E28" s="340"/>
      <c r="F28" s="341">
        <f>SUM(B28:E28)</f>
        <v>0</v>
      </c>
      <c r="G28" s="400"/>
    </row>
    <row r="29" spans="1:7" s="134" customFormat="1" ht="16.5" customHeight="1" x14ac:dyDescent="0.25">
      <c r="A29" s="135" t="s">
        <v>54</v>
      </c>
      <c r="B29" s="340"/>
      <c r="C29" s="340">
        <f>[4]Sheet1!$AA$72</f>
        <v>-610833.91</v>
      </c>
      <c r="D29" s="340">
        <f>[5]Sheet1!$AA$73</f>
        <v>-1527628.81</v>
      </c>
      <c r="E29" s="340"/>
      <c r="F29" s="341">
        <f>SUM(B29:E29)</f>
        <v>-2138462.7200000002</v>
      </c>
      <c r="G29" s="400"/>
    </row>
    <row r="30" spans="1:7" s="134" customFormat="1" ht="16.5" customHeight="1" x14ac:dyDescent="0.25">
      <c r="A30" s="135" t="s">
        <v>103</v>
      </c>
      <c r="B30" s="341"/>
      <c r="C30" s="341"/>
      <c r="D30" s="341"/>
      <c r="E30" s="341"/>
      <c r="F30" s="341"/>
      <c r="G30" s="400"/>
    </row>
    <row r="31" spans="1:7" s="134" customFormat="1" ht="16.5" customHeight="1" x14ac:dyDescent="0.25">
      <c r="A31" s="135" t="s">
        <v>104</v>
      </c>
      <c r="B31" s="340"/>
      <c r="C31" s="340"/>
      <c r="D31" s="340"/>
      <c r="E31" s="340"/>
      <c r="F31" s="341"/>
      <c r="G31" s="400"/>
    </row>
    <row r="32" spans="1:7" s="134" customFormat="1" ht="16.5" customHeight="1" x14ac:dyDescent="0.25">
      <c r="A32" s="135" t="s">
        <v>105</v>
      </c>
      <c r="B32" s="340"/>
      <c r="C32" s="340"/>
      <c r="D32" s="340"/>
      <c r="E32" s="340"/>
      <c r="F32" s="341"/>
      <c r="G32" s="400"/>
    </row>
    <row r="33" spans="1:7" s="134" customFormat="1" ht="16.5" customHeight="1" x14ac:dyDescent="0.25">
      <c r="A33" s="133"/>
      <c r="B33" s="341"/>
      <c r="C33" s="341"/>
      <c r="D33" s="341"/>
      <c r="E33" s="341"/>
      <c r="F33" s="341"/>
      <c r="G33" s="400"/>
    </row>
    <row r="34" spans="1:7" s="134" customFormat="1" ht="16.5" customHeight="1" x14ac:dyDescent="0.25">
      <c r="A34" s="133" t="s">
        <v>385</v>
      </c>
      <c r="B34" s="341">
        <f>[5]Sheet1!$AB$52</f>
        <v>85821314.370000005</v>
      </c>
      <c r="C34" s="341">
        <f>[5]Sheet1!$AB$69</f>
        <v>2786711.59</v>
      </c>
      <c r="D34" s="341">
        <f>D29</f>
        <v>-1527628.81</v>
      </c>
      <c r="E34" s="341"/>
      <c r="F34" s="341">
        <f>SUM(B34:E34)</f>
        <v>87080397.150000006</v>
      </c>
      <c r="G34" s="400">
        <v>2014</v>
      </c>
    </row>
    <row r="35" spans="1:7" s="132" customFormat="1" ht="16.5" customHeight="1" thickBot="1" x14ac:dyDescent="0.3">
      <c r="A35" s="136"/>
      <c r="B35" s="137"/>
      <c r="C35" s="137"/>
      <c r="D35" s="137"/>
      <c r="E35" s="137"/>
      <c r="F35" s="343"/>
      <c r="G35" s="400"/>
    </row>
  </sheetData>
  <mergeCells count="5">
    <mergeCell ref="A4:F4"/>
    <mergeCell ref="A3:F3"/>
    <mergeCell ref="A2:F2"/>
    <mergeCell ref="A1:F1"/>
    <mergeCell ref="A5:F5"/>
  </mergeCells>
  <pageMargins left="0.15748031496062992" right="0.15748031496062992" top="0.74803149606299213" bottom="0.74803149606299213" header="0.31496062992125984" footer="0.31496062992125984"/>
  <pageSetup scale="9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workbookViewId="0">
      <selection activeCell="E1" sqref="E1:G14"/>
    </sheetView>
  </sheetViews>
  <sheetFormatPr baseColWidth="10" defaultRowHeight="15" x14ac:dyDescent="0.25"/>
  <cols>
    <col min="1" max="1" width="80.85546875" style="139" bestFit="1" customWidth="1"/>
    <col min="2" max="3" width="17" style="139" customWidth="1"/>
    <col min="4" max="4" width="33.28515625" style="139" customWidth="1"/>
    <col min="5" max="6" width="14.140625" style="139" bestFit="1" customWidth="1"/>
    <col min="7" max="8" width="11.42578125" style="139"/>
    <col min="9" max="9" width="13" style="139" bestFit="1" customWidth="1"/>
    <col min="10" max="16384" width="11.42578125" style="139"/>
  </cols>
  <sheetData>
    <row r="1" spans="1:7" x14ac:dyDescent="0.25">
      <c r="E1" s="404" t="s">
        <v>573</v>
      </c>
      <c r="F1" s="404" t="s">
        <v>574</v>
      </c>
    </row>
    <row r="2" spans="1:7" s="1" customFormat="1" x14ac:dyDescent="0.25">
      <c r="D2" s="69"/>
      <c r="E2" s="407">
        <f>[12]Sheet1!$J$20+[12]Sheet1!$J$15</f>
        <v>2983358.03</v>
      </c>
      <c r="F2" s="407">
        <f>[12]Sheet1!$K$20+[12]Sheet1!$K$15</f>
        <v>2094909.45</v>
      </c>
      <c r="G2" s="140" t="s">
        <v>584</v>
      </c>
    </row>
    <row r="3" spans="1:7" s="96" customFormat="1" ht="15.75" x14ac:dyDescent="0.25">
      <c r="A3" s="434" t="s">
        <v>583</v>
      </c>
      <c r="B3" s="434"/>
      <c r="C3" s="434"/>
      <c r="D3" s="67"/>
      <c r="E3" s="407">
        <f>[13]Sheet1!$J$20+[13]Sheet1!$J$15</f>
        <v>2009638.8199999998</v>
      </c>
      <c r="F3" s="407">
        <f>[13]Sheet1!$K$20+[13]Sheet1!$K$15</f>
        <v>3221103.76</v>
      </c>
      <c r="G3" s="140" t="s">
        <v>585</v>
      </c>
    </row>
    <row r="4" spans="1:7" s="96" customFormat="1" ht="15.75" x14ac:dyDescent="0.25">
      <c r="A4" s="432" t="s">
        <v>381</v>
      </c>
      <c r="B4" s="432"/>
      <c r="C4" s="432"/>
      <c r="D4" s="67"/>
      <c r="E4" s="407">
        <f>[8]Sheet1!$J$20+[8]Sheet1!$J$15</f>
        <v>5522750.5099999998</v>
      </c>
      <c r="F4" s="407">
        <f>[8]Sheet1!$K$20+[8]Sheet1!$K$15</f>
        <v>2836340.4</v>
      </c>
      <c r="G4" s="140" t="s">
        <v>586</v>
      </c>
    </row>
    <row r="5" spans="1:7" s="96" customFormat="1" ht="15.75" x14ac:dyDescent="0.25">
      <c r="A5" s="432" t="s">
        <v>143</v>
      </c>
      <c r="B5" s="432"/>
      <c r="C5" s="432"/>
      <c r="D5" s="67"/>
      <c r="E5" s="407">
        <f>[6]Sheet1!$J$20+[6]Sheet1!$J$15</f>
        <v>3486156.06</v>
      </c>
      <c r="F5" s="407">
        <f>[6]Sheet1!$K$20+[6]Sheet1!$K$15</f>
        <v>3254872.83</v>
      </c>
      <c r="G5" s="140" t="s">
        <v>579</v>
      </c>
    </row>
    <row r="6" spans="1:7" s="95" customFormat="1" x14ac:dyDescent="0.25">
      <c r="A6" s="432" t="s">
        <v>569</v>
      </c>
      <c r="B6" s="432"/>
      <c r="C6" s="432"/>
      <c r="D6" s="87"/>
      <c r="E6" s="407">
        <f>[7]Sheet1!$J$20+[7]Sheet1!$J$15</f>
        <v>1784883.78</v>
      </c>
      <c r="F6" s="407">
        <f>[7]Sheet1!$K$20+[7]Sheet1!$K$15</f>
        <v>3564865.54</v>
      </c>
      <c r="G6" s="140" t="s">
        <v>580</v>
      </c>
    </row>
    <row r="7" spans="1:7" s="95" customFormat="1" ht="15.75" thickBot="1" x14ac:dyDescent="0.3">
      <c r="A7" s="435" t="s">
        <v>142</v>
      </c>
      <c r="B7" s="435"/>
      <c r="C7" s="435"/>
      <c r="E7" s="407">
        <f>[1]Sheet1!$J$20+[1]Sheet1!$J$15</f>
        <v>3322185.2</v>
      </c>
      <c r="F7" s="407">
        <f>[1]Sheet1!$K$20+[1]Sheet1!$K$15</f>
        <v>3423964.3000000003</v>
      </c>
      <c r="G7" s="140" t="s">
        <v>581</v>
      </c>
    </row>
    <row r="8" spans="1:7" s="140" customFormat="1" x14ac:dyDescent="0.2">
      <c r="A8" s="151"/>
      <c r="B8" s="152" t="s">
        <v>144</v>
      </c>
      <c r="C8" s="153" t="s">
        <v>145</v>
      </c>
      <c r="E8" s="407"/>
      <c r="F8" s="407"/>
      <c r="G8" s="140" t="s">
        <v>587</v>
      </c>
    </row>
    <row r="9" spans="1:7" s="140" customFormat="1" ht="16.5" x14ac:dyDescent="0.2">
      <c r="A9" s="141" t="s">
        <v>146</v>
      </c>
      <c r="B9" s="148" t="s">
        <v>386</v>
      </c>
      <c r="C9" s="142"/>
      <c r="D9" s="403"/>
      <c r="E9" s="407"/>
      <c r="F9" s="407"/>
      <c r="G9" s="140" t="s">
        <v>588</v>
      </c>
    </row>
    <row r="10" spans="1:7" s="140" customFormat="1" x14ac:dyDescent="0.2">
      <c r="A10" s="143" t="s">
        <v>59</v>
      </c>
      <c r="B10" s="149" t="s">
        <v>147</v>
      </c>
      <c r="C10" s="142" t="s">
        <v>148</v>
      </c>
      <c r="E10" s="407"/>
      <c r="F10" s="407"/>
      <c r="G10" s="140" t="s">
        <v>589</v>
      </c>
    </row>
    <row r="11" spans="1:7" s="140" customFormat="1" ht="14.25" x14ac:dyDescent="0.2">
      <c r="A11" s="144" t="s">
        <v>61</v>
      </c>
      <c r="B11" s="405"/>
      <c r="C11" s="406">
        <f>E14-F14</f>
        <v>712916.11999999732</v>
      </c>
      <c r="D11" s="436" t="s">
        <v>575</v>
      </c>
      <c r="E11" s="407"/>
      <c r="F11" s="407"/>
      <c r="G11" s="140" t="s">
        <v>590</v>
      </c>
    </row>
    <row r="12" spans="1:7" s="140" customFormat="1" ht="14.25" x14ac:dyDescent="0.2">
      <c r="A12" s="144" t="s">
        <v>63</v>
      </c>
      <c r="B12" s="408">
        <f>D28+F30-E30</f>
        <v>5720037.0499999989</v>
      </c>
      <c r="C12" s="409"/>
      <c r="D12" s="436"/>
      <c r="E12" s="407"/>
      <c r="F12" s="407"/>
      <c r="G12" s="140" t="s">
        <v>591</v>
      </c>
    </row>
    <row r="13" spans="1:7" s="140" customFormat="1" ht="14.25" x14ac:dyDescent="0.2">
      <c r="A13" s="144" t="s">
        <v>65</v>
      </c>
      <c r="B13" s="410"/>
      <c r="C13" s="409"/>
      <c r="E13" s="407"/>
      <c r="F13" s="407"/>
      <c r="G13" s="140" t="s">
        <v>592</v>
      </c>
    </row>
    <row r="14" spans="1:7" s="140" customFormat="1" x14ac:dyDescent="0.25">
      <c r="A14" s="144" t="s">
        <v>149</v>
      </c>
      <c r="B14" s="410"/>
      <c r="C14" s="409"/>
      <c r="E14" s="519">
        <f>SUM(E2:E13)</f>
        <v>19108972.399999999</v>
      </c>
      <c r="F14" s="519">
        <f>SUM(F2:F13)</f>
        <v>18396056.280000001</v>
      </c>
      <c r="G14" s="520" t="s">
        <v>593</v>
      </c>
    </row>
    <row r="15" spans="1:7" s="140" customFormat="1" ht="14.25" x14ac:dyDescent="0.2">
      <c r="A15" s="144" t="s">
        <v>69</v>
      </c>
      <c r="B15" s="410"/>
      <c r="C15" s="409"/>
    </row>
    <row r="16" spans="1:7" s="140" customFormat="1" ht="14.25" x14ac:dyDescent="0.2">
      <c r="A16" s="144" t="s">
        <v>71</v>
      </c>
      <c r="B16" s="410"/>
      <c r="C16" s="409"/>
      <c r="E16" s="407">
        <f>[12]Sheet1!$J$38</f>
        <v>151819</v>
      </c>
      <c r="F16" s="407">
        <f>[12]Sheet1!$K$38</f>
        <v>2945148.27</v>
      </c>
      <c r="G16" s="140" t="str">
        <f>G2</f>
        <v>enero</v>
      </c>
    </row>
    <row r="17" spans="1:7" s="140" customFormat="1" ht="14.25" x14ac:dyDescent="0.2">
      <c r="A17" s="144" t="s">
        <v>73</v>
      </c>
      <c r="B17" s="410"/>
      <c r="C17" s="409"/>
      <c r="E17" s="407">
        <f>[13]Sheet1!$J$38</f>
        <v>733921.18</v>
      </c>
      <c r="F17" s="407">
        <f>[13]Sheet1!$K$38</f>
        <v>149688.32000000001</v>
      </c>
      <c r="G17" s="140" t="str">
        <f t="shared" ref="G17:G19" si="0">G3</f>
        <v>febrero</v>
      </c>
    </row>
    <row r="18" spans="1:7" s="140" customFormat="1" ht="5.25" customHeight="1" x14ac:dyDescent="0.2">
      <c r="A18" s="141"/>
      <c r="B18" s="412"/>
      <c r="C18" s="413"/>
    </row>
    <row r="19" spans="1:7" s="140" customFormat="1" ht="14.25" x14ac:dyDescent="0.2">
      <c r="A19" s="143" t="s">
        <v>76</v>
      </c>
      <c r="B19" s="414"/>
      <c r="C19" s="415"/>
      <c r="E19" s="407">
        <f>[8]Sheet1!$J$36</f>
        <v>426740</v>
      </c>
      <c r="F19" s="407">
        <f>[8]Sheet1!$K$36</f>
        <v>429757.14</v>
      </c>
      <c r="G19" s="140" t="str">
        <f>G4</f>
        <v>marzo</v>
      </c>
    </row>
    <row r="20" spans="1:7" s="140" customFormat="1" x14ac:dyDescent="0.2">
      <c r="A20" s="144" t="s">
        <v>78</v>
      </c>
      <c r="B20" s="412"/>
      <c r="C20" s="413"/>
      <c r="E20" s="407">
        <f>[6]Sheet1!$J$36</f>
        <v>127543</v>
      </c>
      <c r="F20" s="407">
        <f>[6]Sheet1!$K$36</f>
        <v>717384.14</v>
      </c>
      <c r="G20" s="140" t="str">
        <f t="shared" ref="G20:G28" si="1">G5</f>
        <v>abril</v>
      </c>
    </row>
    <row r="21" spans="1:7" s="140" customFormat="1" x14ac:dyDescent="0.2">
      <c r="A21" s="144" t="s">
        <v>80</v>
      </c>
      <c r="B21" s="412"/>
      <c r="C21" s="413"/>
      <c r="D21" s="403"/>
      <c r="E21" s="407">
        <f>[7]Sheet1!$J$36</f>
        <v>153004</v>
      </c>
      <c r="F21" s="407">
        <f>[7]Sheet1!$K$36</f>
        <v>148690.14000000001</v>
      </c>
      <c r="G21" s="140" t="str">
        <f t="shared" si="1"/>
        <v>mayo</v>
      </c>
    </row>
    <row r="22" spans="1:7" s="140" customFormat="1" ht="14.25" x14ac:dyDescent="0.2">
      <c r="A22" s="144" t="s">
        <v>83</v>
      </c>
      <c r="B22" s="408">
        <f>'[9]BC jun2014 AC'!$T$217</f>
        <v>53488331.299999997</v>
      </c>
      <c r="C22" s="406"/>
      <c r="E22" s="407">
        <f>[1]Sheet1!$J$36</f>
        <v>142814</v>
      </c>
      <c r="F22" s="407">
        <f>[1]Sheet1!$K$36</f>
        <v>151387.14000000001</v>
      </c>
      <c r="G22" s="140" t="str">
        <f t="shared" si="1"/>
        <v>junio</v>
      </c>
    </row>
    <row r="23" spans="1:7" s="140" customFormat="1" ht="14.25" x14ac:dyDescent="0.2">
      <c r="A23" s="144" t="s">
        <v>86</v>
      </c>
      <c r="B23" s="408">
        <f>'[9]BC jun2014 AC'!$T$234</f>
        <v>32332983.07</v>
      </c>
      <c r="C23" s="406"/>
      <c r="E23" s="407"/>
      <c r="F23" s="407"/>
      <c r="G23" s="140" t="str">
        <f t="shared" si="1"/>
        <v>julio</v>
      </c>
    </row>
    <row r="24" spans="1:7" s="140" customFormat="1" x14ac:dyDescent="0.2">
      <c r="A24" s="144" t="s">
        <v>87</v>
      </c>
      <c r="B24" s="412"/>
      <c r="C24" s="413"/>
      <c r="E24" s="407"/>
      <c r="F24" s="407"/>
      <c r="G24" s="140" t="str">
        <f t="shared" si="1"/>
        <v>agosto</v>
      </c>
    </row>
    <row r="25" spans="1:7" s="140" customFormat="1" x14ac:dyDescent="0.2">
      <c r="A25" s="144" t="s">
        <v>89</v>
      </c>
      <c r="B25" s="412"/>
      <c r="C25" s="413"/>
      <c r="D25" s="436" t="s">
        <v>576</v>
      </c>
      <c r="E25" s="407"/>
      <c r="F25" s="407"/>
      <c r="G25" s="140" t="str">
        <f t="shared" si="1"/>
        <v>septiembre</v>
      </c>
    </row>
    <row r="26" spans="1:7" s="140" customFormat="1" ht="14.25" x14ac:dyDescent="0.2">
      <c r="A26" s="144" t="s">
        <v>90</v>
      </c>
      <c r="B26" s="408">
        <f>'[9]BC jun2014 AC'!$T$212</f>
        <v>71000.56</v>
      </c>
      <c r="C26" s="406"/>
      <c r="D26" s="436"/>
      <c r="E26" s="407"/>
      <c r="F26" s="407"/>
      <c r="G26" s="140" t="str">
        <f t="shared" si="1"/>
        <v>octubre</v>
      </c>
    </row>
    <row r="27" spans="1:7" s="140" customFormat="1" x14ac:dyDescent="0.2">
      <c r="A27" s="144" t="s">
        <v>92</v>
      </c>
      <c r="B27" s="412"/>
      <c r="C27" s="142"/>
      <c r="E27" s="407"/>
      <c r="F27" s="407"/>
      <c r="G27" s="140" t="str">
        <f t="shared" si="1"/>
        <v>noviembre</v>
      </c>
    </row>
    <row r="28" spans="1:7" s="140" customFormat="1" x14ac:dyDescent="0.2">
      <c r="A28" s="144" t="s">
        <v>94</v>
      </c>
      <c r="B28" s="149"/>
      <c r="C28" s="142"/>
      <c r="D28" s="403">
        <f>[11]Sheet1!$M$38</f>
        <v>2913823.08</v>
      </c>
      <c r="E28" s="407"/>
      <c r="F28" s="407"/>
      <c r="G28" s="140" t="str">
        <f t="shared" si="1"/>
        <v>diciembre</v>
      </c>
    </row>
    <row r="29" spans="1:7" s="140" customFormat="1" ht="6.75" customHeight="1" x14ac:dyDescent="0.2">
      <c r="A29" s="146"/>
      <c r="B29" s="149"/>
      <c r="C29" s="142"/>
    </row>
    <row r="30" spans="1:7" s="140" customFormat="1" x14ac:dyDescent="0.25">
      <c r="A30" s="141" t="s">
        <v>150</v>
      </c>
      <c r="B30" s="149"/>
      <c r="C30" s="142"/>
      <c r="D30" s="140" t="s">
        <v>577</v>
      </c>
      <c r="E30" s="519">
        <f>SUM(E16:E28)</f>
        <v>1735841.1800000002</v>
      </c>
      <c r="F30" s="519">
        <f>SUM(F16:F28)</f>
        <v>4542055.1499999994</v>
      </c>
      <c r="G30" s="520" t="s">
        <v>593</v>
      </c>
    </row>
    <row r="31" spans="1:7" s="140" customFormat="1" ht="16.5" x14ac:dyDescent="0.2">
      <c r="A31" s="143" t="s">
        <v>60</v>
      </c>
      <c r="B31" s="148" t="s">
        <v>387</v>
      </c>
      <c r="C31" s="145"/>
    </row>
    <row r="32" spans="1:7" s="140" customFormat="1" ht="15" customHeight="1" x14ac:dyDescent="0.2">
      <c r="A32" s="144" t="s">
        <v>62</v>
      </c>
      <c r="B32" s="149" t="s">
        <v>148</v>
      </c>
      <c r="C32" s="142" t="s">
        <v>147</v>
      </c>
      <c r="D32" s="436" t="s">
        <v>578</v>
      </c>
      <c r="E32" s="407">
        <f>[12]Sheet1!$J$251-[12]Sheet1!$J$287</f>
        <v>3019692.82</v>
      </c>
      <c r="F32" s="407">
        <f>[12]Sheet1!$K$251-[12]Sheet1!$K$287</f>
        <v>220970.85000000009</v>
      </c>
      <c r="G32" s="140" t="str">
        <f>G16</f>
        <v>enero</v>
      </c>
    </row>
    <row r="33" spans="1:7" s="140" customFormat="1" x14ac:dyDescent="0.2">
      <c r="A33" s="144" t="s">
        <v>64</v>
      </c>
      <c r="B33" s="149"/>
      <c r="C33" s="406">
        <f>E45-F45</f>
        <v>2547910.0799999996</v>
      </c>
      <c r="D33" s="436"/>
      <c r="E33" s="407">
        <f>[13]Sheet1!$J$250-[13]Sheet1!$J$291</f>
        <v>176713</v>
      </c>
      <c r="F33" s="407">
        <f>[13]Sheet1!$K$250-[13]Sheet1!$K$291</f>
        <v>870518.59000000008</v>
      </c>
      <c r="G33" s="140" t="str">
        <f>G17</f>
        <v>febrero</v>
      </c>
    </row>
    <row r="34" spans="1:7" s="140" customFormat="1" x14ac:dyDescent="0.2">
      <c r="A34" s="144" t="s">
        <v>66</v>
      </c>
      <c r="B34" s="149"/>
      <c r="C34" s="416"/>
      <c r="D34" s="436"/>
      <c r="E34" s="407">
        <f>[8]Sheet1!$J$248-[8]Sheet1!$J$292</f>
        <v>552410.18999999994</v>
      </c>
      <c r="F34" s="407">
        <f>[8]Sheet1!$K$248-[8]Sheet1!$K$292</f>
        <v>648327.73</v>
      </c>
      <c r="G34" s="140" t="str">
        <f>G19</f>
        <v>marzo</v>
      </c>
    </row>
    <row r="35" spans="1:7" s="140" customFormat="1" x14ac:dyDescent="0.2">
      <c r="A35" s="144" t="s">
        <v>68</v>
      </c>
      <c r="B35" s="149"/>
      <c r="C35" s="142"/>
      <c r="E35" s="407">
        <f>[6]Sheet1!$J$250-[6]Sheet1!$J$292</f>
        <v>805316.8</v>
      </c>
      <c r="F35" s="407">
        <f>[6]Sheet1!$K$250-[6]Sheet1!$K$292</f>
        <v>332073.31999999983</v>
      </c>
      <c r="G35" s="140" t="str">
        <f t="shared" ref="G35:G41" si="2">G20</f>
        <v>abril</v>
      </c>
    </row>
    <row r="36" spans="1:7" s="140" customFormat="1" x14ac:dyDescent="0.2">
      <c r="A36" s="144" t="s">
        <v>70</v>
      </c>
      <c r="B36" s="149"/>
      <c r="C36" s="142"/>
      <c r="E36" s="407">
        <f>[7]Sheet1!$J$255-[7]Sheet1!$J$294</f>
        <v>275542.53000000026</v>
      </c>
      <c r="F36" s="407">
        <f>[7]Sheet1!$K$255-[7]Sheet1!$K$294</f>
        <v>295977.66999999993</v>
      </c>
      <c r="G36" s="140" t="str">
        <f t="shared" si="2"/>
        <v>mayo</v>
      </c>
    </row>
    <row r="37" spans="1:7" s="140" customFormat="1" ht="15" customHeight="1" x14ac:dyDescent="0.2">
      <c r="A37" s="144" t="s">
        <v>72</v>
      </c>
      <c r="B37" s="408">
        <f>F60-E60</f>
        <v>2027259.3000000007</v>
      </c>
      <c r="C37" s="142"/>
      <c r="E37" s="407">
        <f>[1]Sheet1!$J$254-[1]Sheet1!$J$288</f>
        <v>325153.15999999968</v>
      </c>
      <c r="F37" s="407">
        <f>[1]Sheet1!$K$254-[1]Sheet1!$K$288</f>
        <v>239050.26000000024</v>
      </c>
      <c r="G37" s="140" t="str">
        <f t="shared" si="2"/>
        <v>junio</v>
      </c>
    </row>
    <row r="38" spans="1:7" s="140" customFormat="1" x14ac:dyDescent="0.2">
      <c r="A38" s="144" t="s">
        <v>74</v>
      </c>
      <c r="B38" s="149"/>
      <c r="C38" s="142"/>
      <c r="E38" s="407"/>
      <c r="F38" s="407"/>
      <c r="G38" s="140" t="str">
        <f t="shared" si="2"/>
        <v>julio</v>
      </c>
    </row>
    <row r="39" spans="1:7" s="140" customFormat="1" x14ac:dyDescent="0.2">
      <c r="A39" s="144" t="s">
        <v>75</v>
      </c>
      <c r="B39" s="149"/>
      <c r="C39" s="142"/>
      <c r="E39" s="407"/>
      <c r="F39" s="407"/>
      <c r="G39" s="140" t="str">
        <f t="shared" si="2"/>
        <v>agosto</v>
      </c>
    </row>
    <row r="40" spans="1:7" s="140" customFormat="1" ht="6" customHeight="1" x14ac:dyDescent="0.2">
      <c r="A40" s="141"/>
      <c r="B40" s="149"/>
      <c r="C40" s="142"/>
    </row>
    <row r="41" spans="1:7" s="140" customFormat="1" ht="14.25" x14ac:dyDescent="0.2">
      <c r="A41" s="143" t="s">
        <v>77</v>
      </c>
      <c r="B41" s="150"/>
      <c r="C41" s="145"/>
      <c r="E41" s="407"/>
      <c r="F41" s="407"/>
      <c r="G41" s="140" t="str">
        <f>G25</f>
        <v>septiembre</v>
      </c>
    </row>
    <row r="42" spans="1:7" s="140" customFormat="1" x14ac:dyDescent="0.2">
      <c r="A42" s="144" t="s">
        <v>79</v>
      </c>
      <c r="B42" s="149"/>
      <c r="C42" s="142"/>
      <c r="E42" s="407"/>
      <c r="F42" s="407"/>
      <c r="G42" s="140" t="str">
        <f>G26</f>
        <v>octubre</v>
      </c>
    </row>
    <row r="43" spans="1:7" s="140" customFormat="1" x14ac:dyDescent="0.2">
      <c r="A43" s="144" t="s">
        <v>81</v>
      </c>
      <c r="B43" s="149"/>
      <c r="C43" s="142"/>
      <c r="E43" s="407"/>
      <c r="F43" s="407"/>
      <c r="G43" s="140" t="str">
        <f>G27</f>
        <v>noviembre</v>
      </c>
    </row>
    <row r="44" spans="1:7" s="140" customFormat="1" x14ac:dyDescent="0.2">
      <c r="A44" s="144" t="s">
        <v>82</v>
      </c>
      <c r="B44" s="149"/>
      <c r="C44" s="142"/>
      <c r="E44" s="407"/>
      <c r="F44" s="407"/>
      <c r="G44" s="140" t="str">
        <f>G28</f>
        <v>diciembre</v>
      </c>
    </row>
    <row r="45" spans="1:7" s="140" customFormat="1" x14ac:dyDescent="0.25">
      <c r="A45" s="144" t="s">
        <v>84</v>
      </c>
      <c r="B45" s="149"/>
      <c r="C45" s="142"/>
      <c r="E45" s="519">
        <f>SUM(E32:E44)</f>
        <v>5154828.5</v>
      </c>
      <c r="F45" s="519">
        <f>SUM(F32:F44)</f>
        <v>2606918.4200000004</v>
      </c>
      <c r="G45" s="520" t="s">
        <v>593</v>
      </c>
    </row>
    <row r="46" spans="1:7" s="140" customFormat="1" x14ac:dyDescent="0.2">
      <c r="A46" s="144" t="s">
        <v>85</v>
      </c>
      <c r="B46" s="149"/>
      <c r="C46" s="142"/>
    </row>
    <row r="47" spans="1:7" s="140" customFormat="1" x14ac:dyDescent="0.2">
      <c r="A47" s="144" t="s">
        <v>88</v>
      </c>
      <c r="B47" s="149"/>
      <c r="C47" s="142"/>
      <c r="D47" s="436" t="s">
        <v>582</v>
      </c>
      <c r="E47" s="407">
        <f>[12]Sheet1!$J$287+[12]Sheet1!$J$305</f>
        <v>1755063.17</v>
      </c>
      <c r="F47" s="407">
        <f>[12]Sheet1!$K$287+[12]Sheet1!$K$305</f>
        <v>2113652.4700000002</v>
      </c>
      <c r="G47" s="140" t="str">
        <f>G32</f>
        <v>enero</v>
      </c>
    </row>
    <row r="48" spans="1:7" s="140" customFormat="1" x14ac:dyDescent="0.2">
      <c r="A48" s="144"/>
      <c r="B48" s="149"/>
      <c r="C48" s="142"/>
      <c r="D48" s="436"/>
      <c r="E48" s="407">
        <f>[13]Sheet1!$J$291+[13]Sheet1!$J$309</f>
        <v>1694887.67</v>
      </c>
      <c r="F48" s="407">
        <f>[13]Sheet1!$K$291+[13]Sheet1!$K$309</f>
        <v>2130329.4700000002</v>
      </c>
      <c r="G48" s="140" t="str">
        <f t="shared" ref="G48:G54" si="3">G33</f>
        <v>febrero</v>
      </c>
    </row>
    <row r="49" spans="1:7" s="140" customFormat="1" ht="16.5" x14ac:dyDescent="0.2">
      <c r="A49" s="141" t="s">
        <v>151</v>
      </c>
      <c r="B49" s="148" t="s">
        <v>387</v>
      </c>
      <c r="C49" s="142"/>
      <c r="D49" s="436"/>
      <c r="E49" s="407">
        <f>[8]Sheet1!$J$292+[8]Sheet1!$J$311</f>
        <v>1654168.77</v>
      </c>
      <c r="F49" s="407">
        <f>[8]Sheet1!$K$292+[8]Sheet1!$K$311</f>
        <v>2150671.5299999998</v>
      </c>
      <c r="G49" s="140" t="str">
        <f t="shared" si="3"/>
        <v>marzo</v>
      </c>
    </row>
    <row r="50" spans="1:7" s="140" customFormat="1" ht="14.25" x14ac:dyDescent="0.2">
      <c r="A50" s="143" t="s">
        <v>96</v>
      </c>
      <c r="B50" s="150" t="s">
        <v>148</v>
      </c>
      <c r="C50" s="145" t="s">
        <v>147</v>
      </c>
      <c r="E50" s="407">
        <f>[6]Sheet1!$J$292+[6]Sheet1!$J$311</f>
        <v>1663528.94</v>
      </c>
      <c r="F50" s="407">
        <f>[6]Sheet1!$K$292+[6]Sheet1!$K$311</f>
        <v>2135247.5</v>
      </c>
      <c r="G50" s="140" t="str">
        <f t="shared" si="3"/>
        <v>abril</v>
      </c>
    </row>
    <row r="51" spans="1:7" s="140" customFormat="1" x14ac:dyDescent="0.2">
      <c r="A51" s="144" t="s">
        <v>36</v>
      </c>
      <c r="B51" s="417">
        <f>[1]Sheet1!$P$320</f>
        <v>85821314.370000005</v>
      </c>
      <c r="C51" s="418"/>
      <c r="E51" s="407">
        <f>[7]Sheet1!$J$294+[7]Sheet1!$J$313</f>
        <v>2392779.6999999997</v>
      </c>
      <c r="F51" s="407">
        <f>[7]Sheet1!$K$294+[7]Sheet1!$K$313</f>
        <v>2158449.35</v>
      </c>
      <c r="G51" s="140" t="str">
        <f t="shared" si="3"/>
        <v>mayo</v>
      </c>
    </row>
    <row r="52" spans="1:7" s="140" customFormat="1" ht="14.25" x14ac:dyDescent="0.2">
      <c r="A52" s="144" t="s">
        <v>98</v>
      </c>
      <c r="B52" s="419"/>
      <c r="C52" s="420"/>
      <c r="E52" s="407">
        <f>[1]Sheet1!$J$288+[1]Sheet1!$J$307</f>
        <v>2257921.79</v>
      </c>
      <c r="F52" s="407">
        <f>[1]Sheet1!$K$288+[1]Sheet1!$K$307</f>
        <v>2757259.02</v>
      </c>
      <c r="G52" s="140" t="str">
        <f t="shared" si="3"/>
        <v>junio</v>
      </c>
    </row>
    <row r="53" spans="1:7" s="140" customFormat="1" x14ac:dyDescent="0.2">
      <c r="A53" s="144" t="s">
        <v>100</v>
      </c>
      <c r="B53" s="421"/>
      <c r="C53" s="418"/>
      <c r="E53" s="407"/>
      <c r="F53" s="407"/>
      <c r="G53" s="140" t="str">
        <f t="shared" si="3"/>
        <v>julio</v>
      </c>
    </row>
    <row r="54" spans="1:7" s="140" customFormat="1" ht="6" customHeight="1" x14ac:dyDescent="0.2">
      <c r="A54" s="143"/>
      <c r="B54" s="414"/>
      <c r="C54" s="145"/>
    </row>
    <row r="55" spans="1:7" s="140" customFormat="1" ht="15.75" customHeight="1" x14ac:dyDescent="0.2">
      <c r="A55" s="143" t="s">
        <v>101</v>
      </c>
      <c r="B55" s="414"/>
      <c r="C55" s="145"/>
      <c r="E55" s="407"/>
      <c r="F55" s="407"/>
      <c r="G55" s="140" t="str">
        <f>G39</f>
        <v>agosto</v>
      </c>
    </row>
    <row r="56" spans="1:7" s="140" customFormat="1" ht="14.25" x14ac:dyDescent="0.2">
      <c r="A56" s="144" t="s">
        <v>102</v>
      </c>
      <c r="B56" s="417">
        <f>[10]Sheet1!$L$60</f>
        <v>-523586.57</v>
      </c>
      <c r="C56" s="420"/>
      <c r="E56" s="407"/>
      <c r="F56" s="407"/>
      <c r="G56" s="140" t="str">
        <f>G41</f>
        <v>septiembre</v>
      </c>
    </row>
    <row r="57" spans="1:7" s="140" customFormat="1" ht="14.25" x14ac:dyDescent="0.2">
      <c r="A57" s="144" t="s">
        <v>103</v>
      </c>
      <c r="B57" s="417">
        <f>[4]Sheet1!$AB$68</f>
        <v>3442563.76</v>
      </c>
      <c r="C57" s="420"/>
      <c r="D57" s="403">
        <f>3442564-610834</f>
        <v>2831730</v>
      </c>
      <c r="E57" s="407"/>
      <c r="F57" s="407"/>
      <c r="G57" s="140" t="str">
        <f t="shared" ref="G57:G59" si="4">G42</f>
        <v>octubre</v>
      </c>
    </row>
    <row r="58" spans="1:7" s="140" customFormat="1" ht="14.25" x14ac:dyDescent="0.2">
      <c r="A58" s="144" t="s">
        <v>104</v>
      </c>
      <c r="B58" s="422"/>
      <c r="C58" s="420"/>
      <c r="D58" s="403">
        <f>D57-B57</f>
        <v>-610833.75999999978</v>
      </c>
      <c r="E58" s="407"/>
      <c r="F58" s="407"/>
      <c r="G58" s="140" t="str">
        <f t="shared" si="4"/>
        <v>noviembre</v>
      </c>
    </row>
    <row r="59" spans="1:7" s="140" customFormat="1" x14ac:dyDescent="0.2">
      <c r="A59" s="144" t="s">
        <v>105</v>
      </c>
      <c r="B59" s="423"/>
      <c r="C59" s="418"/>
      <c r="E59" s="407"/>
      <c r="F59" s="407"/>
      <c r="G59" s="140" t="str">
        <f t="shared" si="4"/>
        <v>diciembre</v>
      </c>
    </row>
    <row r="60" spans="1:7" s="140" customFormat="1" x14ac:dyDescent="0.25">
      <c r="A60" s="144" t="s">
        <v>106</v>
      </c>
      <c r="B60" s="424"/>
      <c r="C60" s="425"/>
      <c r="E60" s="519">
        <f>SUM(E47:E59)</f>
        <v>11418350.039999999</v>
      </c>
      <c r="F60" s="519">
        <f>SUM(F47:F59)</f>
        <v>13445609.34</v>
      </c>
      <c r="G60" s="520" t="s">
        <v>593</v>
      </c>
    </row>
    <row r="61" spans="1:7" s="140" customFormat="1" ht="7.5" customHeight="1" x14ac:dyDescent="0.2">
      <c r="A61" s="143"/>
      <c r="B61" s="426"/>
      <c r="C61" s="427"/>
    </row>
    <row r="62" spans="1:7" s="140" customFormat="1" ht="14.25" x14ac:dyDescent="0.2">
      <c r="A62" s="143" t="s">
        <v>152</v>
      </c>
      <c r="B62" s="426"/>
      <c r="C62" s="427"/>
    </row>
    <row r="63" spans="1:7" s="140" customFormat="1" ht="14.25" x14ac:dyDescent="0.2">
      <c r="A63" s="144" t="s">
        <v>108</v>
      </c>
      <c r="B63" s="424"/>
      <c r="C63" s="425"/>
    </row>
    <row r="64" spans="1:7" s="140" customFormat="1" thickBot="1" x14ac:dyDescent="0.25">
      <c r="A64" s="147" t="s">
        <v>109</v>
      </c>
      <c r="B64" s="428"/>
      <c r="C64" s="429"/>
    </row>
    <row r="65" spans="4:7" x14ac:dyDescent="0.25">
      <c r="D65" s="430">
        <f>SUM(B11:B28)+SUM(B33:B47)+SUM(B51:B59)</f>
        <v>182379902.84</v>
      </c>
      <c r="E65" s="430">
        <f>SUM(C11:C28)+SUM(C33:C47)+SUM(C51:C59)</f>
        <v>3260826.1999999969</v>
      </c>
      <c r="F65" s="430">
        <f>D65-E65</f>
        <v>179119076.64000002</v>
      </c>
    </row>
    <row r="72" spans="4:7" x14ac:dyDescent="0.25">
      <c r="G72" s="140"/>
    </row>
    <row r="73" spans="4:7" x14ac:dyDescent="0.25">
      <c r="G73" s="140"/>
    </row>
    <row r="74" spans="4:7" x14ac:dyDescent="0.25">
      <c r="G74" s="140"/>
    </row>
    <row r="75" spans="4:7" x14ac:dyDescent="0.25">
      <c r="D75" s="140"/>
      <c r="E75" s="140"/>
      <c r="F75" s="140"/>
      <c r="G75" s="140"/>
    </row>
    <row r="76" spans="4:7" x14ac:dyDescent="0.25">
      <c r="D76" s="140"/>
      <c r="E76" s="411"/>
      <c r="F76" s="411"/>
      <c r="G76" s="140"/>
    </row>
  </sheetData>
  <mergeCells count="9">
    <mergeCell ref="D47:D49"/>
    <mergeCell ref="D11:D12"/>
    <mergeCell ref="A3:C3"/>
    <mergeCell ref="A4:C4"/>
    <mergeCell ref="A5:C5"/>
    <mergeCell ref="A6:C6"/>
    <mergeCell ref="A7:C7"/>
    <mergeCell ref="D25:D26"/>
    <mergeCell ref="D32:D34"/>
  </mergeCells>
  <printOptions horizontalCentered="1"/>
  <pageMargins left="0.15748031496062992" right="0.15748031496062992" top="0.47244094488188981" bottom="0.23622047244094491" header="0.31496062992125984" footer="0.19685039370078741"/>
  <pageSetup scale="78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3" sqref="A3"/>
    </sheetView>
  </sheetViews>
  <sheetFormatPr baseColWidth="10" defaultRowHeight="15" x14ac:dyDescent="0.25"/>
  <sheetData>
    <row r="2" spans="1:1" x14ac:dyDescent="0.25">
      <c r="A2" t="s">
        <v>388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N20" sqref="N20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9" sqref="A1:G29"/>
    </sheetView>
  </sheetViews>
  <sheetFormatPr baseColWidth="10" defaultRowHeight="14.25" x14ac:dyDescent="0.25"/>
  <cols>
    <col min="1" max="1" width="1.42578125" style="123" customWidth="1"/>
    <col min="2" max="2" width="44.28515625" style="123" bestFit="1" customWidth="1"/>
    <col min="3" max="3" width="13.5703125" style="123" bestFit="1" customWidth="1"/>
    <col min="4" max="5" width="12.7109375" style="123" customWidth="1"/>
    <col min="6" max="6" width="13.5703125" style="123" bestFit="1" customWidth="1"/>
    <col min="7" max="7" width="12.7109375" style="123" customWidth="1"/>
    <col min="8" max="8" width="30.28515625" style="123" bestFit="1" customWidth="1"/>
    <col min="9" max="10" width="14.140625" style="123" bestFit="1" customWidth="1"/>
    <col min="11" max="11" width="11.85546875" style="123" bestFit="1" customWidth="1"/>
    <col min="12" max="16384" width="11.42578125" style="123"/>
  </cols>
  <sheetData>
    <row r="1" spans="1:11" s="156" customFormat="1" ht="15" x14ac:dyDescent="0.25">
      <c r="A1" s="438" t="s">
        <v>245</v>
      </c>
      <c r="B1" s="438"/>
      <c r="C1" s="438"/>
      <c r="D1" s="438"/>
      <c r="E1" s="438"/>
      <c r="F1" s="438"/>
      <c r="G1" s="438"/>
      <c r="I1" s="404" t="s">
        <v>573</v>
      </c>
      <c r="J1" s="404" t="s">
        <v>574</v>
      </c>
      <c r="K1" s="139"/>
    </row>
    <row r="2" spans="1:11" s="157" customFormat="1" ht="15.75" x14ac:dyDescent="0.2">
      <c r="A2" s="438" t="s">
        <v>381</v>
      </c>
      <c r="B2" s="438"/>
      <c r="C2" s="438"/>
      <c r="D2" s="438"/>
      <c r="E2" s="438"/>
      <c r="F2" s="438"/>
      <c r="G2" s="438"/>
      <c r="H2" s="521" t="s">
        <v>61</v>
      </c>
      <c r="I2" s="407">
        <f>[12]Sheet1!$J$20+[12]Sheet1!$J$15</f>
        <v>2983358.03</v>
      </c>
      <c r="J2" s="407">
        <f>[12]Sheet1!$K$20+[12]Sheet1!$K$15</f>
        <v>2094909.45</v>
      </c>
      <c r="K2" s="140" t="s">
        <v>584</v>
      </c>
    </row>
    <row r="3" spans="1:11" s="157" customFormat="1" ht="15.75" x14ac:dyDescent="0.2">
      <c r="A3" s="438" t="s">
        <v>155</v>
      </c>
      <c r="B3" s="438"/>
      <c r="C3" s="438"/>
      <c r="D3" s="438"/>
      <c r="E3" s="438"/>
      <c r="F3" s="438"/>
      <c r="G3" s="438"/>
      <c r="I3" s="407">
        <f>[13]Sheet1!$J$20+[13]Sheet1!$J$15</f>
        <v>2009638.8199999998</v>
      </c>
      <c r="J3" s="407">
        <f>[13]Sheet1!$K$20+[13]Sheet1!$K$15</f>
        <v>3221103.76</v>
      </c>
      <c r="K3" s="140" t="s">
        <v>585</v>
      </c>
    </row>
    <row r="4" spans="1:11" s="157" customFormat="1" ht="15.75" x14ac:dyDescent="0.2">
      <c r="A4" s="438" t="s">
        <v>568</v>
      </c>
      <c r="B4" s="438"/>
      <c r="C4" s="438"/>
      <c r="D4" s="438"/>
      <c r="E4" s="438"/>
      <c r="F4" s="438"/>
      <c r="G4" s="438"/>
      <c r="I4" s="407">
        <f>[8]Sheet1!$J$20+[8]Sheet1!$J$15</f>
        <v>5522750.5099999998</v>
      </c>
      <c r="J4" s="407">
        <f>[8]Sheet1!$K$20+[8]Sheet1!$K$15</f>
        <v>2836340.4</v>
      </c>
      <c r="K4" s="140" t="s">
        <v>586</v>
      </c>
    </row>
    <row r="5" spans="1:11" s="158" customFormat="1" ht="15.75" thickBot="1" x14ac:dyDescent="0.25">
      <c r="A5" s="439" t="s">
        <v>142</v>
      </c>
      <c r="B5" s="439"/>
      <c r="C5" s="439"/>
      <c r="D5" s="439"/>
      <c r="E5" s="439"/>
      <c r="F5" s="439"/>
      <c r="G5" s="439"/>
      <c r="I5" s="407">
        <f>[6]Sheet1!$J$20+[6]Sheet1!$J$15</f>
        <v>3486156.06</v>
      </c>
      <c r="J5" s="407">
        <f>[6]Sheet1!$K$20+[6]Sheet1!$K$15</f>
        <v>3254872.83</v>
      </c>
      <c r="K5" s="140" t="s">
        <v>579</v>
      </c>
    </row>
    <row r="6" spans="1:11" s="154" customFormat="1" ht="45.75" thickBot="1" x14ac:dyDescent="0.3">
      <c r="A6" s="437" t="s">
        <v>134</v>
      </c>
      <c r="B6" s="437"/>
      <c r="C6" s="155" t="s">
        <v>337</v>
      </c>
      <c r="D6" s="155" t="s">
        <v>334</v>
      </c>
      <c r="E6" s="155" t="s">
        <v>335</v>
      </c>
      <c r="F6" s="155" t="s">
        <v>338</v>
      </c>
      <c r="G6" s="155" t="s">
        <v>336</v>
      </c>
      <c r="I6" s="522">
        <f>[7]Sheet1!$J$20+[7]Sheet1!$J$15</f>
        <v>1784883.78</v>
      </c>
      <c r="J6" s="522">
        <f>[7]Sheet1!$K$20+[7]Sheet1!$K$15</f>
        <v>3564865.54</v>
      </c>
      <c r="K6" s="123" t="s">
        <v>580</v>
      </c>
    </row>
    <row r="7" spans="1:11" ht="20.100000000000001" customHeight="1" x14ac:dyDescent="0.2">
      <c r="A7" s="159"/>
      <c r="B7" s="160"/>
      <c r="C7" s="161"/>
      <c r="D7" s="161"/>
      <c r="E7" s="161"/>
      <c r="F7" s="161"/>
      <c r="G7" s="161"/>
      <c r="I7" s="407">
        <f>[1]Sheet1!$J$20+[1]Sheet1!$J$15</f>
        <v>3322185.2</v>
      </c>
      <c r="J7" s="407">
        <f>[1]Sheet1!$K$20+[1]Sheet1!$K$15</f>
        <v>3423964.3000000003</v>
      </c>
      <c r="K7" s="140" t="s">
        <v>581</v>
      </c>
    </row>
    <row r="8" spans="1:11" ht="20.100000000000001" customHeight="1" x14ac:dyDescent="0.2">
      <c r="A8" s="162" t="s">
        <v>57</v>
      </c>
      <c r="B8" s="163"/>
      <c r="C8" s="345">
        <f>C10+C19</f>
        <v>92958538.170000002</v>
      </c>
      <c r="D8" s="345">
        <f>D10+D19</f>
        <v>21393018.619999997</v>
      </c>
      <c r="E8" s="345">
        <f>E10+E19</f>
        <v>22938111.43</v>
      </c>
      <c r="F8" s="345">
        <f>F10+F19</f>
        <v>91413445.359999999</v>
      </c>
      <c r="G8" s="345">
        <f>G10+G19</f>
        <v>-1545092.8100000042</v>
      </c>
      <c r="I8" s="407"/>
      <c r="J8" s="407"/>
      <c r="K8" s="140" t="s">
        <v>587</v>
      </c>
    </row>
    <row r="9" spans="1:11" ht="20.100000000000001" customHeight="1" x14ac:dyDescent="0.2">
      <c r="A9" s="164"/>
      <c r="B9" s="165"/>
      <c r="C9" s="161"/>
      <c r="D9" s="161"/>
      <c r="E9" s="161"/>
      <c r="F9" s="161"/>
      <c r="G9" s="345"/>
      <c r="I9" s="407"/>
      <c r="J9" s="407"/>
      <c r="K9" s="140" t="s">
        <v>588</v>
      </c>
    </row>
    <row r="10" spans="1:11" ht="20.100000000000001" customHeight="1" x14ac:dyDescent="0.2">
      <c r="A10" s="164"/>
      <c r="B10" s="165" t="s">
        <v>59</v>
      </c>
      <c r="C10" s="346">
        <f>SUM(C11:C17)</f>
        <v>8177464.1200000001</v>
      </c>
      <c r="D10" s="346">
        <f>SUM(D11:D17)</f>
        <v>20844813.579999998</v>
      </c>
      <c r="E10" s="346">
        <f t="shared" ref="E10:F10" si="0">SUM(E11:E17)</f>
        <v>22938111.43</v>
      </c>
      <c r="F10" s="346">
        <f t="shared" si="0"/>
        <v>6084166.2699999968</v>
      </c>
      <c r="G10" s="346">
        <f>SUM(G11:G17)</f>
        <v>-2093297.8500000034</v>
      </c>
      <c r="I10" s="407"/>
      <c r="J10" s="407"/>
      <c r="K10" s="140" t="s">
        <v>589</v>
      </c>
    </row>
    <row r="11" spans="1:11" ht="20.100000000000001" customHeight="1" x14ac:dyDescent="0.2">
      <c r="A11" s="166"/>
      <c r="B11" s="167" t="s">
        <v>61</v>
      </c>
      <c r="C11" s="344">
        <f>[11]Sheet1!$M$20+[11]Sheet1!$M$15</f>
        <v>5263641.04</v>
      </c>
      <c r="D11" s="344">
        <f>I14</f>
        <v>19108972.399999999</v>
      </c>
      <c r="E11" s="344">
        <f>J14</f>
        <v>18396056.280000001</v>
      </c>
      <c r="F11" s="344">
        <f>C11+D11-E11</f>
        <v>5976557.1599999964</v>
      </c>
      <c r="G11" s="344">
        <f>F11-C11</f>
        <v>712916.11999999639</v>
      </c>
      <c r="I11" s="407"/>
      <c r="J11" s="407"/>
      <c r="K11" s="140" t="s">
        <v>590</v>
      </c>
    </row>
    <row r="12" spans="1:11" ht="20.100000000000001" customHeight="1" x14ac:dyDescent="0.2">
      <c r="A12" s="166"/>
      <c r="B12" s="167" t="s">
        <v>63</v>
      </c>
      <c r="C12" s="344">
        <f>[12]Sheet1!$G$38</f>
        <v>2913823.08</v>
      </c>
      <c r="D12" s="344">
        <f>I28</f>
        <v>1735841.1800000002</v>
      </c>
      <c r="E12" s="344">
        <f>J28</f>
        <v>4542055.1499999994</v>
      </c>
      <c r="F12" s="344">
        <f t="shared" ref="F12:F17" si="1">C12+D12-E12</f>
        <v>107609.11000000034</v>
      </c>
      <c r="G12" s="344">
        <f>F12-C12</f>
        <v>-2806213.9699999997</v>
      </c>
      <c r="I12" s="407"/>
      <c r="J12" s="407"/>
      <c r="K12" s="140" t="s">
        <v>591</v>
      </c>
    </row>
    <row r="13" spans="1:11" ht="20.100000000000001" customHeight="1" x14ac:dyDescent="0.2">
      <c r="A13" s="166"/>
      <c r="B13" s="167" t="s">
        <v>65</v>
      </c>
      <c r="C13" s="344"/>
      <c r="D13" s="344"/>
      <c r="E13" s="344"/>
      <c r="F13" s="344">
        <f t="shared" si="1"/>
        <v>0</v>
      </c>
      <c r="G13" s="344">
        <f t="shared" ref="G13:G17" si="2">F13-C13</f>
        <v>0</v>
      </c>
      <c r="I13" s="407"/>
      <c r="J13" s="407"/>
      <c r="K13" s="140" t="s">
        <v>592</v>
      </c>
    </row>
    <row r="14" spans="1:11" ht="20.100000000000001" customHeight="1" x14ac:dyDescent="0.25">
      <c r="A14" s="166"/>
      <c r="B14" s="167" t="s">
        <v>67</v>
      </c>
      <c r="C14" s="344"/>
      <c r="D14" s="344"/>
      <c r="E14" s="344"/>
      <c r="F14" s="344">
        <f t="shared" si="1"/>
        <v>0</v>
      </c>
      <c r="G14" s="344">
        <f t="shared" si="2"/>
        <v>0</v>
      </c>
      <c r="I14" s="519">
        <f>SUM(I2:I13)</f>
        <v>19108972.399999999</v>
      </c>
      <c r="J14" s="519">
        <f>SUM(J2:J13)</f>
        <v>18396056.280000001</v>
      </c>
      <c r="K14" s="520" t="s">
        <v>593</v>
      </c>
    </row>
    <row r="15" spans="1:11" ht="20.100000000000001" customHeight="1" x14ac:dyDescent="0.25">
      <c r="A15" s="166"/>
      <c r="B15" s="167" t="s">
        <v>69</v>
      </c>
      <c r="C15" s="344"/>
      <c r="D15" s="344"/>
      <c r="E15" s="344"/>
      <c r="F15" s="344">
        <f t="shared" si="1"/>
        <v>0</v>
      </c>
      <c r="G15" s="344">
        <f t="shared" si="2"/>
        <v>0</v>
      </c>
    </row>
    <row r="16" spans="1:11" ht="20.100000000000001" customHeight="1" x14ac:dyDescent="0.2">
      <c r="A16" s="166"/>
      <c r="B16" s="167" t="s">
        <v>71</v>
      </c>
      <c r="C16" s="344"/>
      <c r="D16" s="344"/>
      <c r="E16" s="344"/>
      <c r="F16" s="344">
        <f t="shared" si="1"/>
        <v>0</v>
      </c>
      <c r="G16" s="344">
        <f t="shared" si="2"/>
        <v>0</v>
      </c>
      <c r="H16" s="521" t="s">
        <v>63</v>
      </c>
      <c r="I16" s="407">
        <f>[12]Sheet1!$J$38</f>
        <v>151819</v>
      </c>
      <c r="J16" s="407">
        <f>[12]Sheet1!$K$38</f>
        <v>2945148.27</v>
      </c>
      <c r="K16" s="140" t="str">
        <f>K2</f>
        <v>enero</v>
      </c>
    </row>
    <row r="17" spans="1:11" ht="20.100000000000001" customHeight="1" x14ac:dyDescent="0.2">
      <c r="A17" s="166"/>
      <c r="B17" s="167" t="s">
        <v>73</v>
      </c>
      <c r="C17" s="344"/>
      <c r="D17" s="344"/>
      <c r="E17" s="344"/>
      <c r="F17" s="344">
        <f t="shared" si="1"/>
        <v>0</v>
      </c>
      <c r="G17" s="344">
        <f t="shared" si="2"/>
        <v>0</v>
      </c>
      <c r="I17" s="407">
        <f>[13]Sheet1!$J$38</f>
        <v>733921.18</v>
      </c>
      <c r="J17" s="407">
        <f>[13]Sheet1!$K$38</f>
        <v>149688.32000000001</v>
      </c>
      <c r="K17" s="140" t="str">
        <f t="shared" ref="K17:K28" si="3">K3</f>
        <v>febrero</v>
      </c>
    </row>
    <row r="18" spans="1:11" ht="20.100000000000001" customHeight="1" x14ac:dyDescent="0.2">
      <c r="A18" s="164"/>
      <c r="B18" s="165"/>
      <c r="C18" s="161"/>
      <c r="D18" s="161"/>
      <c r="E18" s="161"/>
      <c r="F18" s="161"/>
      <c r="G18" s="161"/>
      <c r="I18" s="407">
        <f>[8]Sheet1!$J$36</f>
        <v>426740</v>
      </c>
      <c r="J18" s="407">
        <f>[8]Sheet1!$K$36</f>
        <v>429757.14</v>
      </c>
      <c r="K18" s="140" t="str">
        <f t="shared" si="3"/>
        <v>marzo</v>
      </c>
    </row>
    <row r="19" spans="1:11" ht="20.100000000000001" customHeight="1" x14ac:dyDescent="0.2">
      <c r="A19" s="164"/>
      <c r="B19" s="165" t="s">
        <v>76</v>
      </c>
      <c r="C19" s="346">
        <f>SUM(C20:C28)</f>
        <v>84781074.049999997</v>
      </c>
      <c r="D19" s="346">
        <f t="shared" ref="D19:G19" si="4">SUM(D20:D28)</f>
        <v>548205.04</v>
      </c>
      <c r="E19" s="346">
        <f t="shared" si="4"/>
        <v>0</v>
      </c>
      <c r="F19" s="346">
        <f t="shared" si="4"/>
        <v>85329279.090000004</v>
      </c>
      <c r="G19" s="346">
        <f t="shared" si="4"/>
        <v>548205.03999999911</v>
      </c>
      <c r="I19" s="407">
        <f>[6]Sheet1!$J$36</f>
        <v>127543</v>
      </c>
      <c r="J19" s="407">
        <f>[6]Sheet1!$K$36</f>
        <v>717384.14</v>
      </c>
      <c r="K19" s="140" t="str">
        <f t="shared" si="3"/>
        <v>abril</v>
      </c>
    </row>
    <row r="20" spans="1:11" ht="20.100000000000001" customHeight="1" x14ac:dyDescent="0.2">
      <c r="A20" s="166"/>
      <c r="B20" s="167" t="s">
        <v>78</v>
      </c>
      <c r="C20" s="344"/>
      <c r="D20" s="344"/>
      <c r="E20" s="344"/>
      <c r="F20" s="344">
        <f t="shared" ref="F20:F28" si="5">C20+D20-E20</f>
        <v>0</v>
      </c>
      <c r="G20" s="344">
        <f t="shared" ref="G20:G28" si="6">F20-C20</f>
        <v>0</v>
      </c>
      <c r="I20" s="522">
        <f>[7]Sheet1!$J$36</f>
        <v>153004</v>
      </c>
      <c r="J20" s="522">
        <f>[7]Sheet1!$K$36</f>
        <v>148690.14000000001</v>
      </c>
      <c r="K20" s="140" t="str">
        <f t="shared" si="3"/>
        <v>mayo</v>
      </c>
    </row>
    <row r="21" spans="1:11" ht="20.100000000000001" customHeight="1" x14ac:dyDescent="0.2">
      <c r="A21" s="166"/>
      <c r="B21" s="167" t="s">
        <v>80</v>
      </c>
      <c r="C21" s="344"/>
      <c r="D21" s="344"/>
      <c r="E21" s="344"/>
      <c r="F21" s="344">
        <f t="shared" si="5"/>
        <v>0</v>
      </c>
      <c r="G21" s="344">
        <f t="shared" si="6"/>
        <v>0</v>
      </c>
      <c r="I21" s="407">
        <f>[1]Sheet1!$J$36</f>
        <v>142814</v>
      </c>
      <c r="J21" s="407">
        <f>[1]Sheet1!$K$36</f>
        <v>151387.14000000001</v>
      </c>
      <c r="K21" s="140" t="str">
        <f t="shared" si="3"/>
        <v>junio</v>
      </c>
    </row>
    <row r="22" spans="1:11" ht="20.100000000000001" customHeight="1" x14ac:dyDescent="0.2">
      <c r="A22" s="166"/>
      <c r="B22" s="167" t="s">
        <v>83</v>
      </c>
      <c r="C22" s="344">
        <f>'[14]BC dic2013 AC'!$T$217</f>
        <v>53488331.299999997</v>
      </c>
      <c r="D22" s="344"/>
      <c r="E22" s="344"/>
      <c r="F22" s="344">
        <f t="shared" si="5"/>
        <v>53488331.299999997</v>
      </c>
      <c r="G22" s="344">
        <f t="shared" si="6"/>
        <v>0</v>
      </c>
      <c r="I22" s="407"/>
      <c r="J22" s="407"/>
      <c r="K22" s="140" t="str">
        <f t="shared" si="3"/>
        <v>julio</v>
      </c>
    </row>
    <row r="23" spans="1:11" ht="20.100000000000001" customHeight="1" x14ac:dyDescent="0.2">
      <c r="A23" s="166"/>
      <c r="B23" s="167" t="s">
        <v>86</v>
      </c>
      <c r="C23" s="344">
        <f>'[14]BC dic2013 AC'!$T$233</f>
        <v>31221742.190000001</v>
      </c>
      <c r="D23" s="344">
        <f>[1]Sheet1!$J$135</f>
        <v>548205.04</v>
      </c>
      <c r="E23" s="344"/>
      <c r="F23" s="344">
        <f>C23+D23-E23</f>
        <v>31769947.23</v>
      </c>
      <c r="G23" s="344">
        <f>F23-C23</f>
        <v>548205.03999999911</v>
      </c>
      <c r="I23" s="407"/>
      <c r="J23" s="407"/>
      <c r="K23" s="140" t="str">
        <f t="shared" si="3"/>
        <v>agosto</v>
      </c>
    </row>
    <row r="24" spans="1:11" ht="20.100000000000001" customHeight="1" x14ac:dyDescent="0.2">
      <c r="A24" s="166"/>
      <c r="B24" s="167" t="s">
        <v>87</v>
      </c>
      <c r="C24" s="344"/>
      <c r="D24" s="344"/>
      <c r="E24" s="344"/>
      <c r="F24" s="344">
        <f t="shared" si="5"/>
        <v>0</v>
      </c>
      <c r="G24" s="344">
        <f t="shared" si="6"/>
        <v>0</v>
      </c>
      <c r="I24" s="407"/>
      <c r="J24" s="407"/>
      <c r="K24" s="140" t="str">
        <f t="shared" si="3"/>
        <v>septiembre</v>
      </c>
    </row>
    <row r="25" spans="1:11" ht="20.100000000000001" customHeight="1" x14ac:dyDescent="0.2">
      <c r="A25" s="166"/>
      <c r="B25" s="167" t="s">
        <v>89</v>
      </c>
      <c r="C25" s="344"/>
      <c r="D25" s="344"/>
      <c r="E25" s="344"/>
      <c r="F25" s="344">
        <f t="shared" si="5"/>
        <v>0</v>
      </c>
      <c r="G25" s="344">
        <f t="shared" si="6"/>
        <v>0</v>
      </c>
      <c r="I25" s="407"/>
      <c r="J25" s="407"/>
      <c r="K25" s="140" t="str">
        <f t="shared" si="3"/>
        <v>octubre</v>
      </c>
    </row>
    <row r="26" spans="1:11" ht="20.100000000000001" customHeight="1" x14ac:dyDescent="0.2">
      <c r="A26" s="166"/>
      <c r="B26" s="167" t="s">
        <v>90</v>
      </c>
      <c r="C26" s="344">
        <f>'[14]BC dic2013 AC'!$T$216</f>
        <v>71000.56</v>
      </c>
      <c r="D26" s="344"/>
      <c r="E26" s="344"/>
      <c r="F26" s="344">
        <f t="shared" si="5"/>
        <v>71000.56</v>
      </c>
      <c r="G26" s="344">
        <f t="shared" si="6"/>
        <v>0</v>
      </c>
      <c r="I26" s="407"/>
      <c r="J26" s="407"/>
      <c r="K26" s="140" t="str">
        <f t="shared" si="3"/>
        <v>noviembre</v>
      </c>
    </row>
    <row r="27" spans="1:11" ht="20.100000000000001" customHeight="1" x14ac:dyDescent="0.2">
      <c r="A27" s="166"/>
      <c r="B27" s="167" t="s">
        <v>92</v>
      </c>
      <c r="C27" s="344"/>
      <c r="D27" s="344"/>
      <c r="E27" s="344"/>
      <c r="F27" s="344">
        <f t="shared" si="5"/>
        <v>0</v>
      </c>
      <c r="G27" s="344">
        <f t="shared" si="6"/>
        <v>0</v>
      </c>
      <c r="I27" s="407"/>
      <c r="J27" s="407"/>
      <c r="K27" s="140" t="str">
        <f t="shared" si="3"/>
        <v>diciembre</v>
      </c>
    </row>
    <row r="28" spans="1:11" ht="20.100000000000001" customHeight="1" x14ac:dyDescent="0.25">
      <c r="A28" s="166"/>
      <c r="B28" s="167" t="s">
        <v>94</v>
      </c>
      <c r="C28" s="344"/>
      <c r="D28" s="344"/>
      <c r="E28" s="344"/>
      <c r="F28" s="344">
        <f t="shared" si="5"/>
        <v>0</v>
      </c>
      <c r="G28" s="344">
        <f t="shared" si="6"/>
        <v>0</v>
      </c>
      <c r="I28" s="519">
        <f>SUM(I16:I27)</f>
        <v>1735841.1800000002</v>
      </c>
      <c r="J28" s="519">
        <f>SUM(J16:J27)</f>
        <v>4542055.1499999994</v>
      </c>
      <c r="K28" s="520" t="str">
        <f t="shared" si="3"/>
        <v>acumulado</v>
      </c>
    </row>
    <row r="29" spans="1:11" ht="20.100000000000001" customHeight="1" thickBot="1" x14ac:dyDescent="0.3">
      <c r="A29" s="168"/>
      <c r="B29" s="169"/>
      <c r="C29" s="169"/>
      <c r="D29" s="169"/>
      <c r="E29" s="169"/>
      <c r="F29" s="169"/>
      <c r="G29" s="169"/>
    </row>
  </sheetData>
  <mergeCells count="6">
    <mergeCell ref="A6:B6"/>
    <mergeCell ref="A1:G1"/>
    <mergeCell ref="A2:G2"/>
    <mergeCell ref="A3:G3"/>
    <mergeCell ref="A4:G4"/>
    <mergeCell ref="A5:G5"/>
  </mergeCells>
  <pageMargins left="0.23622047244094491" right="0.15748031496062992" top="0.74803149606299213" bottom="0.74803149606299213" header="0.31496062992125984" footer="0.31496062992125984"/>
  <pageSetup scale="91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pane ySplit="6" topLeftCell="A7" activePane="bottomLeft" state="frozen"/>
      <selection pane="bottomLeft" activeCell="G42" sqref="A1:G42"/>
    </sheetView>
  </sheetViews>
  <sheetFormatPr baseColWidth="10" defaultRowHeight="14.25" x14ac:dyDescent="0.2"/>
  <cols>
    <col min="1" max="1" width="5.28515625" style="8" customWidth="1"/>
    <col min="2" max="2" width="33.7109375" style="8" customWidth="1"/>
    <col min="3" max="3" width="17" style="8" customWidth="1"/>
    <col min="4" max="4" width="16.85546875" style="8" customWidth="1"/>
    <col min="5" max="5" width="11.42578125" style="8" hidden="1" customWidth="1"/>
    <col min="6" max="6" width="17" style="8" customWidth="1"/>
    <col min="7" max="7" width="17.140625" style="8" customWidth="1"/>
    <col min="8" max="16384" width="11.42578125" style="8"/>
  </cols>
  <sheetData>
    <row r="1" spans="1:7" s="156" customFormat="1" ht="15" x14ac:dyDescent="0.25">
      <c r="A1" s="438" t="s">
        <v>245</v>
      </c>
      <c r="B1" s="438"/>
      <c r="C1" s="438"/>
      <c r="D1" s="438"/>
      <c r="E1" s="438"/>
      <c r="F1" s="438"/>
      <c r="G1" s="438"/>
    </row>
    <row r="2" spans="1:7" s="157" customFormat="1" ht="15.75" x14ac:dyDescent="0.25">
      <c r="A2" s="438" t="s">
        <v>381</v>
      </c>
      <c r="B2" s="438"/>
      <c r="C2" s="438"/>
      <c r="D2" s="438"/>
      <c r="E2" s="438"/>
      <c r="F2" s="438"/>
      <c r="G2" s="438"/>
    </row>
    <row r="3" spans="1:7" s="157" customFormat="1" ht="15.75" x14ac:dyDescent="0.25">
      <c r="A3" s="438" t="s">
        <v>156</v>
      </c>
      <c r="B3" s="438"/>
      <c r="C3" s="438"/>
      <c r="D3" s="438"/>
      <c r="E3" s="438"/>
      <c r="F3" s="438"/>
      <c r="G3" s="438"/>
    </row>
    <row r="4" spans="1:7" s="157" customFormat="1" ht="15.75" x14ac:dyDescent="0.25">
      <c r="A4" s="438" t="s">
        <v>568</v>
      </c>
      <c r="B4" s="438"/>
      <c r="C4" s="438"/>
      <c r="D4" s="438"/>
      <c r="E4" s="438"/>
      <c r="F4" s="438"/>
      <c r="G4" s="438"/>
    </row>
    <row r="5" spans="1:7" s="158" customFormat="1" ht="15.75" thickBot="1" x14ac:dyDescent="0.3">
      <c r="A5" s="439" t="s">
        <v>142</v>
      </c>
      <c r="B5" s="439"/>
      <c r="C5" s="439"/>
      <c r="D5" s="439"/>
      <c r="E5" s="439"/>
      <c r="F5" s="439"/>
      <c r="G5" s="439"/>
    </row>
    <row r="6" spans="1:7" s="172" customFormat="1" ht="37.5" customHeight="1" thickBot="1" x14ac:dyDescent="0.25">
      <c r="A6" s="456" t="s">
        <v>157</v>
      </c>
      <c r="B6" s="457"/>
      <c r="C6" s="170" t="s">
        <v>158</v>
      </c>
      <c r="D6" s="456" t="s">
        <v>159</v>
      </c>
      <c r="E6" s="458"/>
      <c r="F6" s="171" t="s">
        <v>160</v>
      </c>
      <c r="G6" s="170" t="s">
        <v>161</v>
      </c>
    </row>
    <row r="7" spans="1:7" ht="37.5" customHeight="1" x14ac:dyDescent="0.2">
      <c r="A7" s="450" t="s">
        <v>302</v>
      </c>
      <c r="B7" s="451"/>
      <c r="C7" s="51"/>
      <c r="D7" s="51"/>
      <c r="E7" s="51"/>
      <c r="F7" s="52"/>
      <c r="G7" s="51"/>
    </row>
    <row r="8" spans="1:7" x14ac:dyDescent="0.2">
      <c r="A8" s="452" t="s">
        <v>162</v>
      </c>
      <c r="B8" s="453"/>
      <c r="C8" s="4"/>
      <c r="D8" s="4"/>
      <c r="E8" s="452"/>
      <c r="F8" s="453"/>
      <c r="G8" s="4"/>
    </row>
    <row r="9" spans="1:7" ht="15" x14ac:dyDescent="0.2">
      <c r="A9" s="454" t="s">
        <v>163</v>
      </c>
      <c r="B9" s="455"/>
      <c r="C9" s="16"/>
      <c r="D9" s="16"/>
      <c r="E9" s="442"/>
      <c r="F9" s="443"/>
      <c r="G9" s="16"/>
    </row>
    <row r="10" spans="1:7" ht="15" x14ac:dyDescent="0.2">
      <c r="A10" s="442" t="s">
        <v>164</v>
      </c>
      <c r="B10" s="443"/>
      <c r="C10" s="16"/>
      <c r="D10" s="16"/>
      <c r="E10" s="442"/>
      <c r="F10" s="443"/>
      <c r="G10" s="16"/>
    </row>
    <row r="11" spans="1:7" ht="15" x14ac:dyDescent="0.2">
      <c r="A11" s="6"/>
      <c r="B11" s="19" t="s">
        <v>165</v>
      </c>
      <c r="C11" s="16"/>
      <c r="D11" s="16"/>
      <c r="E11" s="442"/>
      <c r="F11" s="443"/>
      <c r="G11" s="16"/>
    </row>
    <row r="12" spans="1:7" x14ac:dyDescent="0.2">
      <c r="A12" s="5"/>
      <c r="B12" s="19" t="s">
        <v>166</v>
      </c>
      <c r="C12" s="2"/>
      <c r="D12" s="2"/>
      <c r="E12" s="440"/>
      <c r="F12" s="441"/>
      <c r="G12" s="2"/>
    </row>
    <row r="13" spans="1:7" x14ac:dyDescent="0.2">
      <c r="A13" s="5"/>
      <c r="B13" s="19" t="s">
        <v>167</v>
      </c>
      <c r="C13" s="2"/>
      <c r="D13" s="2"/>
      <c r="E13" s="440"/>
      <c r="F13" s="441"/>
      <c r="G13" s="2"/>
    </row>
    <row r="14" spans="1:7" x14ac:dyDescent="0.2">
      <c r="A14" s="5"/>
      <c r="B14" s="2"/>
      <c r="C14" s="2"/>
      <c r="D14" s="2"/>
      <c r="E14" s="440"/>
      <c r="F14" s="441"/>
      <c r="G14" s="2"/>
    </row>
    <row r="15" spans="1:7" ht="15" x14ac:dyDescent="0.2">
      <c r="A15" s="442" t="s">
        <v>168</v>
      </c>
      <c r="B15" s="443"/>
      <c r="C15" s="16"/>
      <c r="D15" s="16"/>
      <c r="E15" s="442"/>
      <c r="F15" s="443"/>
      <c r="G15" s="16"/>
    </row>
    <row r="16" spans="1:7" x14ac:dyDescent="0.2">
      <c r="A16" s="5"/>
      <c r="B16" s="19" t="s">
        <v>169</v>
      </c>
      <c r="C16" s="2"/>
      <c r="D16" s="2"/>
      <c r="E16" s="440"/>
      <c r="F16" s="441"/>
      <c r="G16" s="2"/>
    </row>
    <row r="17" spans="1:7" ht="15" x14ac:dyDescent="0.2">
      <c r="A17" s="6"/>
      <c r="B17" s="19" t="s">
        <v>170</v>
      </c>
      <c r="C17" s="2"/>
      <c r="D17" s="2"/>
      <c r="E17" s="440"/>
      <c r="F17" s="441"/>
      <c r="G17" s="2"/>
    </row>
    <row r="18" spans="1:7" ht="15" x14ac:dyDescent="0.2">
      <c r="A18" s="6"/>
      <c r="B18" s="19" t="s">
        <v>166</v>
      </c>
      <c r="C18" s="16"/>
      <c r="D18" s="16"/>
      <c r="E18" s="442"/>
      <c r="F18" s="443"/>
      <c r="G18" s="16"/>
    </row>
    <row r="19" spans="1:7" x14ac:dyDescent="0.2">
      <c r="A19" s="5"/>
      <c r="B19" s="19" t="s">
        <v>167</v>
      </c>
      <c r="C19" s="2"/>
      <c r="D19" s="2"/>
      <c r="E19" s="440"/>
      <c r="F19" s="441"/>
      <c r="G19" s="2"/>
    </row>
    <row r="20" spans="1:7" ht="15" x14ac:dyDescent="0.2">
      <c r="A20" s="6"/>
      <c r="B20" s="16"/>
      <c r="C20" s="16"/>
      <c r="D20" s="16"/>
      <c r="E20" s="442"/>
      <c r="F20" s="443"/>
      <c r="G20" s="16"/>
    </row>
    <row r="21" spans="1:7" x14ac:dyDescent="0.2">
      <c r="A21" s="7"/>
      <c r="B21" s="3" t="s">
        <v>171</v>
      </c>
      <c r="C21" s="3"/>
      <c r="D21" s="3"/>
      <c r="E21" s="444"/>
      <c r="F21" s="445"/>
      <c r="G21" s="3"/>
    </row>
    <row r="22" spans="1:7" x14ac:dyDescent="0.2">
      <c r="A22" s="61"/>
      <c r="B22" s="62"/>
      <c r="C22" s="62"/>
      <c r="D22" s="62"/>
      <c r="E22" s="61"/>
      <c r="F22" s="62"/>
      <c r="G22" s="62"/>
    </row>
    <row r="23" spans="1:7" ht="15" x14ac:dyDescent="0.2">
      <c r="A23" s="454" t="s">
        <v>172</v>
      </c>
      <c r="B23" s="455"/>
      <c r="C23" s="16"/>
      <c r="D23" s="16"/>
      <c r="E23" s="442"/>
      <c r="F23" s="443"/>
      <c r="G23" s="16"/>
    </row>
    <row r="24" spans="1:7" ht="15" x14ac:dyDescent="0.2">
      <c r="A24" s="442" t="s">
        <v>164</v>
      </c>
      <c r="B24" s="443"/>
      <c r="C24" s="16"/>
      <c r="D24" s="16"/>
      <c r="E24" s="442"/>
      <c r="F24" s="443"/>
      <c r="G24" s="16"/>
    </row>
    <row r="25" spans="1:7" ht="15" x14ac:dyDescent="0.2">
      <c r="A25" s="6"/>
      <c r="B25" s="19" t="s">
        <v>165</v>
      </c>
      <c r="C25" s="16"/>
      <c r="D25" s="16"/>
      <c r="E25" s="442"/>
      <c r="F25" s="443"/>
      <c r="G25" s="16"/>
    </row>
    <row r="26" spans="1:7" x14ac:dyDescent="0.2">
      <c r="A26" s="5"/>
      <c r="B26" s="19" t="s">
        <v>166</v>
      </c>
      <c r="C26" s="2"/>
      <c r="D26" s="2"/>
      <c r="E26" s="440"/>
      <c r="F26" s="441"/>
      <c r="G26" s="2"/>
    </row>
    <row r="27" spans="1:7" x14ac:dyDescent="0.2">
      <c r="A27" s="5"/>
      <c r="B27" s="19" t="s">
        <v>167</v>
      </c>
      <c r="C27" s="2"/>
      <c r="D27" s="2"/>
      <c r="E27" s="440"/>
      <c r="F27" s="441"/>
      <c r="G27" s="2"/>
    </row>
    <row r="28" spans="1:7" x14ac:dyDescent="0.2">
      <c r="A28" s="5"/>
      <c r="B28" s="2"/>
      <c r="C28" s="2"/>
      <c r="D28" s="2"/>
      <c r="E28" s="440"/>
      <c r="F28" s="441"/>
      <c r="G28" s="2"/>
    </row>
    <row r="29" spans="1:7" ht="15" x14ac:dyDescent="0.2">
      <c r="A29" s="442" t="s">
        <v>168</v>
      </c>
      <c r="B29" s="443"/>
      <c r="C29" s="16"/>
      <c r="D29" s="16"/>
      <c r="E29" s="442"/>
      <c r="F29" s="443"/>
      <c r="G29" s="16"/>
    </row>
    <row r="30" spans="1:7" x14ac:dyDescent="0.2">
      <c r="A30" s="5"/>
      <c r="B30" s="19" t="s">
        <v>169</v>
      </c>
      <c r="C30" s="2"/>
      <c r="D30" s="2"/>
      <c r="E30" s="440"/>
      <c r="F30" s="441"/>
      <c r="G30" s="2"/>
    </row>
    <row r="31" spans="1:7" ht="15" x14ac:dyDescent="0.2">
      <c r="A31" s="6"/>
      <c r="B31" s="19" t="s">
        <v>170</v>
      </c>
      <c r="C31" s="2"/>
      <c r="D31" s="2"/>
      <c r="E31" s="440"/>
      <c r="F31" s="441"/>
      <c r="G31" s="2"/>
    </row>
    <row r="32" spans="1:7" ht="15" x14ac:dyDescent="0.2">
      <c r="A32" s="6"/>
      <c r="B32" s="19" t="s">
        <v>166</v>
      </c>
      <c r="C32" s="16"/>
      <c r="D32" s="16"/>
      <c r="E32" s="442"/>
      <c r="F32" s="443"/>
      <c r="G32" s="16"/>
    </row>
    <row r="33" spans="1:7" x14ac:dyDescent="0.2">
      <c r="A33" s="5"/>
      <c r="B33" s="19" t="s">
        <v>167</v>
      </c>
      <c r="C33" s="2"/>
      <c r="D33" s="2"/>
      <c r="E33" s="440"/>
      <c r="F33" s="441"/>
      <c r="G33" s="2"/>
    </row>
    <row r="34" spans="1:7" ht="15" x14ac:dyDescent="0.2">
      <c r="A34" s="6"/>
      <c r="B34" s="16"/>
      <c r="C34" s="16"/>
      <c r="D34" s="16"/>
      <c r="E34" s="442"/>
      <c r="F34" s="443"/>
      <c r="G34" s="16"/>
    </row>
    <row r="35" spans="1:7" x14ac:dyDescent="0.2">
      <c r="A35" s="7"/>
      <c r="B35" s="3" t="s">
        <v>173</v>
      </c>
      <c r="C35" s="3"/>
      <c r="D35" s="3"/>
      <c r="E35" s="444"/>
      <c r="F35" s="445"/>
      <c r="G35" s="3"/>
    </row>
    <row r="36" spans="1:7" x14ac:dyDescent="0.2">
      <c r="A36" s="5"/>
      <c r="B36" s="2"/>
      <c r="C36" s="2"/>
      <c r="D36" s="2"/>
      <c r="E36" s="440"/>
      <c r="F36" s="441"/>
      <c r="G36" s="2"/>
    </row>
    <row r="37" spans="1:7" x14ac:dyDescent="0.2">
      <c r="A37" s="5"/>
      <c r="B37" s="19" t="s">
        <v>174</v>
      </c>
      <c r="C37" s="2"/>
      <c r="D37" s="2" t="s">
        <v>389</v>
      </c>
      <c r="E37" s="448">
        <f>[11]Sheet1!$P$250</f>
        <v>5248548.26</v>
      </c>
      <c r="F37" s="449"/>
      <c r="G37" s="347">
        <f>[1]Sheet1!$P$254</f>
        <v>4751104.82</v>
      </c>
    </row>
    <row r="38" spans="1:7" x14ac:dyDescent="0.2">
      <c r="A38" s="5"/>
      <c r="B38" s="2"/>
      <c r="C38" s="2"/>
      <c r="D38" s="2"/>
      <c r="E38" s="440"/>
      <c r="F38" s="441"/>
      <c r="G38" s="2"/>
    </row>
    <row r="39" spans="1:7" ht="15" x14ac:dyDescent="0.2">
      <c r="A39" s="6"/>
      <c r="B39" s="16" t="s">
        <v>175</v>
      </c>
      <c r="C39" s="16"/>
      <c r="D39" s="16"/>
      <c r="E39" s="442"/>
      <c r="F39" s="443"/>
      <c r="G39" s="16"/>
    </row>
    <row r="40" spans="1:7" ht="15.75" thickBot="1" x14ac:dyDescent="0.25">
      <c r="A40" s="6"/>
      <c r="B40" s="17"/>
      <c r="C40" s="17"/>
      <c r="D40" s="17"/>
      <c r="E40" s="6"/>
      <c r="F40" s="17"/>
      <c r="G40" s="17"/>
    </row>
    <row r="41" spans="1:7" ht="37.5" customHeight="1" x14ac:dyDescent="0.2">
      <c r="A41" s="450" t="s">
        <v>304</v>
      </c>
      <c r="B41" s="451"/>
      <c r="C41" s="51"/>
      <c r="D41" s="51"/>
      <c r="E41" s="51"/>
      <c r="F41" s="348">
        <f>SUM(E37)</f>
        <v>5248548.26</v>
      </c>
      <c r="G41" s="349">
        <f>SUM(G37)</f>
        <v>4751104.82</v>
      </c>
    </row>
    <row r="42" spans="1:7" ht="5.25" customHeight="1" thickBot="1" x14ac:dyDescent="0.25">
      <c r="A42" s="446"/>
      <c r="B42" s="447"/>
      <c r="C42" s="18"/>
      <c r="D42" s="18"/>
      <c r="E42" s="446"/>
      <c r="F42" s="447"/>
      <c r="G42" s="18"/>
    </row>
  </sheetData>
  <mergeCells count="49"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  <mergeCell ref="E16:F16"/>
    <mergeCell ref="E17:F17"/>
    <mergeCell ref="E18:F18"/>
    <mergeCell ref="A23:B23"/>
    <mergeCell ref="E23:F23"/>
    <mergeCell ref="A6:B6"/>
    <mergeCell ref="D6:E6"/>
    <mergeCell ref="A1:G1"/>
    <mergeCell ref="A2:G2"/>
    <mergeCell ref="A3:G3"/>
    <mergeCell ref="A4:G4"/>
    <mergeCell ref="A5:G5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A42:B42"/>
    <mergeCell ref="E42:F42"/>
    <mergeCell ref="E37:F37"/>
    <mergeCell ref="E38:F38"/>
    <mergeCell ref="E39:F39"/>
    <mergeCell ref="A41:B41"/>
    <mergeCell ref="E30:F30"/>
    <mergeCell ref="E34:F34"/>
    <mergeCell ref="E35:F35"/>
    <mergeCell ref="E36:F36"/>
    <mergeCell ref="E31:F31"/>
    <mergeCell ref="E32:F32"/>
    <mergeCell ref="E33:F33"/>
  </mergeCells>
  <pageMargins left="0.23622047244094491" right="0.27559055118110237" top="0.74803149606299213" bottom="0.74803149606299213" header="0.31496062992125984" footer="0.31496062992125984"/>
  <pageSetup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15</vt:i4>
      </vt:variant>
    </vt:vector>
  </HeadingPairs>
  <TitlesOfParts>
    <vt:vector size="32" baseType="lpstr">
      <vt:lpstr>ETCA-I-01 (situación finnciera)</vt:lpstr>
      <vt:lpstr>ETCA-I-01-A (Resultados)</vt:lpstr>
      <vt:lpstr>ETCA-I-01-B (flujo de efectivo)</vt:lpstr>
      <vt:lpstr>ETCA-I-02EVHP</vt:lpstr>
      <vt:lpstr>ETCA -I-03 (cambiois)</vt:lpstr>
      <vt:lpstr>ETCA-I-04 (ISPC)</vt:lpstr>
      <vt:lpstr>ETCA-I-05 Notas</vt:lpstr>
      <vt:lpstr>ETCA-I-06 (EAA)</vt:lpstr>
      <vt:lpstr>ETCA-I-07 (EADyOP)</vt:lpstr>
      <vt:lpstr>ETCA-II-08 (EAI)</vt:lpstr>
      <vt:lpstr>ETCA-II-09 (EAEPEC)</vt:lpstr>
      <vt:lpstr>ETCA-II-09-A (EAEPEP)</vt:lpstr>
      <vt:lpstr>ETCA-II-10 (deuda Pública)</vt:lpstr>
      <vt:lpstr>ETCA-II-11 (intereses, comisio</vt:lpstr>
      <vt:lpstr>ETCA-III-13</vt:lpstr>
      <vt:lpstr>Lista LARDIN</vt:lpstr>
      <vt:lpstr>Lista CORUJO</vt:lpstr>
      <vt:lpstr>'ETCA -I-03 (cambiois)'!Área_de_impresión</vt:lpstr>
      <vt:lpstr>'ETCA-I-01 (situación finnciera)'!Área_de_impresión</vt:lpstr>
      <vt:lpstr>'ETCA-I-01-A (Resultados)'!Área_de_impresión</vt:lpstr>
      <vt:lpstr>'ETCA-I-02EVHP'!Área_de_impresión</vt:lpstr>
      <vt:lpstr>'ETCA-I-06 (EAA)'!Área_de_impresión</vt:lpstr>
      <vt:lpstr>'ETCA-I-07 (EADyOP)'!Área_de_impresión</vt:lpstr>
      <vt:lpstr>'ETCA-II-09 (EAEPEC)'!Área_de_impresión</vt:lpstr>
      <vt:lpstr>'ETCA-II-09-A (EAEPEP)'!Área_de_impresión</vt:lpstr>
      <vt:lpstr>'ETCA-II-10 (deuda Pública)'!Área_de_impresión</vt:lpstr>
      <vt:lpstr>'ETCA-II-11 (intereses, comisio'!Área_de_impresión</vt:lpstr>
      <vt:lpstr>'ETCA-III-13'!Área_de_impresión</vt:lpstr>
      <vt:lpstr>'ETCA -I-03 (cambiois)'!Títulos_a_imprimir</vt:lpstr>
      <vt:lpstr>'ETCA-I-01-A (Resultados)'!Títulos_a_imprimir</vt:lpstr>
      <vt:lpstr>'ETCA-II-09-A (EAEPEP)'!Títulos_a_imprimir</vt:lpstr>
      <vt:lpstr>'ETCA-III-13'!Títulos_a_imprimir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Montaño Figueroa</dc:creator>
  <cp:lastModifiedBy>Ramón Octavio Montaño Figueroa</cp:lastModifiedBy>
  <cp:lastPrinted>2014-07-04T21:18:50Z</cp:lastPrinted>
  <dcterms:created xsi:type="dcterms:W3CDTF">2014-03-28T01:13:38Z</dcterms:created>
  <dcterms:modified xsi:type="dcterms:W3CDTF">2014-07-04T22:11:47Z</dcterms:modified>
</cp:coreProperties>
</file>