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7.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0" yWindow="0" windowWidth="21720" windowHeight="12435" tabRatio="898" firstSheet="14" activeTab="25"/>
  </bookViews>
  <sheets>
    <sheet name="Lista  FORMATOS  " sheetId="68" r:id="rId1"/>
    <sheet name="ETCA-I-01" sheetId="2" r:id="rId2"/>
    <sheet name="ETCA-I-02" sheetId="51" r:id="rId3"/>
    <sheet name="ETCA-I-03" sheetId="1" r:id="rId4"/>
    <sheet name="ETCA-I-04" sheetId="3" r:id="rId5"/>
    <sheet name="ETCA-I-05" sheetId="74" r:id="rId6"/>
    <sheet name="ETCA-I-06" sheetId="23" r:id="rId7"/>
    <sheet name="ETCA-I-07" sheetId="6" r:id="rId8"/>
    <sheet name="ETCA-I-08" sheetId="75" r:id="rId9"/>
    <sheet name="ETCA-I-09" sheetId="52" r:id="rId10"/>
    <sheet name="ETCA-I-10" sheetId="53" r:id="rId11"/>
    <sheet name="ETCA-I-11" sheetId="26" r:id="rId12"/>
    <sheet name="ETCA-I-12 (NOTAS)" sheetId="13" r:id="rId13"/>
    <sheet name="ETCA-II-01" sheetId="67" r:id="rId14"/>
    <sheet name="ETCA-II-02" sheetId="55" r:id="rId15"/>
    <sheet name="ETCA-II-03" sheetId="21" r:id="rId16"/>
    <sheet name="ETCA II-04" sheetId="70" r:id="rId17"/>
    <sheet name="ETCA-II-05" sheetId="71" r:id="rId18"/>
    <sheet name="ETCA-II-06" sheetId="37" r:id="rId19"/>
    <sheet name="ETCA-II-07" sheetId="38" r:id="rId20"/>
    <sheet name="ETCA-II-08" sheetId="61" r:id="rId21"/>
    <sheet name="ETCA-II-09" sheetId="44" r:id="rId22"/>
    <sheet name="ETCA-II-10" sheetId="45" r:id="rId23"/>
    <sheet name="ETCA-II-11" sheetId="72" r:id="rId24"/>
    <sheet name="ETCA-II-12" sheetId="62" r:id="rId25"/>
    <sheet name="ETCA-II-13" sheetId="50" r:id="rId26"/>
    <sheet name="ETCA-II-14" sheetId="65" r:id="rId27"/>
    <sheet name="ETCA-II-15" sheetId="24" r:id="rId28"/>
    <sheet name="ETCA-II-16" sheetId="16" r:id="rId29"/>
    <sheet name="ETCA-II-17" sheetId="19" r:id="rId30"/>
    <sheet name="ETCA-III-01" sheetId="42" r:id="rId31"/>
    <sheet name="ETCA-III-03" sheetId="32" r:id="rId32"/>
    <sheet name="ETCA III-04 " sheetId="79" r:id="rId33"/>
    <sheet name="ETCA-IV-01" sheetId="20" r:id="rId34"/>
    <sheet name="ETCA-IV-02" sheetId="54" r:id="rId35"/>
    <sheet name="ETCA-IV-05" sheetId="33" r:id="rId36"/>
    <sheet name="ANEXO" sheetId="64" r:id="rId37"/>
  </sheets>
  <externalReferences>
    <externalReference r:id="rId38"/>
    <externalReference r:id="rId39"/>
  </externalReferences>
  <definedNames>
    <definedName name="_xlnm._FilterDatabase" localSheetId="1" hidden="1">'ETCA-I-01'!#REF!</definedName>
    <definedName name="_ftn1" localSheetId="3">'ETCA-I-03'!#REF!</definedName>
    <definedName name="_ftnref1" localSheetId="3">'ETCA-I-03'!#REF!</definedName>
    <definedName name="_Toc478717399" localSheetId="0">'Lista  FORMATOS  '!#REF!</definedName>
    <definedName name="_xlnm.Print_Area" localSheetId="32">'ETCA III-04 '!$A$1:$K$37</definedName>
    <definedName name="_xlnm.Print_Area" localSheetId="1">'ETCA-I-01'!$A$1:$G$59</definedName>
    <definedName name="_xlnm.Print_Area" localSheetId="2">'ETCA-I-02'!$A$1:$G$80</definedName>
    <definedName name="_xlnm.Print_Area" localSheetId="3">'ETCA-I-03'!$A$1:$D$72</definedName>
    <definedName name="_xlnm.Print_Area" localSheetId="4">'ETCA-I-04'!$A$1:$F$45</definedName>
    <definedName name="_xlnm.Print_Area" localSheetId="6">'ETCA-I-06'!$A$1:$D$72</definedName>
    <definedName name="_xlnm.Print_Area" localSheetId="7">'ETCA-I-07'!$A$1:$G$34</definedName>
    <definedName name="_xlnm.Print_Area" localSheetId="8">'ETCA-I-08'!$A$1:$F$48</definedName>
    <definedName name="_xlnm.Print_Area" localSheetId="9">'ETCA-I-09'!$A$1:$I$43</definedName>
    <definedName name="_xlnm.Print_Area" localSheetId="11">'ETCA-I-11'!$A$1:$I$51</definedName>
    <definedName name="_xlnm.Print_Area" localSheetId="12">'ETCA-I-12 (NOTAS)'!$A$1:$J$50</definedName>
    <definedName name="_xlnm.Print_Area" localSheetId="13">'ETCA-II-01'!$A$1:$H$55</definedName>
    <definedName name="_xlnm.Print_Area" localSheetId="14">'ETCA-II-02'!$A$1:$I$87</definedName>
    <definedName name="_xlnm.Print_Area" localSheetId="15">'ETCA-II-03'!$A$1:$D$35</definedName>
    <definedName name="_xlnm.Print_Area" localSheetId="18">'ETCA-II-06'!$A$1:$G$26</definedName>
    <definedName name="_xlnm.Print_Area" localSheetId="19">'ETCA-II-07'!$A$1:$G$37</definedName>
    <definedName name="_xlnm.Print_Area" localSheetId="20">'ETCA-II-08'!$A$1:$G$42</definedName>
    <definedName name="_xlnm.Print_Area" localSheetId="21">'ETCA-II-09'!$A$1:$G$21</definedName>
    <definedName name="_xlnm.Print_Area" localSheetId="22">'ETCA-II-10'!$A$1:$G$27</definedName>
    <definedName name="_xlnm.Print_Area" localSheetId="24">'ETCA-II-12'!$A$1:$H$86</definedName>
    <definedName name="_xlnm.Print_Area" localSheetId="25">'ETCA-II-13'!$A$1:$I$41</definedName>
    <definedName name="_xlnm.Print_Area" localSheetId="26">'ETCA-II-14'!$A$1:$G$39</definedName>
    <definedName name="_xlnm.Print_Area" localSheetId="27">'ETCA-II-15'!$A$1:$C$43</definedName>
    <definedName name="_xlnm.Print_Area" localSheetId="28">'ETCA-II-16'!$A$1:$E$37</definedName>
    <definedName name="_xlnm.Print_Area" localSheetId="29">'ETCA-II-17'!$A$1:$D$38</definedName>
    <definedName name="_xlnm.Print_Area" localSheetId="30">'ETCA-III-01'!$A$1:$G$45</definedName>
    <definedName name="_xlnm.Print_Area" localSheetId="31">'ETCA-III-03'!$A$1:$E$44</definedName>
    <definedName name="_xlnm.Print_Area" localSheetId="33">'ETCA-IV-01'!$A$1:$E$32</definedName>
    <definedName name="_xlnm.Print_Area" localSheetId="34">'ETCA-IV-02'!$A$1:$E$93</definedName>
    <definedName name="_xlnm.Print_Area" localSheetId="35">'ETCA-IV-05'!$A$1:$E$37</definedName>
    <definedName name="_xlnm.Database" localSheetId="36">#REF!</definedName>
    <definedName name="_xlnm.Database" localSheetId="11">#REF!</definedName>
    <definedName name="_xlnm.Database" localSheetId="13">#REF!</definedName>
    <definedName name="_xlnm.Database" localSheetId="15">#REF!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3">#REF!</definedName>
    <definedName name="_xlnm.Database" localSheetId="35">#REF!</definedName>
    <definedName name="_xlnm.Database">#REF!</definedName>
    <definedName name="ppto">[1]Hoja2!$B$3:$M$95</definedName>
    <definedName name="qw" localSheetId="36">#REF!</definedName>
    <definedName name="qw" localSheetId="25">#REF!</definedName>
    <definedName name="qw">#REF!</definedName>
    <definedName name="_xlnm.Print_Titles" localSheetId="2">'ETCA-I-02'!$6:$6</definedName>
    <definedName name="_xlnm.Print_Titles" localSheetId="3">'ETCA-I-03'!$2:$5</definedName>
    <definedName name="_xlnm.Print_Titles" localSheetId="13">'ETCA-II-01'!$1:$5</definedName>
    <definedName name="_xlnm.Print_Titles" localSheetId="14">'ETCA-II-02'!$6:$8</definedName>
    <definedName name="_xlnm.Print_Titles" localSheetId="24">'ETCA-II-12'!$7:$8</definedName>
    <definedName name="_xlnm.Print_Titles" localSheetId="25">'ETCA-II-13'!$7:$8</definedName>
    <definedName name="_xlnm.Print_Titles" localSheetId="34">'ETCA-IV-02'!$1:$5</definedName>
  </definedNames>
  <calcPr calcId="145621"/>
</workbook>
</file>

<file path=xl/calcChain.xml><?xml version="1.0" encoding="utf-8"?>
<calcChain xmlns="http://schemas.openxmlformats.org/spreadsheetml/2006/main">
  <c r="A12" i="32" l="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82" i="32" s="1"/>
  <c r="A83" i="32" s="1"/>
  <c r="A84" i="32" s="1"/>
  <c r="A85" i="32" s="1"/>
  <c r="A86" i="32" s="1"/>
  <c r="A87" i="32" s="1"/>
  <c r="A88" i="32" s="1"/>
  <c r="A89" i="32" s="1"/>
  <c r="A90" i="32" s="1"/>
  <c r="A91" i="32" s="1"/>
  <c r="A92" i="32" s="1"/>
  <c r="A93" i="32" s="1"/>
  <c r="A94" i="32" s="1"/>
  <c r="A95" i="32" s="1"/>
  <c r="A96" i="32" s="1"/>
  <c r="A97" i="32" s="1"/>
  <c r="A98" i="32" s="1"/>
  <c r="A99" i="32" s="1"/>
  <c r="A100" i="32" s="1"/>
  <c r="A101" i="32" s="1"/>
  <c r="A102" i="32" s="1"/>
  <c r="A103" i="32" s="1"/>
  <c r="A104" i="32" s="1"/>
  <c r="A105" i="32" s="1"/>
  <c r="A106" i="32" s="1"/>
  <c r="A107" i="32" s="1"/>
  <c r="A108" i="32" s="1"/>
  <c r="A109" i="32" s="1"/>
  <c r="A110" i="32" s="1"/>
  <c r="A111" i="32" s="1"/>
  <c r="A112" i="32" s="1"/>
  <c r="A113" i="32" s="1"/>
  <c r="A114" i="32" s="1"/>
  <c r="A115" i="32" s="1"/>
  <c r="A116" i="32" s="1"/>
  <c r="A117" i="32" s="1"/>
  <c r="A118" i="32" s="1"/>
  <c r="A119" i="32" s="1"/>
  <c r="A120" i="32" s="1"/>
  <c r="A121" i="32" s="1"/>
  <c r="A122" i="32" s="1"/>
  <c r="A123" i="32" s="1"/>
  <c r="A124" i="32" s="1"/>
  <c r="A125" i="32" s="1"/>
  <c r="A126" i="32" s="1"/>
  <c r="A127" i="32" s="1"/>
  <c r="A128" i="32" s="1"/>
  <c r="A129" i="32" s="1"/>
  <c r="A130" i="32" s="1"/>
  <c r="A131" i="32" s="1"/>
  <c r="A132" i="32" s="1"/>
  <c r="A133" i="32" s="1"/>
  <c r="A134" i="32" s="1"/>
  <c r="A135" i="32" s="1"/>
  <c r="A136" i="32" s="1"/>
  <c r="A137" i="32" s="1"/>
  <c r="A138" i="32" s="1"/>
  <c r="A139" i="32" s="1"/>
  <c r="A140" i="32" s="1"/>
  <c r="A141" i="32" s="1"/>
  <c r="A142" i="32" s="1"/>
  <c r="A143" i="32" s="1"/>
  <c r="A144" i="32" s="1"/>
  <c r="A145" i="32" s="1"/>
  <c r="A146" i="32" s="1"/>
  <c r="A147" i="32" s="1"/>
  <c r="A148" i="32" s="1"/>
  <c r="A149" i="32" s="1"/>
  <c r="A150" i="32" s="1"/>
  <c r="A151" i="32" s="1"/>
  <c r="A152" i="32" s="1"/>
  <c r="A153" i="32" s="1"/>
  <c r="A154" i="32" s="1"/>
  <c r="A155" i="32" s="1"/>
  <c r="A156" i="32" s="1"/>
  <c r="A157" i="32" s="1"/>
  <c r="A158" i="32" s="1"/>
  <c r="A159" i="32" s="1"/>
  <c r="A160" i="32" s="1"/>
  <c r="A161" i="32" s="1"/>
  <c r="A162" i="32" s="1"/>
  <c r="A163" i="32" s="1"/>
  <c r="A164" i="32" s="1"/>
  <c r="A165" i="32" s="1"/>
  <c r="A166" i="32" s="1"/>
  <c r="A167" i="32" s="1"/>
  <c r="A168" i="32" s="1"/>
  <c r="A169" i="32" s="1"/>
  <c r="A170" i="32" s="1"/>
  <c r="A171" i="32" s="1"/>
  <c r="A172" i="32" s="1"/>
  <c r="A173" i="32" s="1"/>
  <c r="A174" i="32" s="1"/>
  <c r="A175" i="32" s="1"/>
  <c r="A176" i="32" s="1"/>
  <c r="A177" i="32" s="1"/>
  <c r="A178" i="32" s="1"/>
  <c r="A179" i="32" s="1"/>
  <c r="A180" i="32" s="1"/>
  <c r="A181" i="32" s="1"/>
  <c r="A182" i="32" s="1"/>
  <c r="A183" i="32" s="1"/>
  <c r="A184" i="32" s="1"/>
  <c r="A185" i="32" s="1"/>
  <c r="A186" i="32" s="1"/>
  <c r="A187" i="32" s="1"/>
  <c r="A188" i="32" s="1"/>
  <c r="A189" i="32" s="1"/>
  <c r="A190" i="32" s="1"/>
  <c r="A191" i="32" s="1"/>
  <c r="A192" i="32" s="1"/>
  <c r="A193" i="32" s="1"/>
  <c r="A194" i="32" s="1"/>
  <c r="A195" i="32" s="1"/>
  <c r="A196" i="32" s="1"/>
  <c r="A197" i="32" s="1"/>
  <c r="A198" i="32" s="1"/>
  <c r="A199" i="32" s="1"/>
  <c r="A200" i="32" s="1"/>
  <c r="A201" i="32" s="1"/>
  <c r="A202" i="32" s="1"/>
  <c r="A203" i="32" s="1"/>
  <c r="A204" i="32" s="1"/>
  <c r="A205" i="32" s="1"/>
  <c r="A206" i="32" s="1"/>
  <c r="A207" i="32" s="1"/>
  <c r="A208" i="32" s="1"/>
  <c r="A209" i="32" s="1"/>
  <c r="A210" i="32" s="1"/>
  <c r="A211" i="32" s="1"/>
  <c r="A212" i="32" s="1"/>
  <c r="A213" i="32" s="1"/>
  <c r="A214" i="32" s="1"/>
  <c r="A215" i="32" s="1"/>
  <c r="A216" i="32" s="1"/>
  <c r="A217" i="32" s="1"/>
  <c r="A218" i="32" s="1"/>
  <c r="A219" i="32" s="1"/>
  <c r="A220" i="32" s="1"/>
  <c r="A221" i="32" s="1"/>
  <c r="A222" i="32" s="1"/>
  <c r="A223" i="32" s="1"/>
  <c r="A224" i="32" s="1"/>
  <c r="A225" i="32" s="1"/>
  <c r="A226" i="32" s="1"/>
  <c r="A227" i="32" s="1"/>
  <c r="A228" i="32" s="1"/>
  <c r="A229" i="32" s="1"/>
  <c r="A230" i="32" s="1"/>
  <c r="A231" i="32" s="1"/>
  <c r="A232" i="32" s="1"/>
  <c r="A233" i="32" s="1"/>
  <c r="A234" i="32" s="1"/>
  <c r="A235" i="32" s="1"/>
  <c r="A236" i="32" s="1"/>
  <c r="A237" i="32" s="1"/>
  <c r="A238" i="32" s="1"/>
  <c r="A239" i="32" s="1"/>
  <c r="A240" i="32" s="1"/>
  <c r="A241" i="32" s="1"/>
  <c r="A242" i="32" s="1"/>
  <c r="A243" i="32" s="1"/>
  <c r="A244" i="32" s="1"/>
  <c r="A245" i="32" s="1"/>
  <c r="A246" i="32" s="1"/>
  <c r="A247" i="32" s="1"/>
  <c r="A248" i="32" s="1"/>
  <c r="A249" i="32" s="1"/>
  <c r="A250" i="32" s="1"/>
  <c r="A251" i="32" s="1"/>
  <c r="A252" i="32" s="1"/>
  <c r="A253" i="32" s="1"/>
  <c r="A254" i="32" s="1"/>
  <c r="A255" i="32" s="1"/>
  <c r="A256" i="32" s="1"/>
  <c r="A257" i="32" s="1"/>
  <c r="A258" i="32" s="1"/>
  <c r="A259" i="32" s="1"/>
  <c r="A260" i="32" s="1"/>
  <c r="A261" i="32" s="1"/>
  <c r="A262" i="32" s="1"/>
  <c r="A263" i="32" s="1"/>
  <c r="A264" i="32" s="1"/>
  <c r="A265" i="32" s="1"/>
  <c r="A266" i="32" s="1"/>
  <c r="A267" i="32" s="1"/>
  <c r="A268" i="32" s="1"/>
  <c r="A269" i="32" s="1"/>
  <c r="A270" i="32" s="1"/>
  <c r="A271" i="32" s="1"/>
  <c r="A272" i="32" s="1"/>
  <c r="A273" i="32" s="1"/>
  <c r="A274" i="32" s="1"/>
  <c r="A275" i="32" s="1"/>
  <c r="A276" i="32" s="1"/>
  <c r="A277" i="32" s="1"/>
  <c r="A278" i="32" s="1"/>
  <c r="A279" i="32" s="1"/>
  <c r="A280" i="32" s="1"/>
  <c r="A281" i="32" s="1"/>
  <c r="A282" i="32" s="1"/>
  <c r="A283" i="32" s="1"/>
  <c r="A284" i="32" s="1"/>
  <c r="A285" i="32" s="1"/>
  <c r="A286" i="32" s="1"/>
  <c r="A287" i="32" s="1"/>
  <c r="A288" i="32" s="1"/>
  <c r="A289" i="32" s="1"/>
  <c r="A290" i="32" s="1"/>
  <c r="A291" i="32" s="1"/>
  <c r="A292" i="32" s="1"/>
  <c r="A293" i="32" s="1"/>
  <c r="A294" i="32" s="1"/>
  <c r="A295" i="32" s="1"/>
  <c r="A296" i="32" s="1"/>
  <c r="A297" i="32" s="1"/>
  <c r="A298" i="32" s="1"/>
  <c r="A299" i="32" s="1"/>
  <c r="A300" i="32" s="1"/>
  <c r="A301" i="32" s="1"/>
  <c r="A302" i="32" s="1"/>
  <c r="A303" i="32" s="1"/>
  <c r="E11" i="54"/>
  <c r="E12" i="54"/>
  <c r="E14" i="20"/>
  <c r="E11" i="20"/>
  <c r="F10" i="65"/>
  <c r="B12" i="61"/>
  <c r="G60" i="62"/>
  <c r="G176" i="50" l="1"/>
  <c r="G158" i="50"/>
  <c r="G159" i="50"/>
  <c r="G160" i="50"/>
  <c r="G161" i="50"/>
  <c r="G162" i="50"/>
  <c r="G157" i="50"/>
  <c r="G144" i="50"/>
  <c r="G145" i="50"/>
  <c r="G146" i="50"/>
  <c r="G147" i="50"/>
  <c r="G148" i="50"/>
  <c r="G149" i="50"/>
  <c r="G150" i="50"/>
  <c r="G151" i="50"/>
  <c r="G152" i="50"/>
  <c r="G143" i="50"/>
  <c r="G137" i="50"/>
  <c r="G133" i="50"/>
  <c r="G132" i="50"/>
  <c r="G128" i="50"/>
  <c r="G123" i="50"/>
  <c r="G124" i="50"/>
  <c r="G122" i="50"/>
  <c r="G121" i="50" s="1"/>
  <c r="G117" i="50"/>
  <c r="G118" i="50"/>
  <c r="G119" i="50"/>
  <c r="G120" i="50"/>
  <c r="G115" i="50" s="1"/>
  <c r="G116" i="50"/>
  <c r="G114" i="50"/>
  <c r="G107" i="50"/>
  <c r="G108" i="50"/>
  <c r="G105" i="50" s="1"/>
  <c r="G109" i="50"/>
  <c r="G110" i="50"/>
  <c r="G111" i="50"/>
  <c r="G112" i="50"/>
  <c r="G106" i="50"/>
  <c r="G102" i="50"/>
  <c r="G101" i="50"/>
  <c r="G93" i="50"/>
  <c r="G94" i="50"/>
  <c r="G95" i="50"/>
  <c r="G96" i="50"/>
  <c r="G97" i="50"/>
  <c r="G98" i="50"/>
  <c r="G99" i="50"/>
  <c r="G92" i="50"/>
  <c r="G88" i="50"/>
  <c r="G86" i="50" s="1"/>
  <c r="G89" i="50"/>
  <c r="G90" i="50"/>
  <c r="G87" i="50"/>
  <c r="G80" i="50"/>
  <c r="G78" i="50" s="1"/>
  <c r="G77" i="50" s="1"/>
  <c r="G81" i="50"/>
  <c r="G82" i="50"/>
  <c r="G83" i="50"/>
  <c r="G84" i="50"/>
  <c r="G85" i="50"/>
  <c r="G79" i="50"/>
  <c r="G73" i="50"/>
  <c r="G74" i="50"/>
  <c r="G75" i="50"/>
  <c r="G76" i="50"/>
  <c r="G72" i="50"/>
  <c r="G66" i="50"/>
  <c r="G65" i="50" s="1"/>
  <c r="G63" i="50"/>
  <c r="G56" i="50"/>
  <c r="G51" i="50"/>
  <c r="G52" i="50"/>
  <c r="G49" i="50" s="1"/>
  <c r="G50" i="50"/>
  <c r="G44" i="50"/>
  <c r="G45" i="50"/>
  <c r="G46" i="50"/>
  <c r="G47" i="50"/>
  <c r="G48" i="50"/>
  <c r="G43" i="50"/>
  <c r="G29" i="50"/>
  <c r="G27" i="50" s="1"/>
  <c r="G30" i="50"/>
  <c r="G31" i="50"/>
  <c r="G32" i="50"/>
  <c r="G33" i="50"/>
  <c r="G34" i="50"/>
  <c r="G35" i="50"/>
  <c r="G36" i="50"/>
  <c r="G37" i="50"/>
  <c r="G38" i="50"/>
  <c r="G28" i="50"/>
  <c r="G22" i="50"/>
  <c r="G23" i="50"/>
  <c r="G24" i="50"/>
  <c r="G25" i="50"/>
  <c r="G26" i="50"/>
  <c r="G21" i="50"/>
  <c r="G20" i="50" s="1"/>
  <c r="G10" i="50" s="1"/>
  <c r="G19" i="50"/>
  <c r="F27" i="50"/>
  <c r="D27" i="50"/>
  <c r="E27" i="50" s="1"/>
  <c r="C27" i="50"/>
  <c r="G11" i="50"/>
  <c r="F11" i="50"/>
  <c r="D11" i="50"/>
  <c r="C11" i="50"/>
  <c r="I17" i="50"/>
  <c r="H17" i="50"/>
  <c r="H176" i="50"/>
  <c r="E176" i="50"/>
  <c r="I176" i="50" s="1"/>
  <c r="G175" i="50"/>
  <c r="F175" i="50"/>
  <c r="D175" i="50"/>
  <c r="D173" i="50" s="1"/>
  <c r="C175" i="50"/>
  <c r="I174" i="50"/>
  <c r="H174" i="50"/>
  <c r="G173" i="50"/>
  <c r="F173" i="50"/>
  <c r="C173" i="50"/>
  <c r="E172" i="50"/>
  <c r="H172" i="50" s="1"/>
  <c r="H171" i="50"/>
  <c r="E171" i="50"/>
  <c r="I171" i="50" s="1"/>
  <c r="E170" i="50"/>
  <c r="H170" i="50" s="1"/>
  <c r="H169" i="50"/>
  <c r="E169" i="50"/>
  <c r="I169" i="50" s="1"/>
  <c r="E168" i="50"/>
  <c r="H168" i="50" s="1"/>
  <c r="E167" i="50"/>
  <c r="I167" i="50" s="1"/>
  <c r="E166" i="50"/>
  <c r="H166" i="50" s="1"/>
  <c r="H165" i="50"/>
  <c r="E165" i="50"/>
  <c r="I165" i="50" s="1"/>
  <c r="G164" i="50"/>
  <c r="F164" i="50"/>
  <c r="D164" i="50"/>
  <c r="C164" i="50"/>
  <c r="H163" i="50"/>
  <c r="E163" i="50"/>
  <c r="I163" i="50" s="1"/>
  <c r="I162" i="50"/>
  <c r="H162" i="50"/>
  <c r="E161" i="50"/>
  <c r="I161" i="50" s="1"/>
  <c r="E160" i="50"/>
  <c r="H160" i="50" s="1"/>
  <c r="H159" i="50"/>
  <c r="E159" i="50"/>
  <c r="I159" i="50" s="1"/>
  <c r="I158" i="50"/>
  <c r="H158" i="50"/>
  <c r="D156" i="50"/>
  <c r="I157" i="50"/>
  <c r="H157" i="50"/>
  <c r="F156" i="50"/>
  <c r="C156" i="50"/>
  <c r="E156" i="50" s="1"/>
  <c r="I155" i="50"/>
  <c r="H155" i="50"/>
  <c r="I154" i="50"/>
  <c r="H154" i="50"/>
  <c r="G153" i="50"/>
  <c r="F153" i="50"/>
  <c r="D153" i="50"/>
  <c r="C153" i="50"/>
  <c r="I152" i="50"/>
  <c r="H152" i="50"/>
  <c r="I151" i="50"/>
  <c r="H151" i="50"/>
  <c r="I150" i="50"/>
  <c r="H150" i="50"/>
  <c r="I149" i="50"/>
  <c r="H149" i="50"/>
  <c r="I148" i="50"/>
  <c r="H148" i="50"/>
  <c r="I147" i="50"/>
  <c r="H147" i="50"/>
  <c r="I146" i="50"/>
  <c r="H146" i="50"/>
  <c r="I145" i="50"/>
  <c r="H145" i="50"/>
  <c r="I144" i="50"/>
  <c r="H144" i="50"/>
  <c r="D142" i="50"/>
  <c r="I143" i="50"/>
  <c r="H143" i="50"/>
  <c r="G142" i="50"/>
  <c r="F142" i="50"/>
  <c r="C142" i="50"/>
  <c r="E141" i="50"/>
  <c r="I141" i="50" s="1"/>
  <c r="G140" i="50"/>
  <c r="F140" i="50"/>
  <c r="D140" i="50"/>
  <c r="C140" i="50"/>
  <c r="C139" i="50" s="1"/>
  <c r="D136" i="50"/>
  <c r="G136" i="50"/>
  <c r="F136" i="50"/>
  <c r="C136" i="50"/>
  <c r="I135" i="50"/>
  <c r="H135" i="50"/>
  <c r="G134" i="50"/>
  <c r="F134" i="50"/>
  <c r="D134" i="50"/>
  <c r="C134" i="50"/>
  <c r="H133" i="50"/>
  <c r="I132" i="50"/>
  <c r="H132" i="50"/>
  <c r="I131" i="50"/>
  <c r="H131" i="50"/>
  <c r="G130" i="50"/>
  <c r="G129" i="50" s="1"/>
  <c r="F130" i="50"/>
  <c r="D130" i="50"/>
  <c r="C130" i="50"/>
  <c r="I128" i="50"/>
  <c r="H128" i="50"/>
  <c r="H127" i="50"/>
  <c r="E127" i="50"/>
  <c r="I127" i="50" s="1"/>
  <c r="E126" i="50"/>
  <c r="H126" i="50" s="1"/>
  <c r="G125" i="50"/>
  <c r="F125" i="50"/>
  <c r="D125" i="50"/>
  <c r="C125" i="50"/>
  <c r="I124" i="50"/>
  <c r="H124" i="50"/>
  <c r="I123" i="50"/>
  <c r="H123" i="50"/>
  <c r="I122" i="50"/>
  <c r="H122" i="50"/>
  <c r="F121" i="50"/>
  <c r="D121" i="50"/>
  <c r="C121" i="50"/>
  <c r="I120" i="50"/>
  <c r="H120" i="50"/>
  <c r="I119" i="50"/>
  <c r="H119" i="50"/>
  <c r="I118" i="50"/>
  <c r="H118" i="50"/>
  <c r="I117" i="50"/>
  <c r="H117" i="50"/>
  <c r="I116" i="50"/>
  <c r="H116" i="50"/>
  <c r="F115" i="50"/>
  <c r="D115" i="50"/>
  <c r="C115" i="50"/>
  <c r="I114" i="50"/>
  <c r="H114" i="50"/>
  <c r="G113" i="50"/>
  <c r="F113" i="50"/>
  <c r="D113" i="50"/>
  <c r="C113" i="50"/>
  <c r="I112" i="50"/>
  <c r="H112" i="50"/>
  <c r="I111" i="50"/>
  <c r="H111" i="50"/>
  <c r="I110" i="50"/>
  <c r="H110" i="50"/>
  <c r="I109" i="50"/>
  <c r="H109" i="50"/>
  <c r="I108" i="50"/>
  <c r="H108" i="50"/>
  <c r="D105" i="50"/>
  <c r="I107" i="50"/>
  <c r="H107" i="50"/>
  <c r="I106" i="50"/>
  <c r="H106" i="50"/>
  <c r="F105" i="50"/>
  <c r="C105" i="50"/>
  <c r="E104" i="50"/>
  <c r="H104" i="50" s="1"/>
  <c r="I103" i="50"/>
  <c r="H103" i="50"/>
  <c r="I102" i="50"/>
  <c r="H102" i="50"/>
  <c r="I101" i="50"/>
  <c r="H101" i="50"/>
  <c r="G100" i="50"/>
  <c r="F100" i="50"/>
  <c r="C100" i="50"/>
  <c r="I99" i="50"/>
  <c r="H99" i="50"/>
  <c r="I98" i="50"/>
  <c r="H98" i="50"/>
  <c r="E97" i="50"/>
  <c r="I97" i="50" s="1"/>
  <c r="I95" i="50"/>
  <c r="H95" i="50"/>
  <c r="I94" i="50"/>
  <c r="H94" i="50"/>
  <c r="I93" i="50"/>
  <c r="H93" i="50"/>
  <c r="I92" i="50"/>
  <c r="H92" i="50"/>
  <c r="G91" i="50"/>
  <c r="F91" i="50"/>
  <c r="D91" i="50"/>
  <c r="C91" i="50"/>
  <c r="I90" i="50"/>
  <c r="H90" i="50"/>
  <c r="I89" i="50"/>
  <c r="H89" i="50"/>
  <c r="I88" i="50"/>
  <c r="H88" i="50"/>
  <c r="D86" i="50"/>
  <c r="I87" i="50"/>
  <c r="H87" i="50"/>
  <c r="F86" i="50"/>
  <c r="C86" i="50"/>
  <c r="I85" i="50"/>
  <c r="H85" i="50"/>
  <c r="I84" i="50"/>
  <c r="H84" i="50"/>
  <c r="I83" i="50"/>
  <c r="H83" i="50"/>
  <c r="I82" i="50"/>
  <c r="H82" i="50"/>
  <c r="I81" i="50"/>
  <c r="H81" i="50"/>
  <c r="I80" i="50"/>
  <c r="H80" i="50"/>
  <c r="I79" i="50"/>
  <c r="H79" i="50"/>
  <c r="F78" i="50"/>
  <c r="C78" i="50"/>
  <c r="C77" i="50" s="1"/>
  <c r="I76" i="50"/>
  <c r="H76" i="50"/>
  <c r="I75" i="50"/>
  <c r="H75" i="50"/>
  <c r="I74" i="50"/>
  <c r="H74" i="50"/>
  <c r="I73" i="50"/>
  <c r="H73" i="50"/>
  <c r="I72" i="50"/>
  <c r="H72" i="50"/>
  <c r="D71" i="50"/>
  <c r="G71" i="50"/>
  <c r="F71" i="50"/>
  <c r="C71" i="50"/>
  <c r="D68" i="50"/>
  <c r="G68" i="50"/>
  <c r="F68" i="50"/>
  <c r="C68" i="50"/>
  <c r="E67" i="50"/>
  <c r="I67" i="50" s="1"/>
  <c r="I66" i="50"/>
  <c r="H66" i="50"/>
  <c r="F65" i="50"/>
  <c r="D65" i="50"/>
  <c r="C65" i="50"/>
  <c r="I64" i="50"/>
  <c r="H64" i="50"/>
  <c r="I63" i="50"/>
  <c r="H63" i="50"/>
  <c r="G62" i="50"/>
  <c r="F62" i="50"/>
  <c r="D62" i="50"/>
  <c r="C62" i="50"/>
  <c r="I61" i="50"/>
  <c r="H61" i="50"/>
  <c r="G60" i="50"/>
  <c r="F60" i="50"/>
  <c r="D60" i="50"/>
  <c r="C60" i="50"/>
  <c r="E60" i="50" s="1"/>
  <c r="I59" i="50"/>
  <c r="H59" i="50"/>
  <c r="I58" i="50"/>
  <c r="H58" i="50"/>
  <c r="H56" i="50"/>
  <c r="G55" i="50"/>
  <c r="F55" i="50"/>
  <c r="D55" i="50"/>
  <c r="C55" i="50"/>
  <c r="H54" i="50"/>
  <c r="H53" i="50" s="1"/>
  <c r="G53" i="50"/>
  <c r="F53" i="50"/>
  <c r="E53" i="50"/>
  <c r="D53" i="50"/>
  <c r="C53" i="50"/>
  <c r="I52" i="50"/>
  <c r="H52" i="50"/>
  <c r="I51" i="50"/>
  <c r="H51" i="50"/>
  <c r="I50" i="50"/>
  <c r="H50" i="50"/>
  <c r="F49" i="50"/>
  <c r="D49" i="50"/>
  <c r="C49" i="50"/>
  <c r="I48" i="50"/>
  <c r="H48" i="50"/>
  <c r="I47" i="50"/>
  <c r="H47" i="50"/>
  <c r="I46" i="50"/>
  <c r="H46" i="50"/>
  <c r="I45" i="50"/>
  <c r="H45" i="50"/>
  <c r="I44" i="50"/>
  <c r="H44" i="50"/>
  <c r="D42" i="50"/>
  <c r="I43" i="50"/>
  <c r="H43" i="50"/>
  <c r="G42" i="50"/>
  <c r="F42" i="50"/>
  <c r="C42" i="50"/>
  <c r="G39" i="50"/>
  <c r="F39" i="50"/>
  <c r="D39" i="50"/>
  <c r="C39" i="50"/>
  <c r="C10" i="50" s="1"/>
  <c r="I37" i="50"/>
  <c r="H37" i="50"/>
  <c r="I36" i="50"/>
  <c r="H36" i="50"/>
  <c r="I35" i="50"/>
  <c r="H35" i="50"/>
  <c r="I34" i="50"/>
  <c r="H34" i="50"/>
  <c r="I33" i="50"/>
  <c r="H33" i="50"/>
  <c r="I32" i="50"/>
  <c r="H32" i="50"/>
  <c r="I31" i="50"/>
  <c r="H31" i="50"/>
  <c r="I30" i="50"/>
  <c r="H30" i="50"/>
  <c r="I29" i="50"/>
  <c r="H29" i="50"/>
  <c r="I28" i="50"/>
  <c r="H28" i="50"/>
  <c r="I26" i="50"/>
  <c r="H26" i="50"/>
  <c r="I25" i="50"/>
  <c r="H25" i="50"/>
  <c r="I24" i="50"/>
  <c r="H24" i="50"/>
  <c r="I23" i="50"/>
  <c r="H23" i="50"/>
  <c r="I22" i="50"/>
  <c r="H22" i="50"/>
  <c r="I21" i="50"/>
  <c r="H21" i="50"/>
  <c r="D20" i="50"/>
  <c r="F20" i="50"/>
  <c r="C20" i="50"/>
  <c r="I19" i="50"/>
  <c r="H19" i="50"/>
  <c r="D18" i="50"/>
  <c r="E18" i="50" s="1"/>
  <c r="G18" i="50"/>
  <c r="F18" i="50"/>
  <c r="C18" i="50"/>
  <c r="I16" i="50"/>
  <c r="H16" i="50"/>
  <c r="I15" i="50"/>
  <c r="H15" i="50"/>
  <c r="I14" i="50"/>
  <c r="H14" i="50"/>
  <c r="I13" i="50"/>
  <c r="H13" i="50"/>
  <c r="I12" i="50"/>
  <c r="H12" i="50"/>
  <c r="A4" i="50"/>
  <c r="G58" i="71"/>
  <c r="F58" i="71"/>
  <c r="G57" i="71"/>
  <c r="F57" i="71"/>
  <c r="G56" i="71"/>
  <c r="F56" i="71"/>
  <c r="G54" i="71"/>
  <c r="F54" i="71"/>
  <c r="G53" i="71"/>
  <c r="F53" i="71"/>
  <c r="G52" i="71"/>
  <c r="F52" i="71"/>
  <c r="G51" i="71"/>
  <c r="F51" i="71"/>
  <c r="F18" i="71"/>
  <c r="D18" i="71"/>
  <c r="C18" i="71"/>
  <c r="H63" i="55"/>
  <c r="H37" i="55"/>
  <c r="F46" i="67"/>
  <c r="D46" i="67"/>
  <c r="C46" i="67"/>
  <c r="G45" i="67"/>
  <c r="F45" i="67"/>
  <c r="D45" i="67"/>
  <c r="C45" i="67"/>
  <c r="G22" i="67"/>
  <c r="G46" i="67" s="1"/>
  <c r="G21" i="67"/>
  <c r="G41" i="50" l="1"/>
  <c r="F41" i="50"/>
  <c r="H67" i="50"/>
  <c r="C129" i="50"/>
  <c r="C177" i="50" s="1"/>
  <c r="H141" i="50"/>
  <c r="E164" i="50"/>
  <c r="H167" i="50"/>
  <c r="E173" i="50"/>
  <c r="H173" i="50" s="1"/>
  <c r="G156" i="50"/>
  <c r="F77" i="50"/>
  <c r="E153" i="50"/>
  <c r="H153" i="50" s="1"/>
  <c r="C41" i="50"/>
  <c r="F129" i="50"/>
  <c r="F139" i="50"/>
  <c r="E175" i="50"/>
  <c r="H161" i="50"/>
  <c r="E142" i="50"/>
  <c r="H142" i="50" s="1"/>
  <c r="E134" i="50"/>
  <c r="H134" i="50" s="1"/>
  <c r="E121" i="50"/>
  <c r="H121" i="50" s="1"/>
  <c r="H97" i="50"/>
  <c r="E86" i="50"/>
  <c r="H86" i="50" s="1"/>
  <c r="E68" i="50"/>
  <c r="H68" i="50" s="1"/>
  <c r="E39" i="50"/>
  <c r="H39" i="50" s="1"/>
  <c r="G139" i="50"/>
  <c r="G177" i="50" s="1"/>
  <c r="D139" i="50"/>
  <c r="D129" i="50"/>
  <c r="E136" i="50"/>
  <c r="H136" i="50" s="1"/>
  <c r="E129" i="50"/>
  <c r="H129" i="50" s="1"/>
  <c r="E115" i="50"/>
  <c r="H115" i="50" s="1"/>
  <c r="E113" i="50"/>
  <c r="H113" i="50" s="1"/>
  <c r="E105" i="50"/>
  <c r="H105" i="50" s="1"/>
  <c r="D100" i="50"/>
  <c r="E100" i="50" s="1"/>
  <c r="E91" i="50"/>
  <c r="H91" i="50" s="1"/>
  <c r="D78" i="50"/>
  <c r="E71" i="50"/>
  <c r="H71" i="50" s="1"/>
  <c r="D41" i="50"/>
  <c r="E41" i="50" s="1"/>
  <c r="E65" i="50"/>
  <c r="H65" i="50" s="1"/>
  <c r="E62" i="50"/>
  <c r="H62" i="50" s="1"/>
  <c r="E55" i="50"/>
  <c r="H55" i="50" s="1"/>
  <c r="E49" i="50"/>
  <c r="H49" i="50" s="1"/>
  <c r="E20" i="50"/>
  <c r="H20" i="50" s="1"/>
  <c r="D10" i="50"/>
  <c r="H18" i="50"/>
  <c r="E11" i="50"/>
  <c r="H60" i="50"/>
  <c r="I60" i="50"/>
  <c r="I68" i="50"/>
  <c r="H156" i="50"/>
  <c r="I156" i="50"/>
  <c r="I18" i="50"/>
  <c r="I39" i="50"/>
  <c r="I55" i="50"/>
  <c r="I91" i="50"/>
  <c r="I153" i="50"/>
  <c r="H11" i="50"/>
  <c r="H27" i="50"/>
  <c r="I27" i="50"/>
  <c r="I86" i="50"/>
  <c r="E139" i="50"/>
  <c r="H139" i="50" s="1"/>
  <c r="I142" i="50"/>
  <c r="H164" i="50"/>
  <c r="I164" i="50"/>
  <c r="H175" i="50"/>
  <c r="I175" i="50"/>
  <c r="I20" i="50"/>
  <c r="I71" i="50"/>
  <c r="I121" i="50"/>
  <c r="I136" i="50"/>
  <c r="E42" i="50"/>
  <c r="I56" i="50"/>
  <c r="I104" i="50"/>
  <c r="I126" i="50"/>
  <c r="E130" i="50"/>
  <c r="I133" i="50"/>
  <c r="E140" i="50"/>
  <c r="I160" i="50"/>
  <c r="I166" i="50"/>
  <c r="I168" i="50"/>
  <c r="I170" i="50"/>
  <c r="I172" i="50"/>
  <c r="F10" i="50"/>
  <c r="E125" i="50"/>
  <c r="H125" i="50" s="1"/>
  <c r="I139" i="50"/>
  <c r="E10" i="50" l="1"/>
  <c r="I10" i="50" s="1"/>
  <c r="I173" i="50"/>
  <c r="I65" i="50"/>
  <c r="I115" i="50"/>
  <c r="I129" i="50"/>
  <c r="I134" i="50"/>
  <c r="I113" i="50"/>
  <c r="I105" i="50"/>
  <c r="D77" i="50"/>
  <c r="E77" i="50" s="1"/>
  <c r="I77" i="50" s="1"/>
  <c r="E78" i="50"/>
  <c r="I49" i="50"/>
  <c r="I100" i="50"/>
  <c r="H100" i="50"/>
  <c r="H41" i="50"/>
  <c r="I41" i="50"/>
  <c r="I62" i="50"/>
  <c r="I11" i="50"/>
  <c r="H78" i="50"/>
  <c r="I78" i="50"/>
  <c r="H42" i="50"/>
  <c r="I42" i="50"/>
  <c r="F177" i="50"/>
  <c r="I125" i="50"/>
  <c r="H140" i="50"/>
  <c r="I140" i="50"/>
  <c r="H130" i="50"/>
  <c r="I130" i="50"/>
  <c r="H10" i="50" l="1"/>
  <c r="H77" i="50"/>
  <c r="D177" i="50"/>
  <c r="E177" i="50" s="1"/>
  <c r="H177" i="50" s="1"/>
  <c r="I177" i="50" l="1"/>
  <c r="B51" i="51" l="1"/>
  <c r="B50" i="51"/>
  <c r="C51" i="51"/>
  <c r="C50" i="51"/>
  <c r="A5" i="62" l="1"/>
  <c r="H21" i="44"/>
  <c r="A5" i="61"/>
  <c r="J19" i="52"/>
  <c r="J18" i="52"/>
  <c r="A4" i="52"/>
  <c r="F29" i="75"/>
  <c r="E29" i="75"/>
  <c r="F24" i="75"/>
  <c r="E24" i="75"/>
  <c r="E35" i="75" s="1"/>
  <c r="F15" i="75"/>
  <c r="E15" i="75"/>
  <c r="F10" i="75"/>
  <c r="E10" i="75"/>
  <c r="E21" i="75" s="1"/>
  <c r="A4" i="75"/>
  <c r="A3" i="75"/>
  <c r="A4" i="74"/>
  <c r="A3" i="74"/>
  <c r="C60" i="74"/>
  <c r="B60" i="74"/>
  <c r="C53" i="74"/>
  <c r="C47" i="74" s="1"/>
  <c r="B53" i="74"/>
  <c r="C48" i="74"/>
  <c r="B48" i="74"/>
  <c r="C39" i="74"/>
  <c r="B39" i="74"/>
  <c r="C29" i="74"/>
  <c r="B29" i="74"/>
  <c r="C17" i="74"/>
  <c r="B17" i="74"/>
  <c r="C8" i="74"/>
  <c r="B8" i="74"/>
  <c r="B28" i="74" l="1"/>
  <c r="B7" i="74"/>
  <c r="F21" i="75"/>
  <c r="F35" i="75"/>
  <c r="C28" i="74"/>
  <c r="E39" i="75"/>
  <c r="F39" i="75"/>
  <c r="B47" i="74"/>
  <c r="C7" i="74"/>
  <c r="A5" i="65"/>
  <c r="E10" i="21" l="1"/>
  <c r="E11" i="21"/>
  <c r="E12" i="21"/>
  <c r="E13" i="21"/>
  <c r="D44" i="72"/>
  <c r="G44" i="72" s="1"/>
  <c r="D43" i="72"/>
  <c r="G43" i="72" s="1"/>
  <c r="D42" i="72"/>
  <c r="G42" i="72" s="1"/>
  <c r="D41" i="72"/>
  <c r="G41" i="72" s="1"/>
  <c r="F40" i="72"/>
  <c r="E40" i="72"/>
  <c r="C40" i="72"/>
  <c r="B40" i="72"/>
  <c r="G39" i="72"/>
  <c r="D39" i="72"/>
  <c r="D38" i="72"/>
  <c r="G38" i="72" s="1"/>
  <c r="D37" i="72"/>
  <c r="G37" i="72" s="1"/>
  <c r="D36" i="72"/>
  <c r="G36" i="72" s="1"/>
  <c r="D35" i="72"/>
  <c r="G35" i="72" s="1"/>
  <c r="D34" i="72"/>
  <c r="G34" i="72" s="1"/>
  <c r="D33" i="72"/>
  <c r="G33" i="72" s="1"/>
  <c r="D32" i="72"/>
  <c r="G32" i="72" s="1"/>
  <c r="D31" i="72"/>
  <c r="G31" i="72" s="1"/>
  <c r="D30" i="72"/>
  <c r="G30" i="72" s="1"/>
  <c r="F29" i="72"/>
  <c r="E29" i="72"/>
  <c r="C29" i="72"/>
  <c r="B29" i="72"/>
  <c r="D29" i="72" s="1"/>
  <c r="G29" i="72" s="1"/>
  <c r="G28" i="72"/>
  <c r="D28" i="72"/>
  <c r="D27" i="72"/>
  <c r="G27" i="72" s="1"/>
  <c r="D26" i="72"/>
  <c r="G26" i="72" s="1"/>
  <c r="D25" i="72"/>
  <c r="G25" i="72" s="1"/>
  <c r="D24" i="72"/>
  <c r="G24" i="72" s="1"/>
  <c r="D23" i="72"/>
  <c r="G23" i="72" s="1"/>
  <c r="D22" i="72"/>
  <c r="G22" i="72" s="1"/>
  <c r="D21" i="72"/>
  <c r="G21" i="72" s="1"/>
  <c r="F20" i="72"/>
  <c r="E20" i="72"/>
  <c r="C20" i="72"/>
  <c r="B20" i="72"/>
  <c r="G19" i="72"/>
  <c r="D19" i="72"/>
  <c r="D18" i="72"/>
  <c r="G18" i="72" s="1"/>
  <c r="D17" i="72"/>
  <c r="G17" i="72" s="1"/>
  <c r="D16" i="72"/>
  <c r="G16" i="72" s="1"/>
  <c r="D15" i="72"/>
  <c r="G15" i="72" s="1"/>
  <c r="D14" i="72"/>
  <c r="G14" i="72" s="1"/>
  <c r="D13" i="72"/>
  <c r="G13" i="72" s="1"/>
  <c r="D12" i="72"/>
  <c r="G12" i="72" s="1"/>
  <c r="D11" i="72"/>
  <c r="G11" i="72" s="1"/>
  <c r="F10" i="72"/>
  <c r="E10" i="72"/>
  <c r="C10" i="72"/>
  <c r="B10" i="72"/>
  <c r="D10" i="72" s="1"/>
  <c r="A5" i="72"/>
  <c r="A4" i="72"/>
  <c r="E158" i="71"/>
  <c r="E157" i="71"/>
  <c r="H157" i="71" s="1"/>
  <c r="E156" i="71"/>
  <c r="H156" i="71" s="1"/>
  <c r="E155" i="71"/>
  <c r="H155" i="71" s="1"/>
  <c r="E154" i="71"/>
  <c r="H154" i="71" s="1"/>
  <c r="E153" i="71"/>
  <c r="E152" i="71"/>
  <c r="H152" i="71" s="1"/>
  <c r="E151" i="71"/>
  <c r="H151" i="71" s="1"/>
  <c r="G150" i="71"/>
  <c r="F150" i="71"/>
  <c r="D150" i="71"/>
  <c r="C150" i="71"/>
  <c r="E149" i="71"/>
  <c r="H149" i="71" s="1"/>
  <c r="E148" i="71"/>
  <c r="H148" i="71" s="1"/>
  <c r="E147" i="71"/>
  <c r="G146" i="71"/>
  <c r="F146" i="71"/>
  <c r="D146" i="71"/>
  <c r="C146" i="71"/>
  <c r="E145" i="71"/>
  <c r="H145" i="71" s="1"/>
  <c r="E144" i="71"/>
  <c r="H144" i="71" s="1"/>
  <c r="E143" i="71"/>
  <c r="H143" i="71" s="1"/>
  <c r="E142" i="71"/>
  <c r="H142" i="71" s="1"/>
  <c r="E141" i="71"/>
  <c r="E140" i="71"/>
  <c r="H140" i="71" s="1"/>
  <c r="E139" i="71"/>
  <c r="H139" i="71" s="1"/>
  <c r="E138" i="71"/>
  <c r="H138" i="71" s="1"/>
  <c r="G137" i="71"/>
  <c r="F137" i="71"/>
  <c r="D137" i="71"/>
  <c r="C137" i="71"/>
  <c r="E136" i="71"/>
  <c r="H136" i="71" s="1"/>
  <c r="E135" i="71"/>
  <c r="H135" i="71" s="1"/>
  <c r="E134" i="71"/>
  <c r="H134" i="71" s="1"/>
  <c r="G133" i="71"/>
  <c r="F133" i="71"/>
  <c r="D133" i="71"/>
  <c r="C133" i="71"/>
  <c r="E132" i="71"/>
  <c r="H132" i="71" s="1"/>
  <c r="E131" i="71"/>
  <c r="H131" i="71" s="1"/>
  <c r="E130" i="71"/>
  <c r="H130" i="71" s="1"/>
  <c r="E129" i="71"/>
  <c r="H129" i="71" s="1"/>
  <c r="E128" i="71"/>
  <c r="H128" i="71" s="1"/>
  <c r="E127" i="71"/>
  <c r="H127" i="71" s="1"/>
  <c r="E126" i="71"/>
  <c r="H126" i="71" s="1"/>
  <c r="E125" i="71"/>
  <c r="H125" i="71" s="1"/>
  <c r="E124" i="71"/>
  <c r="H124" i="71" s="1"/>
  <c r="G123" i="71"/>
  <c r="F123" i="71"/>
  <c r="D123" i="71"/>
  <c r="C123" i="71"/>
  <c r="E122" i="71"/>
  <c r="H122" i="71" s="1"/>
  <c r="E121" i="71"/>
  <c r="H121" i="71" s="1"/>
  <c r="H120" i="71"/>
  <c r="E120" i="71"/>
  <c r="E119" i="71"/>
  <c r="H119" i="71" s="1"/>
  <c r="E118" i="71"/>
  <c r="H118" i="71" s="1"/>
  <c r="E117" i="71"/>
  <c r="H117" i="71" s="1"/>
  <c r="E116" i="71"/>
  <c r="H116" i="71" s="1"/>
  <c r="E115" i="71"/>
  <c r="H115" i="71" s="1"/>
  <c r="E114" i="71"/>
  <c r="H114" i="71" s="1"/>
  <c r="G113" i="71"/>
  <c r="F113" i="71"/>
  <c r="D113" i="71"/>
  <c r="C113" i="71"/>
  <c r="E112" i="71"/>
  <c r="H112" i="71" s="1"/>
  <c r="E111" i="71"/>
  <c r="H111" i="71" s="1"/>
  <c r="E110" i="71"/>
  <c r="H110" i="71" s="1"/>
  <c r="E109" i="71"/>
  <c r="H109" i="71" s="1"/>
  <c r="E108" i="71"/>
  <c r="H108" i="71" s="1"/>
  <c r="E107" i="71"/>
  <c r="H107" i="71" s="1"/>
  <c r="E106" i="71"/>
  <c r="H106" i="71" s="1"/>
  <c r="E105" i="71"/>
  <c r="H105" i="71" s="1"/>
  <c r="E104" i="71"/>
  <c r="H104" i="71" s="1"/>
  <c r="G103" i="71"/>
  <c r="F103" i="71"/>
  <c r="D103" i="71"/>
  <c r="C103" i="71"/>
  <c r="E102" i="71"/>
  <c r="H102" i="71" s="1"/>
  <c r="E101" i="71"/>
  <c r="H101" i="71" s="1"/>
  <c r="H100" i="71"/>
  <c r="E100" i="71"/>
  <c r="E99" i="71"/>
  <c r="H99" i="71" s="1"/>
  <c r="E98" i="71"/>
  <c r="H98" i="71" s="1"/>
  <c r="E97" i="71"/>
  <c r="H97" i="71" s="1"/>
  <c r="E96" i="71"/>
  <c r="H96" i="71" s="1"/>
  <c r="E95" i="71"/>
  <c r="H95" i="71" s="1"/>
  <c r="E94" i="71"/>
  <c r="H94" i="71" s="1"/>
  <c r="G93" i="71"/>
  <c r="F93" i="71"/>
  <c r="D93" i="71"/>
  <c r="C93" i="71"/>
  <c r="E92" i="71"/>
  <c r="H92" i="71" s="1"/>
  <c r="E91" i="71"/>
  <c r="H91" i="71" s="1"/>
  <c r="E90" i="71"/>
  <c r="H90" i="71" s="1"/>
  <c r="E89" i="71"/>
  <c r="E88" i="71"/>
  <c r="H88" i="71" s="1"/>
  <c r="E87" i="71"/>
  <c r="H87" i="71" s="1"/>
  <c r="E86" i="71"/>
  <c r="H86" i="71" s="1"/>
  <c r="G85" i="71"/>
  <c r="F85" i="71"/>
  <c r="D85" i="71"/>
  <c r="C85" i="71"/>
  <c r="E83" i="71"/>
  <c r="H83" i="71" s="1"/>
  <c r="E82" i="71"/>
  <c r="H82" i="71" s="1"/>
  <c r="E81" i="71"/>
  <c r="H81" i="71" s="1"/>
  <c r="E80" i="71"/>
  <c r="H80" i="71" s="1"/>
  <c r="E79" i="71"/>
  <c r="H79" i="71" s="1"/>
  <c r="E78" i="71"/>
  <c r="H78" i="71" s="1"/>
  <c r="E77" i="71"/>
  <c r="H77" i="71" s="1"/>
  <c r="G76" i="71"/>
  <c r="F76" i="71"/>
  <c r="D76" i="71"/>
  <c r="C76" i="71"/>
  <c r="E75" i="71"/>
  <c r="H75" i="71" s="1"/>
  <c r="E74" i="71"/>
  <c r="H74" i="71" s="1"/>
  <c r="E73" i="71"/>
  <c r="H73" i="71" s="1"/>
  <c r="G72" i="71"/>
  <c r="F72" i="71"/>
  <c r="D72" i="71"/>
  <c r="C72" i="71"/>
  <c r="E71" i="71"/>
  <c r="H71" i="71" s="1"/>
  <c r="E70" i="71"/>
  <c r="H70" i="71" s="1"/>
  <c r="E69" i="71"/>
  <c r="H69" i="71" s="1"/>
  <c r="E68" i="71"/>
  <c r="H68" i="71" s="1"/>
  <c r="E67" i="71"/>
  <c r="H67" i="71" s="1"/>
  <c r="E66" i="71"/>
  <c r="H66" i="71" s="1"/>
  <c r="E65" i="71"/>
  <c r="H65" i="71" s="1"/>
  <c r="E64" i="71"/>
  <c r="H64" i="71" s="1"/>
  <c r="G63" i="71"/>
  <c r="F63" i="71"/>
  <c r="D63" i="71"/>
  <c r="C63" i="71"/>
  <c r="E62" i="71"/>
  <c r="H62" i="71" s="1"/>
  <c r="E61" i="71"/>
  <c r="H61" i="71" s="1"/>
  <c r="E60" i="71"/>
  <c r="H60" i="71" s="1"/>
  <c r="G59" i="71"/>
  <c r="F59" i="71"/>
  <c r="D59" i="71"/>
  <c r="C59" i="71"/>
  <c r="E58" i="71"/>
  <c r="H58" i="71" s="1"/>
  <c r="E57" i="71"/>
  <c r="H57" i="71" s="1"/>
  <c r="E56" i="71"/>
  <c r="H56" i="71" s="1"/>
  <c r="E55" i="71"/>
  <c r="H55" i="71" s="1"/>
  <c r="E54" i="71"/>
  <c r="H54" i="71" s="1"/>
  <c r="E53" i="71"/>
  <c r="E52" i="71"/>
  <c r="H52" i="71" s="1"/>
  <c r="E51" i="71"/>
  <c r="H51" i="71" s="1"/>
  <c r="E50" i="71"/>
  <c r="H50" i="71" s="1"/>
  <c r="G49" i="71"/>
  <c r="F49" i="71"/>
  <c r="D49" i="71"/>
  <c r="C49" i="71"/>
  <c r="E48" i="71"/>
  <c r="H48" i="71" s="1"/>
  <c r="E47" i="71"/>
  <c r="H47" i="71" s="1"/>
  <c r="E46" i="71"/>
  <c r="H46" i="71" s="1"/>
  <c r="E45" i="71"/>
  <c r="H45" i="71" s="1"/>
  <c r="E44" i="71"/>
  <c r="H44" i="71" s="1"/>
  <c r="E43" i="71"/>
  <c r="E42" i="71"/>
  <c r="H42" i="71" s="1"/>
  <c r="E41" i="71"/>
  <c r="H41" i="71" s="1"/>
  <c r="E40" i="71"/>
  <c r="H40" i="71" s="1"/>
  <c r="G39" i="71"/>
  <c r="F39" i="71"/>
  <c r="D39" i="71"/>
  <c r="C39" i="71"/>
  <c r="E38" i="71"/>
  <c r="H38" i="71" s="1"/>
  <c r="E37" i="71"/>
  <c r="H37" i="71" s="1"/>
  <c r="E36" i="71"/>
  <c r="H36" i="71" s="1"/>
  <c r="E35" i="71"/>
  <c r="H35" i="71" s="1"/>
  <c r="E34" i="71"/>
  <c r="H34" i="71" s="1"/>
  <c r="E33" i="71"/>
  <c r="E32" i="71"/>
  <c r="H32" i="71" s="1"/>
  <c r="E31" i="71"/>
  <c r="H31" i="71" s="1"/>
  <c r="E30" i="71"/>
  <c r="H30" i="71" s="1"/>
  <c r="G29" i="71"/>
  <c r="F29" i="71"/>
  <c r="D29" i="71"/>
  <c r="C29" i="71"/>
  <c r="E28" i="71"/>
  <c r="H28" i="71" s="1"/>
  <c r="E27" i="71"/>
  <c r="H27" i="71" s="1"/>
  <c r="E26" i="71"/>
  <c r="H26" i="71" s="1"/>
  <c r="E25" i="71"/>
  <c r="H25" i="71" s="1"/>
  <c r="E24" i="71"/>
  <c r="H24" i="71" s="1"/>
  <c r="E23" i="71"/>
  <c r="E22" i="71"/>
  <c r="H22" i="71" s="1"/>
  <c r="E21" i="71"/>
  <c r="H21" i="71" s="1"/>
  <c r="E20" i="71"/>
  <c r="H20" i="71" s="1"/>
  <c r="G19" i="71"/>
  <c r="F19" i="71"/>
  <c r="D19" i="71"/>
  <c r="C19" i="71"/>
  <c r="E18" i="71"/>
  <c r="H18" i="71" s="1"/>
  <c r="E17" i="71"/>
  <c r="H17" i="71" s="1"/>
  <c r="E16" i="71"/>
  <c r="H16" i="71" s="1"/>
  <c r="E15" i="71"/>
  <c r="H15" i="71" s="1"/>
  <c r="E14" i="71"/>
  <c r="H14" i="71" s="1"/>
  <c r="E13" i="71"/>
  <c r="H13" i="71" s="1"/>
  <c r="E12" i="71"/>
  <c r="H12" i="71" s="1"/>
  <c r="G11" i="71"/>
  <c r="F11" i="71"/>
  <c r="D11" i="71"/>
  <c r="C11" i="71"/>
  <c r="A2" i="71"/>
  <c r="E45" i="72" l="1"/>
  <c r="F84" i="71"/>
  <c r="C45" i="72"/>
  <c r="F10" i="71"/>
  <c r="E19" i="71"/>
  <c r="E39" i="71"/>
  <c r="G84" i="71"/>
  <c r="D10" i="71"/>
  <c r="E29" i="71"/>
  <c r="H72" i="71"/>
  <c r="E146" i="71"/>
  <c r="D20" i="72"/>
  <c r="G20" i="72" s="1"/>
  <c r="D40" i="72"/>
  <c r="G40" i="72" s="1"/>
  <c r="E49" i="71"/>
  <c r="C10" i="71"/>
  <c r="G10" i="71"/>
  <c r="H59" i="71"/>
  <c r="H76" i="71"/>
  <c r="D84" i="71"/>
  <c r="H123" i="71"/>
  <c r="E72" i="71"/>
  <c r="E85" i="71"/>
  <c r="F45" i="72"/>
  <c r="H113" i="71"/>
  <c r="E59" i="71"/>
  <c r="C84" i="71"/>
  <c r="E137" i="71"/>
  <c r="E150" i="71"/>
  <c r="G10" i="72"/>
  <c r="B45" i="72"/>
  <c r="H133" i="71"/>
  <c r="H63" i="71"/>
  <c r="H93" i="71"/>
  <c r="H11" i="71"/>
  <c r="H103" i="71"/>
  <c r="H89" i="71"/>
  <c r="H85" i="71" s="1"/>
  <c r="H141" i="71"/>
  <c r="H137" i="71" s="1"/>
  <c r="H147" i="71"/>
  <c r="H146" i="71" s="1"/>
  <c r="H153" i="71"/>
  <c r="H150" i="71" s="1"/>
  <c r="E11" i="71"/>
  <c r="E63" i="71"/>
  <c r="E93" i="71"/>
  <c r="E103" i="71"/>
  <c r="E113" i="71"/>
  <c r="E123" i="71"/>
  <c r="E133" i="71"/>
  <c r="E76" i="71"/>
  <c r="H23" i="71"/>
  <c r="H19" i="71" s="1"/>
  <c r="H33" i="71"/>
  <c r="H29" i="71" s="1"/>
  <c r="H43" i="71"/>
  <c r="H39" i="71" s="1"/>
  <c r="H53" i="71"/>
  <c r="H49" i="71" s="1"/>
  <c r="D80" i="70"/>
  <c r="G80" i="70" s="1"/>
  <c r="D79" i="70"/>
  <c r="G79" i="70" s="1"/>
  <c r="D78" i="70"/>
  <c r="G78" i="70" s="1"/>
  <c r="D77" i="70"/>
  <c r="G77" i="70" s="1"/>
  <c r="D76" i="70"/>
  <c r="G76" i="70" s="1"/>
  <c r="D75" i="70"/>
  <c r="G75" i="70" s="1"/>
  <c r="D74" i="70"/>
  <c r="G74" i="70" s="1"/>
  <c r="F73" i="70"/>
  <c r="E73" i="70"/>
  <c r="C73" i="70"/>
  <c r="B73" i="70"/>
  <c r="D72" i="70"/>
  <c r="G72" i="70" s="1"/>
  <c r="D71" i="70"/>
  <c r="G71" i="70" s="1"/>
  <c r="D70" i="70"/>
  <c r="G70" i="70" s="1"/>
  <c r="F69" i="70"/>
  <c r="E69" i="70"/>
  <c r="C69" i="70"/>
  <c r="B69" i="70"/>
  <c r="D69" i="70" s="1"/>
  <c r="D68" i="70"/>
  <c r="G68" i="70" s="1"/>
  <c r="D67" i="70"/>
  <c r="G67" i="70" s="1"/>
  <c r="D66" i="70"/>
  <c r="G66" i="70" s="1"/>
  <c r="D65" i="70"/>
  <c r="G65" i="70" s="1"/>
  <c r="D64" i="70"/>
  <c r="G64" i="70" s="1"/>
  <c r="D63" i="70"/>
  <c r="G63" i="70" s="1"/>
  <c r="D62" i="70"/>
  <c r="G62" i="70" s="1"/>
  <c r="F61" i="70"/>
  <c r="E61" i="70"/>
  <c r="C61" i="70"/>
  <c r="B61" i="70"/>
  <c r="D60" i="70"/>
  <c r="G60" i="70" s="1"/>
  <c r="D59" i="70"/>
  <c r="G59" i="70" s="1"/>
  <c r="D58" i="70"/>
  <c r="G58" i="70" s="1"/>
  <c r="F57" i="70"/>
  <c r="E57" i="70"/>
  <c r="C57" i="70"/>
  <c r="B57" i="70"/>
  <c r="D56" i="70"/>
  <c r="G56" i="70" s="1"/>
  <c r="D55" i="70"/>
  <c r="G55" i="70" s="1"/>
  <c r="D54" i="70"/>
  <c r="G54" i="70" s="1"/>
  <c r="D53" i="70"/>
  <c r="G53" i="70" s="1"/>
  <c r="D52" i="70"/>
  <c r="G52" i="70" s="1"/>
  <c r="D51" i="70"/>
  <c r="G51" i="70" s="1"/>
  <c r="D50" i="70"/>
  <c r="G50" i="70" s="1"/>
  <c r="D49" i="70"/>
  <c r="G49" i="70" s="1"/>
  <c r="D48" i="70"/>
  <c r="G48" i="70" s="1"/>
  <c r="F47" i="70"/>
  <c r="E47" i="70"/>
  <c r="C47" i="70"/>
  <c r="B47" i="70"/>
  <c r="D47" i="70" s="1"/>
  <c r="D46" i="70"/>
  <c r="G46" i="70" s="1"/>
  <c r="D45" i="70"/>
  <c r="G45" i="70" s="1"/>
  <c r="D44" i="70"/>
  <c r="G44" i="70" s="1"/>
  <c r="D43" i="70"/>
  <c r="G43" i="70" s="1"/>
  <c r="D42" i="70"/>
  <c r="G42" i="70" s="1"/>
  <c r="D41" i="70"/>
  <c r="G41" i="70" s="1"/>
  <c r="D40" i="70"/>
  <c r="G40" i="70" s="1"/>
  <c r="D39" i="70"/>
  <c r="G39" i="70" s="1"/>
  <c r="D38" i="70"/>
  <c r="G38" i="70" s="1"/>
  <c r="F37" i="70"/>
  <c r="E37" i="70"/>
  <c r="C37" i="70"/>
  <c r="B37" i="70"/>
  <c r="D36" i="70"/>
  <c r="G36" i="70" s="1"/>
  <c r="D35" i="70"/>
  <c r="G35" i="70" s="1"/>
  <c r="D34" i="70"/>
  <c r="G34" i="70" s="1"/>
  <c r="D33" i="70"/>
  <c r="G33" i="70" s="1"/>
  <c r="D32" i="70"/>
  <c r="G32" i="70" s="1"/>
  <c r="D31" i="70"/>
  <c r="G31" i="70" s="1"/>
  <c r="D30" i="70"/>
  <c r="G30" i="70" s="1"/>
  <c r="D29" i="70"/>
  <c r="G29" i="70" s="1"/>
  <c r="D28" i="70"/>
  <c r="G28" i="70" s="1"/>
  <c r="F27" i="70"/>
  <c r="E27" i="70"/>
  <c r="C27" i="70"/>
  <c r="B27" i="70"/>
  <c r="D26" i="70"/>
  <c r="G26" i="70" s="1"/>
  <c r="D25" i="70"/>
  <c r="G25" i="70" s="1"/>
  <c r="D24" i="70"/>
  <c r="G24" i="70" s="1"/>
  <c r="D23" i="70"/>
  <c r="G23" i="70" s="1"/>
  <c r="D22" i="70"/>
  <c r="G22" i="70" s="1"/>
  <c r="D21" i="70"/>
  <c r="G21" i="70" s="1"/>
  <c r="D20" i="70"/>
  <c r="G20" i="70" s="1"/>
  <c r="D19" i="70"/>
  <c r="G19" i="70" s="1"/>
  <c r="D18" i="70"/>
  <c r="G18" i="70" s="1"/>
  <c r="F17" i="70"/>
  <c r="E17" i="70"/>
  <c r="C17" i="70"/>
  <c r="B17" i="70"/>
  <c r="D16" i="70"/>
  <c r="G16" i="70" s="1"/>
  <c r="D15" i="70"/>
  <c r="G15" i="70" s="1"/>
  <c r="D14" i="70"/>
  <c r="G14" i="70" s="1"/>
  <c r="D13" i="70"/>
  <c r="G13" i="70" s="1"/>
  <c r="D12" i="70"/>
  <c r="G12" i="70" s="1"/>
  <c r="D11" i="70"/>
  <c r="G11" i="70" s="1"/>
  <c r="D10" i="70"/>
  <c r="G10" i="70" s="1"/>
  <c r="F9" i="70"/>
  <c r="E9" i="70"/>
  <c r="C9" i="70"/>
  <c r="B9" i="70"/>
  <c r="A5" i="70"/>
  <c r="A4" i="70"/>
  <c r="D61" i="70" l="1"/>
  <c r="G61" i="70" s="1"/>
  <c r="G159" i="71"/>
  <c r="F159" i="71"/>
  <c r="D159" i="71"/>
  <c r="G47" i="70"/>
  <c r="D27" i="70"/>
  <c r="G27" i="70" s="1"/>
  <c r="D73" i="70"/>
  <c r="G73" i="70" s="1"/>
  <c r="D17" i="70"/>
  <c r="G17" i="70" s="1"/>
  <c r="D57" i="70"/>
  <c r="G57" i="70" s="1"/>
  <c r="F81" i="70"/>
  <c r="H49" i="72" s="1"/>
  <c r="D45" i="72"/>
  <c r="C159" i="71"/>
  <c r="D37" i="70"/>
  <c r="G37" i="70" s="1"/>
  <c r="E84" i="71"/>
  <c r="H84" i="71"/>
  <c r="E10" i="71"/>
  <c r="H10" i="71"/>
  <c r="D9" i="70"/>
  <c r="G9" i="70" s="1"/>
  <c r="C81" i="70"/>
  <c r="H46" i="72" s="1"/>
  <c r="G69" i="70"/>
  <c r="E81" i="70"/>
  <c r="H48" i="72" s="1"/>
  <c r="B81" i="70"/>
  <c r="H45" i="72" s="1"/>
  <c r="H159" i="71" l="1"/>
  <c r="E159" i="71"/>
  <c r="I160" i="71"/>
  <c r="I155" i="71"/>
  <c r="I156" i="71"/>
  <c r="I159" i="71"/>
  <c r="G45" i="72"/>
  <c r="D81" i="70"/>
  <c r="C6" i="24"/>
  <c r="D6" i="24" s="1"/>
  <c r="I157" i="71" l="1"/>
  <c r="H47" i="72"/>
  <c r="G81" i="70"/>
  <c r="I158" i="71" s="1"/>
  <c r="I67" i="55"/>
  <c r="I68" i="55"/>
  <c r="I13" i="55"/>
  <c r="H31" i="67"/>
  <c r="F67" i="55"/>
  <c r="F68" i="55"/>
  <c r="F13" i="55"/>
  <c r="E31" i="67"/>
  <c r="A4" i="67"/>
  <c r="A3" i="67"/>
  <c r="G33" i="67"/>
  <c r="G36" i="67"/>
  <c r="G42" i="67"/>
  <c r="G48" i="67"/>
  <c r="C33" i="67"/>
  <c r="C36" i="67"/>
  <c r="C42" i="67"/>
  <c r="C48" i="67"/>
  <c r="H30" i="67"/>
  <c r="H32" i="67"/>
  <c r="H34" i="67"/>
  <c r="H35" i="67"/>
  <c r="H37" i="67"/>
  <c r="H38" i="67"/>
  <c r="H39" i="67"/>
  <c r="H40" i="67"/>
  <c r="H43" i="67"/>
  <c r="H44" i="67"/>
  <c r="H45" i="67"/>
  <c r="H46" i="67"/>
  <c r="H49" i="67"/>
  <c r="H48" i="67" s="1"/>
  <c r="F33" i="67"/>
  <c r="F36" i="67"/>
  <c r="F42" i="67"/>
  <c r="F48" i="67"/>
  <c r="E30" i="67"/>
  <c r="E32" i="67"/>
  <c r="E34" i="67"/>
  <c r="E33" i="67" s="1"/>
  <c r="E35" i="67"/>
  <c r="E37" i="67"/>
  <c r="E38" i="67"/>
  <c r="E39" i="67"/>
  <c r="E40" i="67"/>
  <c r="E43" i="67"/>
  <c r="E44" i="67"/>
  <c r="E45" i="67"/>
  <c r="E46" i="67"/>
  <c r="E49" i="67"/>
  <c r="E48" i="67" s="1"/>
  <c r="D33" i="67"/>
  <c r="D36" i="67"/>
  <c r="D42" i="67"/>
  <c r="D48" i="67"/>
  <c r="G13" i="67"/>
  <c r="G16" i="67"/>
  <c r="H16" i="67" s="1"/>
  <c r="C13" i="67"/>
  <c r="C16" i="67"/>
  <c r="F13" i="67"/>
  <c r="F16" i="67"/>
  <c r="D13" i="67"/>
  <c r="D16" i="67"/>
  <c r="D24" i="67" s="1"/>
  <c r="H23" i="67"/>
  <c r="E23" i="67"/>
  <c r="H22" i="67"/>
  <c r="E22" i="67"/>
  <c r="H21" i="67"/>
  <c r="E21" i="67"/>
  <c r="H20" i="67"/>
  <c r="E20" i="67"/>
  <c r="H19" i="67"/>
  <c r="E19" i="67"/>
  <c r="H18" i="67"/>
  <c r="E18" i="67"/>
  <c r="H17" i="67"/>
  <c r="E17" i="67"/>
  <c r="H15" i="67"/>
  <c r="E15" i="67"/>
  <c r="H14" i="67"/>
  <c r="E14" i="67"/>
  <c r="E13" i="67"/>
  <c r="H12" i="67"/>
  <c r="E12" i="67"/>
  <c r="H11" i="67"/>
  <c r="E11" i="67"/>
  <c r="H10" i="67"/>
  <c r="E10" i="67"/>
  <c r="H9" i="67"/>
  <c r="E9" i="67"/>
  <c r="A4" i="65"/>
  <c r="A4" i="54"/>
  <c r="D28" i="3"/>
  <c r="D34" i="3" s="1"/>
  <c r="E10" i="3"/>
  <c r="E15" i="3"/>
  <c r="E23" i="3"/>
  <c r="E28" i="3"/>
  <c r="C28" i="3"/>
  <c r="B23" i="3"/>
  <c r="F23" i="3" s="1"/>
  <c r="D15" i="3"/>
  <c r="D21" i="3" s="1"/>
  <c r="C15" i="3"/>
  <c r="C21" i="3" s="1"/>
  <c r="B10" i="3"/>
  <c r="B21" i="3" s="1"/>
  <c r="F8" i="3"/>
  <c r="C10" i="52"/>
  <c r="J10" i="52" s="1"/>
  <c r="C14" i="52"/>
  <c r="J14" i="52" s="1"/>
  <c r="D31" i="65"/>
  <c r="G31" i="65" s="1"/>
  <c r="D30" i="65"/>
  <c r="D29" i="65"/>
  <c r="G29" i="65" s="1"/>
  <c r="F28" i="65"/>
  <c r="F21" i="65" s="1"/>
  <c r="E28" i="65"/>
  <c r="E21" i="65" s="1"/>
  <c r="C28" i="65"/>
  <c r="B28" i="65"/>
  <c r="B21" i="65" s="1"/>
  <c r="B16" i="65"/>
  <c r="B9" i="65" s="1"/>
  <c r="D27" i="65"/>
  <c r="G27" i="65" s="1"/>
  <c r="D26" i="65"/>
  <c r="G26" i="65" s="1"/>
  <c r="D25" i="65"/>
  <c r="G25" i="65" s="1"/>
  <c r="D24" i="65"/>
  <c r="D22" i="65"/>
  <c r="G22" i="65" s="1"/>
  <c r="D23" i="65"/>
  <c r="D10" i="65"/>
  <c r="D11" i="65"/>
  <c r="G11" i="65" s="1"/>
  <c r="D12" i="65"/>
  <c r="G12" i="65" s="1"/>
  <c r="D13" i="65"/>
  <c r="G13" i="65" s="1"/>
  <c r="D14" i="65"/>
  <c r="D15" i="65"/>
  <c r="G15" i="65" s="1"/>
  <c r="D17" i="65"/>
  <c r="G17" i="65" s="1"/>
  <c r="D18" i="65"/>
  <c r="G18" i="65" s="1"/>
  <c r="D19" i="65"/>
  <c r="G19" i="65" s="1"/>
  <c r="C21" i="65"/>
  <c r="G10" i="65"/>
  <c r="G14" i="65"/>
  <c r="F16" i="65"/>
  <c r="F9" i="65" s="1"/>
  <c r="E16" i="65"/>
  <c r="E9" i="65" s="1"/>
  <c r="C16" i="65"/>
  <c r="C9" i="65" s="1"/>
  <c r="I39" i="55"/>
  <c r="A4" i="53"/>
  <c r="A4" i="55" s="1"/>
  <c r="E19" i="54"/>
  <c r="D19" i="54"/>
  <c r="C19" i="54"/>
  <c r="H31" i="55"/>
  <c r="G31" i="55"/>
  <c r="E31" i="55"/>
  <c r="D31" i="55"/>
  <c r="C57" i="51"/>
  <c r="B57" i="51"/>
  <c r="C31" i="51"/>
  <c r="B31" i="51"/>
  <c r="C77" i="62"/>
  <c r="B9" i="51"/>
  <c r="D29" i="61"/>
  <c r="G29" i="61" s="1"/>
  <c r="D28" i="61"/>
  <c r="G28" i="61" s="1"/>
  <c r="D27" i="61"/>
  <c r="D26" i="61"/>
  <c r="D25" i="61"/>
  <c r="G25" i="61" s="1"/>
  <c r="D24" i="61"/>
  <c r="D23" i="61"/>
  <c r="D22" i="61"/>
  <c r="D18" i="61"/>
  <c r="G18" i="61" s="1"/>
  <c r="D17" i="61"/>
  <c r="G17" i="61" s="1"/>
  <c r="D16" i="61"/>
  <c r="D15" i="61"/>
  <c r="G15" i="61" s="1"/>
  <c r="D14" i="61"/>
  <c r="G14" i="61" s="1"/>
  <c r="D13" i="61"/>
  <c r="G13" i="61" s="1"/>
  <c r="D12" i="61"/>
  <c r="G12" i="61" s="1"/>
  <c r="D11" i="61"/>
  <c r="G11" i="61" s="1"/>
  <c r="I79" i="55"/>
  <c r="I78" i="55"/>
  <c r="I73" i="55"/>
  <c r="I66" i="55"/>
  <c r="I65" i="55"/>
  <c r="I63" i="55"/>
  <c r="I62" i="55"/>
  <c r="I61" i="55"/>
  <c r="I60" i="55"/>
  <c r="I58" i="55"/>
  <c r="I57" i="55"/>
  <c r="I56" i="55"/>
  <c r="I55" i="55"/>
  <c r="I54" i="55"/>
  <c r="I53" i="55"/>
  <c r="I52" i="55"/>
  <c r="I51" i="55"/>
  <c r="I42" i="55"/>
  <c r="I41" i="55"/>
  <c r="C32" i="54"/>
  <c r="F32" i="54" s="1"/>
  <c r="A2" i="62"/>
  <c r="A2" i="61"/>
  <c r="F69" i="51"/>
  <c r="G25" i="52"/>
  <c r="G26" i="52"/>
  <c r="G27" i="52"/>
  <c r="G15" i="52"/>
  <c r="G16" i="52"/>
  <c r="G17" i="52"/>
  <c r="G23" i="52"/>
  <c r="G22" i="52"/>
  <c r="G21" i="52"/>
  <c r="G13" i="52"/>
  <c r="G12" i="52"/>
  <c r="G11" i="52"/>
  <c r="E81" i="62"/>
  <c r="H81" i="62" s="1"/>
  <c r="E80" i="62"/>
  <c r="H80" i="62" s="1"/>
  <c r="E79" i="62"/>
  <c r="E78" i="62"/>
  <c r="H78" i="62" s="1"/>
  <c r="E75" i="62"/>
  <c r="H75" i="62" s="1"/>
  <c r="E67" i="62"/>
  <c r="H67" i="62" s="1"/>
  <c r="H68" i="62"/>
  <c r="E69" i="62"/>
  <c r="H69" i="62" s="1"/>
  <c r="E70" i="62"/>
  <c r="H70" i="62" s="1"/>
  <c r="E71" i="62"/>
  <c r="H71" i="62" s="1"/>
  <c r="E72" i="62"/>
  <c r="H72" i="62" s="1"/>
  <c r="E73" i="62"/>
  <c r="H73" i="62" s="1"/>
  <c r="E74" i="62"/>
  <c r="H74" i="62"/>
  <c r="E65" i="62"/>
  <c r="H65" i="62" s="1"/>
  <c r="E64" i="62"/>
  <c r="H64" i="62" s="1"/>
  <c r="E63" i="62"/>
  <c r="E62" i="62"/>
  <c r="H62" i="62" s="1"/>
  <c r="E61" i="62"/>
  <c r="E60" i="62"/>
  <c r="E59" i="62"/>
  <c r="E56" i="62"/>
  <c r="H56" i="62" s="1"/>
  <c r="E55" i="62"/>
  <c r="H55" i="62" s="1"/>
  <c r="E54" i="62"/>
  <c r="H54" i="62" s="1"/>
  <c r="E53" i="62"/>
  <c r="E52" i="62"/>
  <c r="H52" i="62" s="1"/>
  <c r="E51" i="62"/>
  <c r="E50" i="62"/>
  <c r="E49" i="62"/>
  <c r="E45" i="62"/>
  <c r="H45" i="62" s="1"/>
  <c r="E44" i="62"/>
  <c r="E43" i="62"/>
  <c r="H43" i="62" s="1"/>
  <c r="E42" i="62"/>
  <c r="E39" i="62"/>
  <c r="H39" i="62" s="1"/>
  <c r="E38" i="62"/>
  <c r="H38" i="62" s="1"/>
  <c r="E37" i="62"/>
  <c r="E36" i="62"/>
  <c r="E35" i="62"/>
  <c r="H35" i="62" s="1"/>
  <c r="E34" i="62"/>
  <c r="H34" i="62" s="1"/>
  <c r="E33" i="62"/>
  <c r="H33" i="62" s="1"/>
  <c r="E32" i="62"/>
  <c r="E31" i="62"/>
  <c r="E28" i="62"/>
  <c r="H28" i="62" s="1"/>
  <c r="E27" i="62"/>
  <c r="E26" i="62"/>
  <c r="E25" i="62"/>
  <c r="H25" i="62" s="1"/>
  <c r="E24" i="62"/>
  <c r="H24" i="62" s="1"/>
  <c r="E22" i="62"/>
  <c r="H22" i="62" s="1"/>
  <c r="E23" i="62"/>
  <c r="H23" i="62" s="1"/>
  <c r="E19" i="62"/>
  <c r="H19" i="62" s="1"/>
  <c r="E18" i="62"/>
  <c r="E17" i="62"/>
  <c r="H17" i="62" s="1"/>
  <c r="E16" i="62"/>
  <c r="H16" i="62" s="1"/>
  <c r="E15" i="62"/>
  <c r="H15" i="62" s="1"/>
  <c r="E14" i="62"/>
  <c r="E12" i="62"/>
  <c r="H12" i="62" s="1"/>
  <c r="E13" i="62"/>
  <c r="F12" i="55"/>
  <c r="D18" i="55"/>
  <c r="G42" i="51"/>
  <c r="F42" i="51"/>
  <c r="F20" i="52"/>
  <c r="F27" i="51"/>
  <c r="C25" i="51"/>
  <c r="C17" i="51"/>
  <c r="E45" i="54"/>
  <c r="F47" i="54" s="1"/>
  <c r="D45" i="54"/>
  <c r="F46" i="54" s="1"/>
  <c r="C45" i="54"/>
  <c r="F45" i="54" s="1"/>
  <c r="E42" i="54"/>
  <c r="F44" i="54" s="1"/>
  <c r="D42" i="54"/>
  <c r="F43" i="54" s="1"/>
  <c r="C42" i="54"/>
  <c r="F42" i="54" s="1"/>
  <c r="E32" i="54"/>
  <c r="F34" i="54" s="1"/>
  <c r="D32" i="54"/>
  <c r="F33" i="54" s="1"/>
  <c r="E10" i="54"/>
  <c r="E9" i="20"/>
  <c r="E12" i="20"/>
  <c r="E15" i="20" s="1"/>
  <c r="E19" i="20" s="1"/>
  <c r="E21" i="20" s="1"/>
  <c r="D12" i="20"/>
  <c r="C15" i="54"/>
  <c r="C12" i="20"/>
  <c r="F12" i="20" s="1"/>
  <c r="D10" i="54"/>
  <c r="D9" i="20"/>
  <c r="D15" i="20" s="1"/>
  <c r="D19" i="20" s="1"/>
  <c r="D21" i="20" s="1"/>
  <c r="C10" i="54"/>
  <c r="C9" i="20"/>
  <c r="H14" i="62"/>
  <c r="H18" i="62"/>
  <c r="H26" i="62"/>
  <c r="H27" i="62"/>
  <c r="H32" i="62"/>
  <c r="H36" i="62"/>
  <c r="H37" i="62"/>
  <c r="H42" i="62"/>
  <c r="H49" i="62"/>
  <c r="H50" i="62"/>
  <c r="H53" i="62"/>
  <c r="H59" i="62"/>
  <c r="H60" i="62"/>
  <c r="H63" i="62"/>
  <c r="H79" i="62"/>
  <c r="C11" i="62"/>
  <c r="C21" i="62"/>
  <c r="C30" i="62"/>
  <c r="C41" i="62"/>
  <c r="C48" i="62"/>
  <c r="C58" i="62"/>
  <c r="C66" i="62"/>
  <c r="G11" i="62"/>
  <c r="G21" i="62"/>
  <c r="G30" i="62"/>
  <c r="G41" i="62"/>
  <c r="G48" i="62"/>
  <c r="G58" i="62"/>
  <c r="G66" i="62"/>
  <c r="G77" i="62"/>
  <c r="F11" i="62"/>
  <c r="F21" i="62"/>
  <c r="F30" i="62"/>
  <c r="F41" i="62"/>
  <c r="F48" i="62"/>
  <c r="F58" i="62"/>
  <c r="F66" i="62"/>
  <c r="F77" i="62"/>
  <c r="D11" i="62"/>
  <c r="D21" i="62"/>
  <c r="D30" i="62"/>
  <c r="D41" i="62"/>
  <c r="D48" i="62"/>
  <c r="D58" i="62"/>
  <c r="D66" i="62"/>
  <c r="D77" i="62"/>
  <c r="C10" i="61"/>
  <c r="C21" i="61"/>
  <c r="C32" i="38"/>
  <c r="H33" i="38" s="1"/>
  <c r="B32" i="38"/>
  <c r="H32" i="38" s="1"/>
  <c r="F10" i="61"/>
  <c r="F21" i="61"/>
  <c r="F32" i="38"/>
  <c r="H36" i="38" s="1"/>
  <c r="D10" i="52"/>
  <c r="D9" i="52" s="1"/>
  <c r="D19" i="52" s="1"/>
  <c r="D14" i="52"/>
  <c r="E10" i="52"/>
  <c r="E14" i="52"/>
  <c r="F10" i="52"/>
  <c r="F9" i="52" s="1"/>
  <c r="F19" i="52" s="1"/>
  <c r="F14" i="52"/>
  <c r="F38" i="51"/>
  <c r="F31" i="51"/>
  <c r="F23" i="51"/>
  <c r="F19" i="51"/>
  <c r="F9" i="51"/>
  <c r="F55" i="51"/>
  <c r="F59" i="51"/>
  <c r="F63" i="51"/>
  <c r="F46" i="2"/>
  <c r="F50" i="2" s="1"/>
  <c r="F40" i="2"/>
  <c r="F36" i="2"/>
  <c r="F31" i="2"/>
  <c r="F18" i="2"/>
  <c r="B31" i="2"/>
  <c r="B18" i="2"/>
  <c r="G38" i="51"/>
  <c r="G31" i="51"/>
  <c r="G27" i="51"/>
  <c r="G23" i="51"/>
  <c r="G19" i="51"/>
  <c r="G9" i="51"/>
  <c r="G55" i="51"/>
  <c r="G59" i="51"/>
  <c r="G63" i="51"/>
  <c r="G69" i="51"/>
  <c r="G46" i="2"/>
  <c r="G40" i="2"/>
  <c r="G36" i="2"/>
  <c r="G31" i="2"/>
  <c r="G18" i="2"/>
  <c r="B41" i="51"/>
  <c r="B38" i="51"/>
  <c r="B25" i="51"/>
  <c r="B17" i="51"/>
  <c r="C19" i="6"/>
  <c r="D19" i="6"/>
  <c r="E19" i="6"/>
  <c r="C41" i="51"/>
  <c r="C38" i="51"/>
  <c r="C9" i="51"/>
  <c r="C31" i="2"/>
  <c r="C18" i="2"/>
  <c r="G27" i="61"/>
  <c r="G26" i="61"/>
  <c r="G23" i="61"/>
  <c r="E21" i="61"/>
  <c r="D17" i="54" s="1"/>
  <c r="E17" i="54" s="1"/>
  <c r="E82" i="54" s="1"/>
  <c r="B21" i="61"/>
  <c r="G16" i="61"/>
  <c r="E10" i="61"/>
  <c r="D16" i="54" s="1"/>
  <c r="E16" i="54" s="1"/>
  <c r="E15" i="54" s="1"/>
  <c r="B10" i="61"/>
  <c r="B31" i="61" s="1"/>
  <c r="I14" i="52"/>
  <c r="K18" i="53"/>
  <c r="K17" i="53"/>
  <c r="K16" i="53"/>
  <c r="K15" i="53"/>
  <c r="K12" i="53"/>
  <c r="K11" i="53"/>
  <c r="K10" i="53"/>
  <c r="K9" i="53"/>
  <c r="F11" i="55"/>
  <c r="H40" i="55"/>
  <c r="G40" i="55"/>
  <c r="E40" i="55"/>
  <c r="D40" i="55"/>
  <c r="E18" i="55"/>
  <c r="H18" i="55"/>
  <c r="G18" i="55"/>
  <c r="J14" i="53"/>
  <c r="I14" i="53"/>
  <c r="H14" i="53"/>
  <c r="G14" i="53"/>
  <c r="F14" i="53"/>
  <c r="F8" i="53"/>
  <c r="E14" i="53"/>
  <c r="D14" i="53"/>
  <c r="C14" i="53"/>
  <c r="B14" i="53"/>
  <c r="J8" i="53"/>
  <c r="I8" i="53"/>
  <c r="H8" i="53"/>
  <c r="G8" i="53"/>
  <c r="D8" i="53"/>
  <c r="C8" i="53"/>
  <c r="B8" i="53"/>
  <c r="A3" i="54"/>
  <c r="A3" i="55"/>
  <c r="A3" i="53"/>
  <c r="A3" i="52"/>
  <c r="A3" i="51"/>
  <c r="E78" i="54"/>
  <c r="E76" i="54"/>
  <c r="E84" i="54"/>
  <c r="C79" i="54"/>
  <c r="C80" i="54"/>
  <c r="C76" i="54"/>
  <c r="C82" i="54"/>
  <c r="D78" i="54"/>
  <c r="D84" i="54"/>
  <c r="D76" i="54"/>
  <c r="E66" i="54"/>
  <c r="E64" i="54"/>
  <c r="E62" i="54"/>
  <c r="E61" i="54"/>
  <c r="E58" i="54"/>
  <c r="D66" i="54"/>
  <c r="D62" i="54"/>
  <c r="D61" i="54"/>
  <c r="D58" i="54"/>
  <c r="C61" i="54"/>
  <c r="C62" i="54"/>
  <c r="C58" i="54"/>
  <c r="C64" i="54"/>
  <c r="I40" i="55"/>
  <c r="I38" i="55"/>
  <c r="I37" i="55"/>
  <c r="I36" i="55"/>
  <c r="I35" i="55"/>
  <c r="I34" i="55"/>
  <c r="I33" i="55"/>
  <c r="I32" i="55"/>
  <c r="I30" i="55"/>
  <c r="I29" i="55"/>
  <c r="I28" i="55"/>
  <c r="I27" i="55"/>
  <c r="I26" i="55"/>
  <c r="I25" i="55"/>
  <c r="I24" i="55"/>
  <c r="I23" i="55"/>
  <c r="I22" i="55"/>
  <c r="I21" i="55"/>
  <c r="I20" i="55"/>
  <c r="I17" i="55"/>
  <c r="I16" i="55"/>
  <c r="I15" i="55"/>
  <c r="I14" i="55"/>
  <c r="I12" i="55"/>
  <c r="I11" i="55"/>
  <c r="F65" i="55"/>
  <c r="F64" i="55" s="1"/>
  <c r="F51" i="55"/>
  <c r="F52" i="55"/>
  <c r="F53" i="55"/>
  <c r="F54" i="55"/>
  <c r="F55" i="55"/>
  <c r="F56" i="55"/>
  <c r="F57" i="55"/>
  <c r="F58" i="55"/>
  <c r="F60" i="55"/>
  <c r="F59" i="55" s="1"/>
  <c r="F42" i="55"/>
  <c r="F41" i="55"/>
  <c r="F39" i="55"/>
  <c r="F38" i="55" s="1"/>
  <c r="F33" i="55"/>
  <c r="F34" i="55"/>
  <c r="F35" i="55"/>
  <c r="F36" i="55"/>
  <c r="F37" i="55"/>
  <c r="F14" i="55"/>
  <c r="F15" i="55"/>
  <c r="F16" i="55"/>
  <c r="F17" i="55"/>
  <c r="F20" i="55"/>
  <c r="F21" i="55"/>
  <c r="F22" i="55"/>
  <c r="F23" i="55"/>
  <c r="F24" i="55"/>
  <c r="F25" i="55"/>
  <c r="F26" i="55"/>
  <c r="F27" i="55"/>
  <c r="F28" i="55"/>
  <c r="F29" i="55"/>
  <c r="F30" i="55"/>
  <c r="F72" i="55"/>
  <c r="D80" i="55"/>
  <c r="E80" i="55"/>
  <c r="F79" i="55"/>
  <c r="F78" i="55"/>
  <c r="I72" i="55"/>
  <c r="H80" i="55"/>
  <c r="H72" i="55"/>
  <c r="H50" i="55"/>
  <c r="H59" i="55"/>
  <c r="H64" i="55"/>
  <c r="H38" i="55"/>
  <c r="G80" i="55"/>
  <c r="G72" i="55"/>
  <c r="G64" i="55"/>
  <c r="G59" i="55"/>
  <c r="G50" i="55"/>
  <c r="G38" i="55"/>
  <c r="E72" i="55"/>
  <c r="E64" i="55"/>
  <c r="E59" i="55"/>
  <c r="E50" i="55"/>
  <c r="E38" i="55"/>
  <c r="D72" i="55"/>
  <c r="D38" i="55"/>
  <c r="D50" i="55"/>
  <c r="D59" i="55"/>
  <c r="D64" i="55"/>
  <c r="C24" i="52"/>
  <c r="D24" i="52"/>
  <c r="E24" i="52"/>
  <c r="F24" i="52"/>
  <c r="C20" i="52"/>
  <c r="D20" i="52"/>
  <c r="E20" i="52"/>
  <c r="I24" i="52"/>
  <c r="H24" i="52"/>
  <c r="I20" i="52"/>
  <c r="H20" i="52"/>
  <c r="I10" i="52"/>
  <c r="H10" i="52"/>
  <c r="H14" i="52"/>
  <c r="D9" i="38"/>
  <c r="G9" i="38" s="1"/>
  <c r="D10" i="38"/>
  <c r="G10" i="38" s="1"/>
  <c r="D11" i="38"/>
  <c r="G11" i="38" s="1"/>
  <c r="D12" i="38"/>
  <c r="G12" i="38" s="1"/>
  <c r="D13" i="38"/>
  <c r="G13" i="38" s="1"/>
  <c r="D14" i="38"/>
  <c r="G14" i="38" s="1"/>
  <c r="D15" i="38"/>
  <c r="G15" i="38" s="1"/>
  <c r="D16" i="38"/>
  <c r="G16" i="38" s="1"/>
  <c r="D17" i="38"/>
  <c r="G17" i="38" s="1"/>
  <c r="D18" i="38"/>
  <c r="D26" i="38"/>
  <c r="D27" i="38"/>
  <c r="D28" i="38"/>
  <c r="D29" i="38"/>
  <c r="D30" i="38"/>
  <c r="D31" i="38"/>
  <c r="D19" i="38"/>
  <c r="D20" i="38"/>
  <c r="D21" i="38"/>
  <c r="D22" i="38"/>
  <c r="D23" i="38"/>
  <c r="D24" i="38"/>
  <c r="D25" i="38"/>
  <c r="A4" i="33"/>
  <c r="A4" i="20"/>
  <c r="A4" i="32"/>
  <c r="A4" i="42"/>
  <c r="B4" i="19"/>
  <c r="A4" i="16"/>
  <c r="A5" i="45"/>
  <c r="A5" i="44"/>
  <c r="A5" i="38"/>
  <c r="A5" i="37"/>
  <c r="A4" i="6"/>
  <c r="A4" i="3"/>
  <c r="A4" i="24"/>
  <c r="A4" i="21"/>
  <c r="A4" i="13"/>
  <c r="A4" i="26"/>
  <c r="A4" i="23"/>
  <c r="A3" i="33"/>
  <c r="B3" i="20"/>
  <c r="A4" i="45"/>
  <c r="A3" i="32"/>
  <c r="A3" i="42"/>
  <c r="B3" i="19"/>
  <c r="A3" i="16"/>
  <c r="A3" i="24"/>
  <c r="A4" i="44"/>
  <c r="A4" i="38"/>
  <c r="A4" i="37"/>
  <c r="A3" i="21"/>
  <c r="A3" i="13"/>
  <c r="A3" i="26"/>
  <c r="A3" i="6"/>
  <c r="A3" i="23"/>
  <c r="A3" i="1"/>
  <c r="A3" i="3"/>
  <c r="G19" i="38"/>
  <c r="G20" i="38"/>
  <c r="G21" i="38"/>
  <c r="G22" i="38"/>
  <c r="G23" i="38"/>
  <c r="G24" i="38"/>
  <c r="G25" i="38"/>
  <c r="G26" i="38"/>
  <c r="G27" i="38"/>
  <c r="G28" i="38"/>
  <c r="G29" i="38"/>
  <c r="G30" i="38"/>
  <c r="G31" i="38"/>
  <c r="G18" i="38"/>
  <c r="D39" i="42"/>
  <c r="G39" i="42" s="1"/>
  <c r="D38" i="42"/>
  <c r="G38" i="42" s="1"/>
  <c r="D37" i="42"/>
  <c r="G37" i="42" s="1"/>
  <c r="D10" i="6"/>
  <c r="D8" i="6" s="1"/>
  <c r="F23" i="45"/>
  <c r="H27" i="45" s="1"/>
  <c r="E23" i="45"/>
  <c r="H26" i="45" s="1"/>
  <c r="C23" i="45"/>
  <c r="H24" i="45" s="1"/>
  <c r="B23" i="45"/>
  <c r="H23" i="45" s="1"/>
  <c r="D61" i="1"/>
  <c r="C61" i="1"/>
  <c r="C54" i="1"/>
  <c r="C48" i="1"/>
  <c r="F20" i="20" s="1"/>
  <c r="C34" i="1"/>
  <c r="C30" i="1"/>
  <c r="C44" i="1"/>
  <c r="C9" i="24"/>
  <c r="C29" i="24"/>
  <c r="D54" i="1"/>
  <c r="D48" i="1"/>
  <c r="D34" i="1"/>
  <c r="D30" i="1"/>
  <c r="D44" i="1"/>
  <c r="D20" i="1"/>
  <c r="D17" i="1"/>
  <c r="D8" i="1"/>
  <c r="C20" i="1"/>
  <c r="C17" i="1"/>
  <c r="C8" i="1"/>
  <c r="F12" i="3"/>
  <c r="F13" i="3"/>
  <c r="F11" i="3"/>
  <c r="D13" i="42"/>
  <c r="G13" i="42" s="1"/>
  <c r="D12" i="42"/>
  <c r="G12" i="42" s="1"/>
  <c r="D11" i="42"/>
  <c r="G11" i="42" s="1"/>
  <c r="D22" i="42"/>
  <c r="G22" i="42" s="1"/>
  <c r="D21" i="42"/>
  <c r="D20" i="42"/>
  <c r="G20" i="42" s="1"/>
  <c r="D19" i="42"/>
  <c r="D18" i="42"/>
  <c r="G18" i="42" s="1"/>
  <c r="D17" i="42"/>
  <c r="G17" i="42" s="1"/>
  <c r="D16" i="42"/>
  <c r="G16" i="42" s="1"/>
  <c r="D15" i="42"/>
  <c r="G15" i="42" s="1"/>
  <c r="D26" i="42"/>
  <c r="G26" i="42" s="1"/>
  <c r="D25" i="42"/>
  <c r="G25" i="42" s="1"/>
  <c r="D24" i="42"/>
  <c r="G24" i="42" s="1"/>
  <c r="D29" i="42"/>
  <c r="G29" i="42" s="1"/>
  <c r="D28" i="42"/>
  <c r="D36" i="42"/>
  <c r="D35" i="42" s="1"/>
  <c r="D33" i="42"/>
  <c r="G33" i="42" s="1"/>
  <c r="D32" i="42"/>
  <c r="D31" i="42"/>
  <c r="G31" i="42" s="1"/>
  <c r="D34" i="42"/>
  <c r="G34" i="42" s="1"/>
  <c r="F35" i="42"/>
  <c r="E35" i="42"/>
  <c r="C35" i="42"/>
  <c r="B35" i="42"/>
  <c r="F30" i="42"/>
  <c r="E30" i="42"/>
  <c r="C30" i="42"/>
  <c r="B30" i="42"/>
  <c r="F27" i="42"/>
  <c r="E27" i="42"/>
  <c r="C27" i="42"/>
  <c r="B27" i="42"/>
  <c r="F23" i="42"/>
  <c r="E23" i="42"/>
  <c r="C23" i="42"/>
  <c r="B23" i="42"/>
  <c r="F14" i="42"/>
  <c r="E14" i="42"/>
  <c r="C14" i="42"/>
  <c r="B14" i="42"/>
  <c r="F10" i="42"/>
  <c r="F40" i="42" s="1"/>
  <c r="H44" i="42" s="1"/>
  <c r="E10" i="42"/>
  <c r="C10" i="42"/>
  <c r="B10" i="42"/>
  <c r="B40" i="42"/>
  <c r="H40" i="42" s="1"/>
  <c r="D30" i="24"/>
  <c r="E65" i="23"/>
  <c r="D56" i="23"/>
  <c r="D51" i="23"/>
  <c r="C56" i="23"/>
  <c r="C51" i="23"/>
  <c r="C61" i="23" s="1"/>
  <c r="F16" i="3"/>
  <c r="F17" i="3"/>
  <c r="F18" i="3"/>
  <c r="F19" i="3"/>
  <c r="E31" i="33"/>
  <c r="E30" i="33"/>
  <c r="E29" i="33"/>
  <c r="E28" i="33"/>
  <c r="E27" i="33"/>
  <c r="E26" i="33"/>
  <c r="E25" i="33"/>
  <c r="E24" i="33"/>
  <c r="E23" i="33"/>
  <c r="E22" i="33"/>
  <c r="E11" i="33"/>
  <c r="E12" i="33"/>
  <c r="E13" i="33"/>
  <c r="E14" i="33"/>
  <c r="E15" i="33"/>
  <c r="E16" i="33"/>
  <c r="E17" i="33"/>
  <c r="E18" i="33"/>
  <c r="E19" i="33"/>
  <c r="E10" i="33"/>
  <c r="D32" i="33"/>
  <c r="C32" i="33"/>
  <c r="C20" i="33"/>
  <c r="C33" i="33" s="1"/>
  <c r="D20" i="33"/>
  <c r="E27" i="20"/>
  <c r="D27" i="20"/>
  <c r="C27" i="20"/>
  <c r="D32" i="19"/>
  <c r="D33" i="19" s="1"/>
  <c r="D20" i="19"/>
  <c r="C32" i="19"/>
  <c r="C20" i="19"/>
  <c r="E30" i="16"/>
  <c r="E29" i="16"/>
  <c r="E28" i="16"/>
  <c r="E27" i="16"/>
  <c r="E26" i="16"/>
  <c r="E25" i="16"/>
  <c r="E24" i="16"/>
  <c r="E23" i="16"/>
  <c r="E22" i="16"/>
  <c r="E21" i="16"/>
  <c r="E10" i="16"/>
  <c r="E11" i="16"/>
  <c r="E12" i="16"/>
  <c r="E13" i="16"/>
  <c r="E14" i="16"/>
  <c r="E15" i="16"/>
  <c r="E16" i="16"/>
  <c r="E17" i="16"/>
  <c r="E18" i="16"/>
  <c r="E9" i="16"/>
  <c r="D31" i="16"/>
  <c r="D32" i="16" s="1"/>
  <c r="D19" i="16"/>
  <c r="C31" i="16"/>
  <c r="C19" i="16"/>
  <c r="G11" i="45"/>
  <c r="G13" i="45"/>
  <c r="G15" i="45"/>
  <c r="G17" i="45"/>
  <c r="G19" i="45"/>
  <c r="G21" i="45"/>
  <c r="D11" i="45"/>
  <c r="D12" i="45"/>
  <c r="G12" i="45" s="1"/>
  <c r="D13" i="45"/>
  <c r="D14" i="45"/>
  <c r="G14" i="45"/>
  <c r="D15" i="45"/>
  <c r="D16" i="45"/>
  <c r="G16" i="45" s="1"/>
  <c r="D17" i="45"/>
  <c r="D18" i="45"/>
  <c r="G18" i="45" s="1"/>
  <c r="D19" i="45"/>
  <c r="D20" i="45"/>
  <c r="G20" i="45" s="1"/>
  <c r="D21" i="45"/>
  <c r="D22" i="45"/>
  <c r="G22" i="45"/>
  <c r="D10" i="45"/>
  <c r="G10" i="45" s="1"/>
  <c r="F15" i="44"/>
  <c r="H19" i="44" s="1"/>
  <c r="E15" i="44"/>
  <c r="H18" i="44" s="1"/>
  <c r="C15" i="44"/>
  <c r="H16" i="44" s="1"/>
  <c r="B15" i="44"/>
  <c r="H15" i="44" s="1"/>
  <c r="D11" i="44"/>
  <c r="G11" i="44"/>
  <c r="D12" i="44"/>
  <c r="G12" i="44" s="1"/>
  <c r="D13" i="44"/>
  <c r="G13" i="44" s="1"/>
  <c r="D10" i="44"/>
  <c r="G10" i="44" s="1"/>
  <c r="E32" i="38"/>
  <c r="H35" i="38" s="1"/>
  <c r="F27" i="6"/>
  <c r="G27" i="6" s="1"/>
  <c r="F28" i="6"/>
  <c r="G28" i="6" s="1"/>
  <c r="F26" i="6"/>
  <c r="G26" i="6" s="1"/>
  <c r="F25" i="6"/>
  <c r="G25" i="6" s="1"/>
  <c r="F24" i="6"/>
  <c r="G24" i="6" s="1"/>
  <c r="F23" i="6"/>
  <c r="G23" i="6" s="1"/>
  <c r="F22" i="6"/>
  <c r="G22" i="6" s="1"/>
  <c r="F21" i="6"/>
  <c r="G21" i="6" s="1"/>
  <c r="F20" i="6"/>
  <c r="G20" i="6" s="1"/>
  <c r="F12" i="6"/>
  <c r="G12" i="6" s="1"/>
  <c r="F13" i="6"/>
  <c r="G13" i="6" s="1"/>
  <c r="F14" i="6"/>
  <c r="G14" i="6" s="1"/>
  <c r="F15" i="6"/>
  <c r="G15" i="6" s="1"/>
  <c r="F16" i="6"/>
  <c r="G16" i="6" s="1"/>
  <c r="F17" i="6"/>
  <c r="G17" i="6" s="1"/>
  <c r="F11" i="6"/>
  <c r="G11" i="6" s="1"/>
  <c r="F15" i="37"/>
  <c r="H29" i="37" s="1"/>
  <c r="E15" i="37"/>
  <c r="H28" i="37" s="1"/>
  <c r="C15" i="37"/>
  <c r="H26" i="37" s="1"/>
  <c r="B15" i="37"/>
  <c r="H15" i="37" s="1"/>
  <c r="D13" i="37"/>
  <c r="G13" i="37" s="1"/>
  <c r="D12" i="37"/>
  <c r="G12" i="37" s="1"/>
  <c r="D11" i="37"/>
  <c r="G11" i="37" s="1"/>
  <c r="D10" i="37"/>
  <c r="G10" i="37" s="1"/>
  <c r="D9" i="37"/>
  <c r="G9" i="37" s="1"/>
  <c r="D9" i="21"/>
  <c r="D17" i="21"/>
  <c r="E10" i="6"/>
  <c r="C10" i="6"/>
  <c r="F32" i="3"/>
  <c r="F31" i="3"/>
  <c r="F30" i="3"/>
  <c r="F29" i="3"/>
  <c r="F26" i="3"/>
  <c r="F25" i="3"/>
  <c r="F24" i="3"/>
  <c r="D40" i="23"/>
  <c r="D44" i="23"/>
  <c r="D48" i="23" s="1"/>
  <c r="D61" i="23"/>
  <c r="D8" i="23"/>
  <c r="D20" i="23"/>
  <c r="C40" i="23"/>
  <c r="C44" i="23"/>
  <c r="C8" i="23"/>
  <c r="C20" i="23"/>
  <c r="G19" i="42"/>
  <c r="G32" i="42"/>
  <c r="F18" i="55"/>
  <c r="G10" i="62"/>
  <c r="D10" i="62"/>
  <c r="D47" i="62"/>
  <c r="I9" i="52"/>
  <c r="I19" i="52" s="1"/>
  <c r="H9" i="52"/>
  <c r="H19" i="52" s="1"/>
  <c r="F80" i="55"/>
  <c r="G20" i="52"/>
  <c r="G36" i="42"/>
  <c r="G35" i="42" s="1"/>
  <c r="F31" i="55"/>
  <c r="G28" i="42"/>
  <c r="F50" i="55"/>
  <c r="F70" i="55" s="1"/>
  <c r="G20" i="53"/>
  <c r="J20" i="53"/>
  <c r="K14" i="53"/>
  <c r="E44" i="55"/>
  <c r="G72" i="51"/>
  <c r="G46" i="51"/>
  <c r="G57" i="51" s="1"/>
  <c r="I50" i="55"/>
  <c r="I80" i="55"/>
  <c r="D23" i="45"/>
  <c r="H25" i="45" s="1"/>
  <c r="D23" i="42"/>
  <c r="D64" i="1"/>
  <c r="D27" i="1"/>
  <c r="G10" i="52"/>
  <c r="J11" i="52" s="1"/>
  <c r="D60" i="54"/>
  <c r="D68" i="54" s="1"/>
  <c r="D70" i="54" s="1"/>
  <c r="E9" i="52"/>
  <c r="E19" i="52" s="1"/>
  <c r="F10" i="62"/>
  <c r="G47" i="62"/>
  <c r="C10" i="62"/>
  <c r="C49" i="54"/>
  <c r="G24" i="61"/>
  <c r="D30" i="42"/>
  <c r="H44" i="62"/>
  <c r="E41" i="62"/>
  <c r="H51" i="62"/>
  <c r="E48" i="62"/>
  <c r="H61" i="62"/>
  <c r="E58" i="62"/>
  <c r="D49" i="54"/>
  <c r="C46" i="51"/>
  <c r="C59" i="51" s="1"/>
  <c r="E66" i="62"/>
  <c r="E70" i="55"/>
  <c r="I20" i="53"/>
  <c r="I31" i="55"/>
  <c r="I18" i="55"/>
  <c r="G21" i="42"/>
  <c r="D14" i="42"/>
  <c r="C32" i="16"/>
  <c r="D27" i="42"/>
  <c r="G24" i="65"/>
  <c r="G30" i="65"/>
  <c r="D10" i="42" l="1"/>
  <c r="C60" i="54"/>
  <c r="C68" i="54" s="1"/>
  <c r="C70" i="54" s="1"/>
  <c r="D64" i="54"/>
  <c r="E60" i="54"/>
  <c r="E68" i="54" s="1"/>
  <c r="E70" i="54" s="1"/>
  <c r="D82" i="54"/>
  <c r="B20" i="53"/>
  <c r="H20" i="53"/>
  <c r="E86" i="54"/>
  <c r="E88" i="54" s="1"/>
  <c r="C47" i="62"/>
  <c r="H58" i="62"/>
  <c r="H21" i="62"/>
  <c r="G14" i="52"/>
  <c r="J15" i="52" s="1"/>
  <c r="G24" i="52"/>
  <c r="I59" i="55"/>
  <c r="I64" i="55"/>
  <c r="D15" i="54"/>
  <c r="D23" i="54" s="1"/>
  <c r="D25" i="54" s="1"/>
  <c r="D27" i="54" s="1"/>
  <c r="D36" i="54" s="1"/>
  <c r="G10" i="61"/>
  <c r="H31" i="61"/>
  <c r="E23" i="54"/>
  <c r="E25" i="54" s="1"/>
  <c r="E27" i="54" s="1"/>
  <c r="E36" i="54" s="1"/>
  <c r="C38" i="24"/>
  <c r="D83" i="62"/>
  <c r="I84" i="62" s="1"/>
  <c r="C83" i="62"/>
  <c r="I83" i="62" s="1"/>
  <c r="E21" i="62"/>
  <c r="H42" i="67"/>
  <c r="K8" i="53"/>
  <c r="F19" i="6"/>
  <c r="H19" i="6" s="1"/>
  <c r="C8" i="6"/>
  <c r="C37" i="23"/>
  <c r="C34" i="3"/>
  <c r="B46" i="51"/>
  <c r="B59" i="51" s="1"/>
  <c r="G73" i="51"/>
  <c r="D37" i="23"/>
  <c r="D63" i="23" s="1"/>
  <c r="D66" i="23" s="1"/>
  <c r="G14" i="42"/>
  <c r="C64" i="1"/>
  <c r="D38" i="24" s="1"/>
  <c r="D86" i="54"/>
  <c r="D88" i="54" s="1"/>
  <c r="F33" i="2"/>
  <c r="F72" i="51"/>
  <c r="F46" i="51"/>
  <c r="F57" i="51" s="1"/>
  <c r="F28" i="3"/>
  <c r="F10" i="3"/>
  <c r="F24" i="67"/>
  <c r="D6" i="21" s="1"/>
  <c r="G24" i="67"/>
  <c r="D29" i="67"/>
  <c r="D51" i="67" s="1"/>
  <c r="F29" i="67"/>
  <c r="F51" i="67" s="1"/>
  <c r="G28" i="65"/>
  <c r="E32" i="33"/>
  <c r="F40" i="55"/>
  <c r="G50" i="2"/>
  <c r="D40" i="42"/>
  <c r="H42" i="42" s="1"/>
  <c r="K20" i="53"/>
  <c r="G19" i="6"/>
  <c r="C48" i="23"/>
  <c r="C63" i="23" s="1"/>
  <c r="C66" i="23" s="1"/>
  <c r="E66" i="23" s="1"/>
  <c r="C20" i="53"/>
  <c r="C33" i="2"/>
  <c r="H59" i="51" s="1"/>
  <c r="G33" i="2"/>
  <c r="G52" i="2" s="1"/>
  <c r="H73" i="51" s="1"/>
  <c r="D32" i="38"/>
  <c r="C31" i="61"/>
  <c r="H32" i="61" s="1"/>
  <c r="F47" i="62"/>
  <c r="F83" i="62" s="1"/>
  <c r="I86" i="62" s="1"/>
  <c r="G16" i="65"/>
  <c r="D28" i="65"/>
  <c r="C24" i="67"/>
  <c r="C29" i="67"/>
  <c r="C51" i="67" s="1"/>
  <c r="F9" i="20" s="1"/>
  <c r="G29" i="67"/>
  <c r="H50" i="72"/>
  <c r="E11" i="62"/>
  <c r="C23" i="54"/>
  <c r="C25" i="54" s="1"/>
  <c r="C27" i="54" s="1"/>
  <c r="C36" i="54" s="1"/>
  <c r="E49" i="54"/>
  <c r="C78" i="54"/>
  <c r="C86" i="54" s="1"/>
  <c r="C88" i="54" s="1"/>
  <c r="D15" i="44"/>
  <c r="D10" i="61"/>
  <c r="E75" i="55"/>
  <c r="F15" i="3"/>
  <c r="D66" i="1"/>
  <c r="G23" i="45"/>
  <c r="H28" i="45" s="1"/>
  <c r="G83" i="62"/>
  <c r="I87" i="62" s="1"/>
  <c r="G30" i="42"/>
  <c r="H41" i="62"/>
  <c r="H48" i="62"/>
  <c r="G27" i="42"/>
  <c r="B33" i="2"/>
  <c r="H60" i="51" s="1"/>
  <c r="H77" i="62"/>
  <c r="A5" i="71"/>
  <c r="F32" i="65"/>
  <c r="G22" i="61"/>
  <c r="G21" i="61" s="1"/>
  <c r="G31" i="61" s="1"/>
  <c r="D21" i="61"/>
  <c r="E77" i="62"/>
  <c r="E47" i="62" s="1"/>
  <c r="E19" i="16"/>
  <c r="C15" i="20"/>
  <c r="C19" i="20" s="1"/>
  <c r="C21" i="20" s="1"/>
  <c r="H31" i="62"/>
  <c r="H30" i="62" s="1"/>
  <c r="E30" i="62"/>
  <c r="E8" i="6"/>
  <c r="E31" i="16"/>
  <c r="C40" i="42"/>
  <c r="H41" i="42" s="1"/>
  <c r="G10" i="42"/>
  <c r="F20" i="53"/>
  <c r="F31" i="61"/>
  <c r="H35" i="61" s="1"/>
  <c r="F11" i="54"/>
  <c r="F12" i="54"/>
  <c r="D21" i="65"/>
  <c r="C9" i="52"/>
  <c r="C19" i="52" s="1"/>
  <c r="J21" i="52" s="1"/>
  <c r="E21" i="3"/>
  <c r="E34" i="3" s="1"/>
  <c r="G51" i="67"/>
  <c r="E40" i="42"/>
  <c r="H43" i="42" s="1"/>
  <c r="D70" i="55"/>
  <c r="D20" i="53"/>
  <c r="G44" i="55"/>
  <c r="F10" i="54"/>
  <c r="F15" i="54"/>
  <c r="F17" i="54"/>
  <c r="E36" i="67"/>
  <c r="E29" i="67" s="1"/>
  <c r="H33" i="67"/>
  <c r="C33" i="19"/>
  <c r="C27" i="1"/>
  <c r="C66" i="1" s="1"/>
  <c r="E66" i="1" s="1"/>
  <c r="G70" i="55"/>
  <c r="H70" i="55"/>
  <c r="H44" i="55"/>
  <c r="E31" i="61"/>
  <c r="D44" i="55"/>
  <c r="C32" i="65"/>
  <c r="B32" i="65"/>
  <c r="E32" i="65"/>
  <c r="E42" i="67"/>
  <c r="H36" i="67"/>
  <c r="H25" i="67"/>
  <c r="F10" i="6"/>
  <c r="H10" i="6" s="1"/>
  <c r="G9" i="52"/>
  <c r="G19" i="52" s="1"/>
  <c r="J20" i="52" s="1"/>
  <c r="D33" i="33"/>
  <c r="E20" i="33"/>
  <c r="E33" i="33" s="1"/>
  <c r="F44" i="55"/>
  <c r="F75" i="55" s="1"/>
  <c r="H66" i="62"/>
  <c r="G9" i="65"/>
  <c r="B34" i="3"/>
  <c r="E24" i="67"/>
  <c r="D23" i="21"/>
  <c r="I70" i="55"/>
  <c r="D15" i="37"/>
  <c r="H27" i="37" s="1"/>
  <c r="G23" i="42"/>
  <c r="G40" i="42" s="1"/>
  <c r="H45" i="42" s="1"/>
  <c r="I44" i="55"/>
  <c r="D16" i="65"/>
  <c r="D9" i="65" s="1"/>
  <c r="D32" i="65" s="1"/>
  <c r="H13" i="67"/>
  <c r="G23" i="65"/>
  <c r="G21" i="65" s="1"/>
  <c r="E16" i="67"/>
  <c r="H13" i="62"/>
  <c r="H11" i="62" s="1"/>
  <c r="F34" i="3" l="1"/>
  <c r="G34" i="3" s="1"/>
  <c r="H29" i="67"/>
  <c r="H51" i="67" s="1"/>
  <c r="E23" i="21"/>
  <c r="H24" i="67"/>
  <c r="F16" i="54"/>
  <c r="I75" i="55"/>
  <c r="J85" i="55" s="1"/>
  <c r="H75" i="55"/>
  <c r="J90" i="55" s="1"/>
  <c r="E6" i="21"/>
  <c r="H52" i="67"/>
  <c r="H53" i="2"/>
  <c r="G32" i="65"/>
  <c r="D75" i="55"/>
  <c r="J80" i="55" s="1"/>
  <c r="E10" i="62"/>
  <c r="E83" i="62" s="1"/>
  <c r="I85" i="62" s="1"/>
  <c r="F21" i="3"/>
  <c r="G21" i="3" s="1"/>
  <c r="F73" i="51"/>
  <c r="E51" i="67"/>
  <c r="J88" i="55" s="1"/>
  <c r="G75" i="55"/>
  <c r="F52" i="2"/>
  <c r="H52" i="2" s="1"/>
  <c r="G39" i="75"/>
  <c r="H34" i="38"/>
  <c r="G32" i="38"/>
  <c r="H37" i="38" s="1"/>
  <c r="H17" i="44"/>
  <c r="G15" i="44"/>
  <c r="J84" i="55"/>
  <c r="J86" i="55"/>
  <c r="H10" i="62"/>
  <c r="J91" i="55"/>
  <c r="I47" i="55"/>
  <c r="E32" i="16"/>
  <c r="H47" i="62"/>
  <c r="D31" i="61"/>
  <c r="J82" i="55"/>
  <c r="J81" i="55"/>
  <c r="J87" i="55"/>
  <c r="J89" i="55"/>
  <c r="J83" i="55"/>
  <c r="G15" i="37"/>
  <c r="H30" i="37" s="1"/>
  <c r="F8" i="6"/>
  <c r="H8" i="6" s="1"/>
  <c r="G10" i="6"/>
  <c r="G8" i="6" s="1"/>
  <c r="H83" i="62" l="1"/>
  <c r="I88" i="62" s="1"/>
  <c r="H74" i="51"/>
  <c r="H36" i="61"/>
  <c r="H33" i="61"/>
  <c r="H34" i="61"/>
  <c r="H22" i="44"/>
  <c r="H20" i="44"/>
</calcChain>
</file>

<file path=xl/comments1.xml><?xml version="1.0" encoding="utf-8"?>
<comments xmlns="http://schemas.openxmlformats.org/spreadsheetml/2006/main">
  <authors>
    <author>Claudia</author>
  </authors>
  <commentList>
    <comment ref="C66" authorId="0">
      <text>
        <r>
          <rPr>
            <b/>
            <sz val="9"/>
            <color indexed="81"/>
            <rFont val="Tahoma"/>
            <family val="2"/>
          </rPr>
          <t>EVALUACIÓN:
VERIFICAR QUE COINCIDA EL MONTO CON LO REPORTADO EN EL FORMATO ETCA-I-01 EN EL EJERCICIO ACTUAL.</t>
        </r>
        <r>
          <rPr>
            <sz val="9"/>
            <color indexed="81"/>
            <rFont val="Tahoma"/>
            <family val="2"/>
          </rPr>
          <t xml:space="preserve">
</t>
        </r>
      </text>
    </comment>
  </commentList>
</comments>
</file>

<file path=xl/comments2.xml><?xml version="1.0" encoding="utf-8"?>
<comments xmlns="http://schemas.openxmlformats.org/spreadsheetml/2006/main">
  <authors>
    <author>Claudia</author>
  </authors>
  <commentList>
    <comment ref="B34" authorId="0">
      <text>
        <r>
          <rPr>
            <b/>
            <sz val="9"/>
            <color indexed="81"/>
            <rFont val="Tahoma"/>
            <family val="2"/>
          </rPr>
          <t>Evaluación:
Verificar que coincida este monto con lo reportado en el formato ETCA-I-01 en el ejercicio acual en el mismo rubro</t>
        </r>
      </text>
    </comment>
    <comment ref="C34" authorId="0">
      <text>
        <r>
          <rPr>
            <b/>
            <sz val="9"/>
            <color indexed="81"/>
            <rFont val="Tahoma"/>
            <family val="2"/>
          </rPr>
          <t>Evaluación:
Verificar que coincida este monto con lo reportado en el formato ETCA-I-01 en el ejercicio actual en el mismo rubro</t>
        </r>
        <r>
          <rPr>
            <sz val="9"/>
            <color indexed="81"/>
            <rFont val="Tahoma"/>
            <family val="2"/>
          </rPr>
          <t xml:space="preserve">
</t>
        </r>
      </text>
    </comment>
    <comment ref="D34" authorId="0">
      <text>
        <r>
          <rPr>
            <b/>
            <sz val="9"/>
            <color indexed="81"/>
            <rFont val="Tahoma"/>
            <family val="2"/>
          </rPr>
          <t>Evaluación:
Verificar que coincida este monto con lo reportado en el formato ETCA-I-01 en el ejercicio actual en el mismo rubro</t>
        </r>
        <r>
          <rPr>
            <sz val="9"/>
            <color indexed="81"/>
            <rFont val="Tahoma"/>
            <family val="2"/>
          </rPr>
          <t xml:space="preserve">
</t>
        </r>
      </text>
    </comment>
  </commentList>
</comments>
</file>

<file path=xl/comments3.xml><?xml version="1.0" encoding="utf-8"?>
<comments xmlns="http://schemas.openxmlformats.org/spreadsheetml/2006/main">
  <authors>
    <author>Claudia</author>
  </authors>
  <commentList>
    <comment ref="F10" authorId="0">
      <text>
        <r>
          <rPr>
            <b/>
            <sz val="9"/>
            <color indexed="81"/>
            <rFont val="Tahoma"/>
            <family val="2"/>
          </rPr>
          <t>Evaluación:
Verificar que coincida este monto con lo reportado en el formato ETCA-I-01 en el ejercicio actual en el mismo rubro</t>
        </r>
      </text>
    </comment>
    <comment ref="F19" authorId="0">
      <text>
        <r>
          <rPr>
            <b/>
            <sz val="9"/>
            <color indexed="81"/>
            <rFont val="Tahoma"/>
            <family val="2"/>
          </rPr>
          <t>Evaluación:
Verificar que coincida este monto con lo reportado en el formato ETCA-I-01 en el ejercicio actual en el mismo rubro</t>
        </r>
      </text>
    </comment>
  </commentList>
</comments>
</file>

<file path=xl/comments4.xml><?xml version="1.0" encoding="utf-8"?>
<comments xmlns="http://schemas.openxmlformats.org/spreadsheetml/2006/main">
  <authors>
    <author>Claudia</author>
  </authors>
  <commentList>
    <comment ref="F39" authorId="0">
      <text>
        <r>
          <rPr>
            <b/>
            <sz val="9"/>
            <color indexed="81"/>
            <rFont val="Tahoma"/>
            <family val="2"/>
          </rPr>
          <t>Evaluación:
Verificar que coincida este monto con lo reportado en el formato ETCA-I-01 en el ejercicio actual Total de Pasivo</t>
        </r>
      </text>
    </comment>
  </commentList>
</comments>
</file>

<file path=xl/comments5.xml><?xml version="1.0" encoding="utf-8"?>
<comments xmlns="http://schemas.openxmlformats.org/spreadsheetml/2006/main">
  <authors>
    <author>Claudia</author>
  </authors>
  <commentList>
    <comment ref="G25" authorId="0">
      <text>
        <r>
          <rPr>
            <b/>
            <sz val="9"/>
            <color indexed="81"/>
            <rFont val="Tahoma"/>
            <family val="2"/>
          </rPr>
          <t xml:space="preserve">Evaluación:
</t>
        </r>
        <r>
          <rPr>
            <sz val="9"/>
            <color indexed="81"/>
            <rFont val="Tahoma"/>
            <family val="2"/>
          </rPr>
          <t xml:space="preserve">Total Ingreso Recaudado Anual - Total Ingreso Estimado Anual
</t>
        </r>
      </text>
    </comment>
    <comment ref="G52" authorId="0">
      <text>
        <r>
          <rPr>
            <b/>
            <sz val="9"/>
            <color indexed="81"/>
            <rFont val="Tahoma"/>
            <family val="2"/>
          </rPr>
          <t>Evaluación:
Total Ingreso Recaudado Anual - Total Ingreso Estimado Anual</t>
        </r>
      </text>
    </comment>
  </commentList>
</comments>
</file>

<file path=xl/comments6.xml><?xml version="1.0" encoding="utf-8"?>
<comments xmlns="http://schemas.openxmlformats.org/spreadsheetml/2006/main">
  <authors>
    <author>Claudia</author>
  </authors>
  <commentList>
    <comment ref="D6" authorId="0">
      <text>
        <r>
          <rPr>
            <b/>
            <sz val="9"/>
            <color indexed="81"/>
            <rFont val="Tahoma"/>
            <family val="2"/>
          </rPr>
          <t>EVALUACIÓN:
VERIFICA QUE COINCIDAN LAS CANTIDADES  DE TOTAL DE INGRESOS CON LO REPORTADO EN EL FORMATO ETCA-II-01 EN EL TOTAL DE LA COLUMNA DE TOTAL DE INGRESOS DEVENGADO ANUAL (4)</t>
        </r>
        <r>
          <rPr>
            <sz val="9"/>
            <color indexed="81"/>
            <rFont val="Tahoma"/>
            <family val="2"/>
          </rPr>
          <t xml:space="preserve">
</t>
        </r>
      </text>
    </comment>
    <comment ref="D23" authorId="0">
      <text>
        <r>
          <rPr>
            <b/>
            <sz val="9"/>
            <color indexed="81"/>
            <rFont val="Tahoma"/>
            <family val="2"/>
          </rPr>
          <t>EVALUACIÓN:
VERIFICA QUE COINCIDAN LAS CANTIDADES  DE TOTAL DE INGRESOS CON LO REPORTADO EN EL FORMATO ETCA-I-03 EN EL MISMO RUBRO</t>
        </r>
      </text>
    </comment>
  </commentList>
</comments>
</file>

<file path=xl/comments7.xml><?xml version="1.0" encoding="utf-8"?>
<comments xmlns="http://schemas.openxmlformats.org/spreadsheetml/2006/main">
  <authors>
    <author>Claudia</author>
  </authors>
  <commentList>
    <comment ref="C6" authorId="0">
      <text>
        <r>
          <rPr>
            <b/>
            <sz val="9"/>
            <color indexed="81"/>
            <rFont val="Tahoma"/>
            <family val="2"/>
          </rPr>
          <t>EVALUACIÓN:
VERIFICA QUE COINCIDAN LAS CANTIDADES  DE TOTAL DE EGRESOS CON LO REPORTADO EN EL FORMATO ETCA-II-04 EN EL TOTAL DE LA COLUMNA DE EGRESOS DEVENGADO ANUAL.</t>
        </r>
      </text>
    </comment>
    <comment ref="C38" authorId="0">
      <text>
        <r>
          <rPr>
            <b/>
            <sz val="9"/>
            <color indexed="81"/>
            <rFont val="Tahoma"/>
            <family val="2"/>
          </rPr>
          <t>EVALUACIÓN:
VERIFICA QUE COINCIDAN LAS CANTIDADES  DEL TOTAL GASTO CONTABLE CON LO REPORTADO EN EL FORMATO ETCA-I-03 EN EL TOTAL DE GASTOS Y OTRAS PÉRDIDAS</t>
        </r>
        <r>
          <rPr>
            <sz val="9"/>
            <color indexed="81"/>
            <rFont val="Tahoma"/>
            <family val="2"/>
          </rPr>
          <t xml:space="preserve">
</t>
        </r>
      </text>
    </comment>
  </commentList>
</comments>
</file>

<file path=xl/sharedStrings.xml><?xml version="1.0" encoding="utf-8"?>
<sst xmlns="http://schemas.openxmlformats.org/spreadsheetml/2006/main" count="2461" uniqueCount="1524">
  <si>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</si>
  <si>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</si>
  <si>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</si>
  <si>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</si>
  <si>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</si>
  <si>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</si>
  <si>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</si>
  <si>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</si>
  <si>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</si>
  <si>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</si>
  <si>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</si>
  <si>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</si>
  <si>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</si>
  <si>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</si>
  <si>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</si>
  <si>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</si>
  <si>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</si>
  <si>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</si>
  <si>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</si>
  <si>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</si>
  <si>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</si>
  <si>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Relación de Bienes que Componen su Patrimonio</t>
  </si>
  <si>
    <t>Relación de esquemas bursátiles y de coberturas financieras</t>
  </si>
  <si>
    <t>Anexo</t>
  </si>
  <si>
    <t>Análisis de variaciones Programático-Presupuestal</t>
  </si>
  <si>
    <t>Sistema Estatal de Evaluación</t>
  </si>
  <si>
    <t>Estado de Situación Financiera</t>
  </si>
  <si>
    <t xml:space="preserve">                                                                                                                                                                                      (PESOS)</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</si>
  <si>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</si>
  <si>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</si>
  <si>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</si>
  <si>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</si>
  <si>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</si>
  <si>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</si>
  <si>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</si>
  <si>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</si>
  <si>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</si>
  <si>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</si>
  <si>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</si>
  <si>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</si>
  <si>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</si>
  <si>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</si>
  <si>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</si>
  <si>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</si>
  <si>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</si>
  <si>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</si>
  <si>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</si>
  <si>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</si>
  <si>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</si>
  <si>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</si>
  <si>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</si>
  <si>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</si>
  <si>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</si>
  <si>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</si>
  <si>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</si>
  <si>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</si>
  <si>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</si>
  <si>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</si>
  <si>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</si>
  <si>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</si>
  <si>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</si>
  <si>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</si>
  <si>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</si>
  <si>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</si>
  <si>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</si>
  <si>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</si>
  <si>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</si>
  <si>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</si>
  <si>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</si>
  <si>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</si>
  <si>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</si>
  <si>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</si>
  <si>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</si>
  <si>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</si>
  <si>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</si>
  <si>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</si>
  <si>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</si>
  <si>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</si>
  <si>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</si>
  <si>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</si>
  <si>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</si>
  <si>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</si>
  <si>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</si>
  <si>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</si>
  <si>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</si>
  <si>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</si>
  <si>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</si>
  <si>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</si>
  <si>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</si>
  <si>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</si>
  <si>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</si>
  <si>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</si>
  <si>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</si>
  <si>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</si>
  <si>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</si>
  <si>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</si>
  <si>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</si>
  <si>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</si>
  <si>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</si>
  <si>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</si>
  <si>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</si>
  <si>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</si>
  <si>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</si>
  <si>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</si>
  <si>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</si>
  <si>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</si>
  <si>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</si>
  <si>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</si>
  <si>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</si>
  <si>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</si>
  <si>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</si>
  <si>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</si>
  <si>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</si>
  <si>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</si>
  <si>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</si>
  <si>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</si>
  <si>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</si>
  <si>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</si>
  <si>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</si>
  <si>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</si>
  <si>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</si>
  <si>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</si>
  <si>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</si>
  <si>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</si>
  <si>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</si>
  <si>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</si>
  <si>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</si>
  <si>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</si>
  <si>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</si>
  <si>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</si>
  <si>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</si>
  <si>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</si>
  <si>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</si>
  <si>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</si>
  <si>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</si>
  <si>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</si>
  <si>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</si>
  <si>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</si>
  <si>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</si>
  <si>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</si>
  <si>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</si>
  <si>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</si>
  <si>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</si>
  <si>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</si>
  <si>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</si>
  <si>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</si>
  <si>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</si>
  <si>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</si>
  <si>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</si>
  <si>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</si>
  <si>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</si>
  <si>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</si>
  <si>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</si>
  <si>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</si>
  <si>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</si>
  <si>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</si>
  <si>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</si>
  <si>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</si>
  <si>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</si>
  <si>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</si>
  <si>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</si>
  <si>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</si>
  <si>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</si>
  <si>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</si>
  <si>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</si>
  <si>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</si>
  <si>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</si>
  <si>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</si>
  <si>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</si>
  <si>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</si>
  <si>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</si>
  <si>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</si>
  <si>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</si>
  <si>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</si>
  <si>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</si>
  <si>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</si>
  <si>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</si>
  <si>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</si>
  <si>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</si>
  <si>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</si>
  <si>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</si>
  <si>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</si>
  <si>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</si>
  <si>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</si>
  <si>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</si>
  <si>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</si>
  <si>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</si>
  <si>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</si>
  <si>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</si>
  <si>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</si>
  <si>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</si>
  <si>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</si>
  <si>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</si>
  <si>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</si>
  <si>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</si>
  <si>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</si>
  <si>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</si>
  <si>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</si>
  <si>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</si>
  <si>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</si>
  <si>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</si>
  <si>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</si>
  <si>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 xml:space="preserve">                                                                    (PESOS)</t>
  </si>
  <si>
    <t>INGRESOS Y OTROS BENEFICIOS</t>
  </si>
  <si>
    <t>Ingresos de la Gestión:</t>
  </si>
  <si>
    <t>Impuestos</t>
  </si>
  <si>
    <t>Cuotas y Aportaciones de Seguridad Social</t>
  </si>
  <si>
    <t xml:space="preserve">Contribuciones de Mejoras </t>
  </si>
  <si>
    <t>Derechos</t>
  </si>
  <si>
    <r>
      <t>Productos de Tipo Corriente</t>
    </r>
    <r>
      <rPr>
        <b/>
        <vertAlign val="superscript"/>
        <sz val="12"/>
        <color theme="1"/>
        <rFont val="Arial Narrow"/>
        <family val="2"/>
      </rPr>
      <t>1</t>
    </r>
  </si>
  <si>
    <t>Aprovechamientos de Tipo Corriente</t>
  </si>
  <si>
    <t>Ingresos por Venta de Bienes y Servicios</t>
  </si>
  <si>
    <t>Ingresos no Comprendidos en las Fracciones de la Ley de Ingresos Causados en Ejercicios Fiscales Anteriores Pendientes de Liquidación o Pago</t>
  </si>
  <si>
    <t>Participaciones, Aportaciones, Transferencias, Asignaciones, Subsidios y Otras Ayudas</t>
  </si>
  <si>
    <t>Participaciones y Aportaciones</t>
  </si>
  <si>
    <t>Transferencia, Asignaciones, Subsidios y Otras Ayudas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</si>
  <si>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</si>
  <si>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</si>
  <si>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</si>
  <si>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</si>
  <si>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</si>
  <si>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</si>
  <si>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</si>
  <si>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</si>
  <si>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</si>
  <si>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</si>
  <si>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</si>
  <si>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</si>
  <si>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</si>
  <si>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</si>
  <si>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</si>
  <si>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</si>
  <si>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</si>
  <si>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</si>
  <si>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</si>
  <si>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</si>
  <si>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</si>
  <si>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</si>
  <si>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</si>
  <si>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</si>
  <si>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</si>
  <si>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</si>
  <si>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</si>
  <si>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</si>
  <si>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</si>
  <si>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</si>
  <si>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</si>
  <si>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</si>
  <si>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</si>
  <si>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</si>
  <si>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</si>
  <si>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</si>
  <si>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</si>
  <si>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</si>
  <si>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</si>
  <si>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</si>
  <si>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</si>
  <si>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</si>
  <si>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</si>
  <si>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</si>
  <si>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 xml:space="preserve">                                                                                                                                       (PESOS)</t>
  </si>
  <si>
    <t>Concepto</t>
  </si>
  <si>
    <t>Hacienda Pública / Patrimonio Contribuido</t>
  </si>
  <si>
    <t>Hacienda Pública / Patrimonio Generado de Ejercicio Anteriores</t>
  </si>
  <si>
    <t>Hacienda Pública / Patrimonio Generado del Ejercicio</t>
  </si>
  <si>
    <t>Ajustes por Cambios de Valor</t>
  </si>
  <si>
    <t>Total</t>
  </si>
  <si>
    <t>Patrimonio Neto Inicial Ajustado del Ejercicio</t>
  </si>
  <si>
    <t>Variaciones de la Hacienda Pública / Patrimonio Neto del Ejercicio</t>
  </si>
  <si>
    <t>Origen</t>
  </si>
  <si>
    <t>Aplicación</t>
  </si>
  <si>
    <t>Activo</t>
  </si>
  <si>
    <t>Inventario</t>
  </si>
  <si>
    <t>Pasivo</t>
  </si>
  <si>
    <t>HACIENDA PUBLICA/PATRIMONIO</t>
  </si>
  <si>
    <t>Excesos o Insuficiencia en la Actualización de la Hacienda Pública/Patrimonio</t>
  </si>
  <si>
    <t xml:space="preserve">                                                        (PESOS)</t>
  </si>
  <si>
    <t xml:space="preserve">Flujos de Efectivo de las Actividades de Operación </t>
  </si>
  <si>
    <t>Contribuciones de mejoras</t>
  </si>
  <si>
    <t>Productos de Tipo Corriente</t>
  </si>
  <si>
    <t>Transferencias, Asignaciones y Subsidios y Otras Ayudas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</si>
  <si>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</si>
  <si>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</si>
  <si>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</si>
  <si>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</si>
  <si>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</si>
  <si>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</si>
  <si>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</si>
  <si>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</si>
  <si>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</si>
  <si>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</si>
  <si>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</si>
  <si>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</si>
  <si>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Interno</t>
  </si>
  <si>
    <t>Externo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</si>
  <si>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</si>
  <si>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</si>
  <si>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</si>
  <si>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</si>
  <si>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</si>
  <si>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</si>
  <si>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</si>
  <si>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 xml:space="preserve">       (PESOS)</t>
  </si>
  <si>
    <t>Saldo
Inicial
1</t>
  </si>
  <si>
    <t>Cargos del Periodo
2</t>
  </si>
  <si>
    <t>Abonos del Periodo
3</t>
  </si>
  <si>
    <t>Saldo
Final
4 (1+2-3)</t>
  </si>
  <si>
    <t>Variación del Periodo
(4-1)</t>
  </si>
  <si>
    <t xml:space="preserve">     (PESOS)</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</si>
  <si>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</si>
  <si>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</si>
  <si>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</si>
  <si>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</si>
  <si>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</si>
  <si>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</si>
  <si>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</si>
  <si>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</si>
  <si>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</si>
  <si>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</si>
  <si>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</si>
  <si>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</si>
  <si>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</si>
  <si>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</si>
  <si>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</si>
  <si>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</si>
  <si>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</si>
  <si>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</si>
  <si>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</si>
  <si>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</si>
  <si>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</si>
  <si>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</si>
  <si>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</si>
  <si>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</si>
  <si>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</si>
  <si>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</si>
  <si>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</si>
  <si>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</si>
  <si>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al 31 de diciembre de 2015(d)</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</si>
  <si>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</si>
  <si>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</si>
  <si>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</si>
  <si>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</si>
  <si>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</si>
  <si>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</si>
  <si>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</si>
  <si>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</si>
  <si>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</si>
  <si>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</si>
  <si>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</si>
  <si>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</si>
  <si>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</si>
  <si>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</si>
  <si>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</si>
  <si>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</si>
  <si>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</si>
  <si>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</si>
  <si>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</si>
  <si>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</si>
  <si>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</si>
  <si>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</si>
  <si>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</si>
  <si>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</si>
  <si>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</si>
  <si>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</si>
  <si>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</si>
  <si>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</si>
  <si>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</si>
  <si>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</si>
  <si>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</si>
  <si>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</si>
  <si>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</si>
  <si>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</si>
  <si>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</si>
  <si>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</si>
  <si>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</si>
  <si>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</si>
  <si>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</si>
  <si>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</si>
  <si>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</si>
  <si>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</si>
  <si>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</si>
  <si>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</si>
  <si>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</si>
  <si>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</si>
  <si>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</si>
  <si>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</si>
  <si>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</si>
  <si>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</si>
  <si>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</si>
  <si>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</si>
  <si>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</si>
  <si>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</si>
  <si>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</si>
  <si>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</si>
  <si>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</si>
  <si>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 xml:space="preserve">          (PESOS)</t>
  </si>
  <si>
    <t>A Corto Plazo</t>
  </si>
  <si>
    <t>A Mediano Plazo</t>
  </si>
  <si>
    <t>A Largo Plazo</t>
  </si>
  <si>
    <t xml:space="preserve">                                                                                                                     (PESOS)</t>
  </si>
  <si>
    <t xml:space="preserve">        NOTAS A LOS ESTADOS FINANCIEROS                     </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</si>
  <si>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</si>
  <si>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</si>
  <si>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</si>
  <si>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</si>
  <si>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</si>
  <si>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</si>
  <si>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</si>
  <si>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</si>
  <si>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</si>
  <si>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</si>
  <si>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</si>
  <si>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</si>
  <si>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</si>
  <si>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</si>
  <si>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</si>
  <si>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</si>
  <si>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</si>
  <si>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</si>
  <si>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</si>
  <si>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</si>
  <si>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</si>
  <si>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</si>
  <si>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</si>
  <si>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</si>
  <si>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</si>
  <si>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</si>
  <si>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</si>
  <si>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</si>
  <si>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</si>
  <si>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</si>
  <si>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</si>
  <si>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</si>
  <si>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</si>
  <si>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</si>
  <si>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</si>
  <si>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</si>
  <si>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</si>
  <si>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</si>
  <si>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</si>
  <si>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Rubros de los Ingresos</t>
  </si>
  <si>
    <t>Ingresos Estimado Original  Anual</t>
  </si>
  <si>
    <t>Ampliaciones y Reducciones           (+ ó -)</t>
  </si>
  <si>
    <t>Ingresos Modificado    Anual</t>
  </si>
  <si>
    <t>Ingresos Devengado Acumulado</t>
  </si>
  <si>
    <t>Ingresos Recaudado    Acumulado</t>
  </si>
  <si>
    <t>Diferencia</t>
  </si>
  <si>
    <t>(1)</t>
  </si>
  <si>
    <t>(2)</t>
  </si>
  <si>
    <t>(3= 1 +2)</t>
  </si>
  <si>
    <t>(4)</t>
  </si>
  <si>
    <t>(5)</t>
  </si>
  <si>
    <t>(6= 5 - 1 )</t>
  </si>
  <si>
    <t>Contribuciones de Mejoras</t>
  </si>
  <si>
    <t>Productos</t>
  </si>
  <si>
    <t xml:space="preserve">     Corriente</t>
  </si>
  <si>
    <t xml:space="preserve">     Capital</t>
  </si>
  <si>
    <t>Aprovechamientos</t>
  </si>
  <si>
    <t>Ingresos por Ventas de Bienes y Servicios</t>
  </si>
  <si>
    <r>
      <t>Transferencias, Asignaciones, Subsidios y Otras Ayudas</t>
    </r>
    <r>
      <rPr>
        <b/>
        <u/>
        <sz val="10"/>
        <color theme="1"/>
        <rFont val="Arial Narrow"/>
        <family val="2"/>
      </rPr>
      <t xml:space="preserve"> FEDERALES</t>
    </r>
  </si>
  <si>
    <r>
      <t xml:space="preserve">Transferencias, Asignaciones, Subsidios y Otras Ayudas </t>
    </r>
    <r>
      <rPr>
        <b/>
        <u/>
        <sz val="10"/>
        <color theme="1"/>
        <rFont val="Arial Narrow"/>
        <family val="2"/>
      </rPr>
      <t>ESTATALES</t>
    </r>
  </si>
  <si>
    <t>Ingresos Derivados de Financiamientos</t>
  </si>
  <si>
    <t>Ingresos Excedentes 1</t>
  </si>
  <si>
    <t>Estado Analitico de Ingresos</t>
  </si>
  <si>
    <t>Por Fuente de Financiamiento</t>
  </si>
  <si>
    <t>Ingresos del Gobierno</t>
  </si>
  <si>
    <t xml:space="preserve">Impuestos </t>
  </si>
  <si>
    <t>Corriente</t>
  </si>
  <si>
    <t>Capital</t>
  </si>
  <si>
    <t>Transferencias, Asignaciones, Subsidios y Otras Ayudas</t>
  </si>
  <si>
    <t>Ingresos de Organismos y  Empresas</t>
  </si>
  <si>
    <t>Cuotas y aportaciones de Seguridad Social</t>
  </si>
  <si>
    <t>Ingresos por ventas de Bienes y Servicios</t>
  </si>
  <si>
    <r>
      <t xml:space="preserve">Transferencias, Asignaciones, Subsidios y Otras Ayudas, </t>
    </r>
    <r>
      <rPr>
        <b/>
        <u/>
        <sz val="10"/>
        <color theme="1"/>
        <rFont val="Arial Narrow"/>
        <family val="2"/>
      </rPr>
      <t>FEDERALES</t>
    </r>
  </si>
  <si>
    <r>
      <t xml:space="preserve">Transferencias, Asignaciones, Subsidios y Otras Ayudas, </t>
    </r>
    <r>
      <rPr>
        <b/>
        <u/>
        <sz val="10"/>
        <color theme="1"/>
        <rFont val="Arial Narrow"/>
        <family val="2"/>
      </rPr>
      <t>ESTATALES</t>
    </r>
  </si>
  <si>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</si>
  <si>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</si>
  <si>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</si>
  <si>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</si>
  <si>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</si>
  <si>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</si>
  <si>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</si>
  <si>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</si>
  <si>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</si>
  <si>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</si>
  <si>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</si>
  <si>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</si>
  <si>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</si>
  <si>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</si>
  <si>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</si>
  <si>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</si>
  <si>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</si>
  <si>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</si>
  <si>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</si>
  <si>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</si>
  <si>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</si>
  <si>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</si>
  <si>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</si>
  <si>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</si>
  <si>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</si>
  <si>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</si>
  <si>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</si>
  <si>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</si>
  <si>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</si>
  <si>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</si>
  <si>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</si>
  <si>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</si>
  <si>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</si>
  <si>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</si>
  <si>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</si>
  <si>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</si>
  <si>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</si>
  <si>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</si>
  <si>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</si>
  <si>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</si>
  <si>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</si>
  <si>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</si>
  <si>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</si>
  <si>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</si>
  <si>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</si>
  <si>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</si>
  <si>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</si>
  <si>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</si>
  <si>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</si>
  <si>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</si>
  <si>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</si>
  <si>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</si>
  <si>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</si>
  <si>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</si>
  <si>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</si>
  <si>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</si>
  <si>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</si>
  <si>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</si>
  <si>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</si>
  <si>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</si>
  <si>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</si>
  <si>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</si>
  <si>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</si>
  <si>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</si>
  <si>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</si>
  <si>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</si>
  <si>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</si>
  <si>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</si>
  <si>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</si>
  <si>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</si>
  <si>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</si>
  <si>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</si>
  <si>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</si>
  <si>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</si>
  <si>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</si>
  <si>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</si>
  <si>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</si>
  <si>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 xml:space="preserve">                                                            (PESOS)</t>
  </si>
  <si>
    <t>1. Ingresos Presupuestarios</t>
  </si>
  <si>
    <t>(MAS)</t>
  </si>
  <si>
    <t>2.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</si>
  <si>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</si>
  <si>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</si>
  <si>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</si>
  <si>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</si>
  <si>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</si>
  <si>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(MENOS)</t>
  </si>
  <si>
    <t>3. Ingresos presupuestarios no contables</t>
  </si>
  <si>
    <t>Productos de capital</t>
  </si>
  <si>
    <t>Aprovechamientos de capital</t>
  </si>
  <si>
    <t>Ingresos derivados de financiamientos</t>
  </si>
  <si>
    <t>Otros Ingresos presupuestarios no contables</t>
  </si>
  <si>
    <t>4. Ingresos Contables  (4=  1  +  2  -  3 )</t>
  </si>
  <si>
    <t>Estado Analítico del Ejercicio Presupuesto de Egresos</t>
  </si>
  <si>
    <t>Clasificación por Objeto del Gasto (Capítulo y Concepto)</t>
  </si>
  <si>
    <t xml:space="preserve">                                                                                                                                                     (PESOS)</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</si>
  <si>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</si>
  <si>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</si>
  <si>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</si>
  <si>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</si>
  <si>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</si>
  <si>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</si>
  <si>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</si>
  <si>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</si>
  <si>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</si>
  <si>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</si>
  <si>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</si>
  <si>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</si>
  <si>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</si>
  <si>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</si>
  <si>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</si>
  <si>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</si>
  <si>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</si>
  <si>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</si>
  <si>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</si>
  <si>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</si>
  <si>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</si>
  <si>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</si>
  <si>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</si>
  <si>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</si>
  <si>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</si>
  <si>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</si>
  <si>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</si>
  <si>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</si>
  <si>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</si>
  <si>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</si>
  <si>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</si>
  <si>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</si>
  <si>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</si>
  <si>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</si>
  <si>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</si>
  <si>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</si>
  <si>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</si>
  <si>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</si>
  <si>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</si>
  <si>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</si>
  <si>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</si>
  <si>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</si>
  <si>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</si>
  <si>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</si>
  <si>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</si>
  <si>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</si>
  <si>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</si>
  <si>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</si>
  <si>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</si>
  <si>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</si>
  <si>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</si>
  <si>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</si>
  <si>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</si>
  <si>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</si>
  <si>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</si>
  <si>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</si>
  <si>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</si>
  <si>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</si>
  <si>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</si>
  <si>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</si>
  <si>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</si>
  <si>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</si>
  <si>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</si>
  <si>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</si>
  <si>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</si>
  <si>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</si>
  <si>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</si>
  <si>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</si>
  <si>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</si>
  <si>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</si>
  <si>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</si>
  <si>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</si>
  <si>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</si>
  <si>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</si>
  <si>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</si>
  <si>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</si>
  <si>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</si>
  <si>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</si>
  <si>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</si>
  <si>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</si>
  <si>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</si>
  <si>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</si>
  <si>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</si>
  <si>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</si>
  <si>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</si>
  <si>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</si>
  <si>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</si>
  <si>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</si>
  <si>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</si>
  <si>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</si>
  <si>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</si>
  <si>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</si>
  <si>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</si>
  <si>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</si>
  <si>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</si>
  <si>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</si>
  <si>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</si>
  <si>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</si>
  <si>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</si>
  <si>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</si>
  <si>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</si>
  <si>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</si>
  <si>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</si>
  <si>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</si>
  <si>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</si>
  <si>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</si>
  <si>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</si>
  <si>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</si>
  <si>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</si>
  <si>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</si>
  <si>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</si>
  <si>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</si>
  <si>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</si>
  <si>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</si>
  <si>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</si>
  <si>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</si>
  <si>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</si>
  <si>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</si>
  <si>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</si>
  <si>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</si>
  <si>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</si>
  <si>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</si>
  <si>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</si>
  <si>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</si>
  <si>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</si>
  <si>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</si>
  <si>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</si>
  <si>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</si>
  <si>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</si>
  <si>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</si>
  <si>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</si>
  <si>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</si>
  <si>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</si>
  <si>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</si>
  <si>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</si>
  <si>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</si>
  <si>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</si>
  <si>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</si>
  <si>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</si>
  <si>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</si>
  <si>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</si>
  <si>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</si>
  <si>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</si>
  <si>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 xml:space="preserve">                                                                                                                                (PESOS)</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</si>
  <si>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</si>
  <si>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</si>
  <si>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</si>
  <si>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</si>
  <si>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</si>
  <si>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</si>
  <si>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</si>
  <si>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</si>
  <si>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</si>
  <si>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</si>
  <si>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</si>
  <si>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</si>
  <si>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</si>
  <si>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</si>
  <si>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</si>
  <si>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</si>
  <si>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 xml:space="preserve">                                                                                                                                                         (PESOS)</t>
  </si>
  <si>
    <t>Clasificación Administrativa</t>
  </si>
  <si>
    <t>Pagado</t>
  </si>
  <si>
    <t>I. Gasto No Etiquetado</t>
  </si>
  <si>
    <t>(I=A+B+C+D+E+F+G+H)</t>
  </si>
  <si>
    <t>II. Gasto Etiquetado</t>
  </si>
  <si>
    <t>(II=A+B+C+D+E+F+G+H)</t>
  </si>
  <si>
    <t>Clasificación Administrativa (Por Poderes)</t>
  </si>
  <si>
    <t xml:space="preserve">                                                                                                                                     (PESOS)</t>
  </si>
  <si>
    <t>Poder Ejecutivo</t>
  </si>
  <si>
    <t>Poder Legislativo</t>
  </si>
  <si>
    <t>Poder Judicial</t>
  </si>
  <si>
    <t>Órganos Autónomos</t>
  </si>
  <si>
    <t>Clasificación Administrativa (Por Tipo de Organismos o Entidad Paraestatal)</t>
  </si>
  <si>
    <t xml:space="preserve">                                                                                                                                      (PESOS)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</si>
  <si>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</si>
  <si>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</si>
  <si>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</si>
  <si>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</si>
  <si>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</si>
  <si>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</si>
  <si>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</si>
  <si>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</si>
  <si>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</si>
  <si>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</si>
  <si>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</si>
  <si>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</si>
  <si>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</si>
  <si>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</si>
  <si>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</si>
  <si>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</si>
  <si>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</si>
  <si>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</si>
  <si>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</si>
  <si>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</si>
  <si>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</si>
  <si>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</si>
  <si>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</si>
  <si>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</si>
  <si>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</si>
  <si>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</si>
  <si>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</si>
  <si>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</si>
  <si>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</si>
  <si>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</si>
  <si>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</si>
  <si>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</si>
  <si>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</si>
  <si>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</si>
  <si>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</si>
  <si>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</si>
  <si>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</si>
  <si>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</si>
  <si>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</si>
  <si>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</si>
  <si>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</si>
  <si>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</si>
  <si>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</si>
  <si>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</si>
  <si>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</si>
  <si>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</si>
  <si>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</si>
  <si>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</si>
  <si>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</si>
  <si>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</si>
  <si>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</si>
  <si>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</si>
  <si>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</si>
  <si>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</si>
  <si>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</si>
  <si>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</si>
  <si>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</si>
  <si>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</si>
  <si>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</si>
  <si>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</si>
  <si>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</si>
  <si>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</si>
  <si>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</si>
  <si>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</si>
  <si>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</si>
  <si>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</si>
  <si>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</si>
  <si>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</si>
  <si>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</si>
  <si>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</si>
  <si>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</si>
  <si>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</si>
  <si>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</si>
  <si>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</si>
  <si>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 xml:space="preserve">                               (PESOS)</t>
  </si>
  <si>
    <t>Ejercicio del Presupuesto por
Partida  /  Descripción</t>
  </si>
  <si>
    <t>% Avance Anual</t>
  </si>
  <si>
    <t>(7= 4/3)</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</si>
  <si>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</si>
  <si>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</si>
  <si>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</si>
  <si>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</si>
  <si>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</si>
  <si>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</si>
  <si>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</si>
  <si>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</si>
  <si>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</si>
  <si>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</si>
  <si>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</si>
  <si>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</si>
  <si>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</si>
  <si>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</si>
  <si>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</si>
  <si>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</si>
  <si>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</si>
  <si>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 xml:space="preserve">2. Egresos Presupuestarios no contables </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</si>
  <si>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</si>
  <si>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</si>
  <si>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</si>
  <si>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</si>
  <si>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</si>
  <si>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</si>
  <si>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Arctivos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</si>
  <si>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</si>
  <si>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</si>
  <si>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</si>
  <si>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</si>
  <si>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</si>
  <si>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</si>
  <si>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</si>
  <si>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Armonización de la deuda pública</t>
  </si>
  <si>
    <t>Adeudos de ejercicios fiscales anteriores (ADEFAS)</t>
  </si>
  <si>
    <t>Otros Egresos Presupuestales No Contables</t>
  </si>
  <si>
    <t>3. Gastos contables no presupuestarios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</si>
  <si>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</si>
  <si>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</si>
  <si>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</si>
  <si>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</si>
  <si>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</si>
  <si>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</si>
  <si>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</si>
  <si>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</si>
  <si>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</si>
  <si>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</si>
  <si>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</si>
  <si>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</si>
  <si>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</si>
  <si>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</si>
  <si>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</si>
  <si>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</si>
  <si>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</si>
  <si>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</si>
  <si>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</si>
  <si>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</si>
  <si>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 xml:space="preserve">                                                                                          (pesos)</t>
  </si>
  <si>
    <t>Total de Interéses Créditos Bancarios</t>
  </si>
  <si>
    <t>Total Intereses Otros Instrumentos de Deuda</t>
  </si>
  <si>
    <t>Gasto Por Categoría Programática</t>
  </si>
  <si>
    <t xml:space="preserve">                 (PESOS)</t>
  </si>
  <si>
    <t>Egresos Devengado     Anual</t>
  </si>
  <si>
    <t>Egresos Pagado     Anual</t>
  </si>
  <si>
    <t>Programas</t>
  </si>
  <si>
    <t xml:space="preserve">   Subsidios:</t>
  </si>
  <si>
    <t>Sector Social y Privado o Estados y Municipios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</si>
  <si>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</si>
  <si>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</si>
  <si>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</si>
  <si>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</si>
  <si>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</si>
  <si>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</si>
  <si>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</si>
  <si>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</si>
  <si>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</si>
  <si>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</si>
  <si>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</si>
  <si>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</si>
  <si>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</si>
  <si>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</si>
  <si>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</si>
  <si>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</si>
  <si>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</si>
  <si>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</si>
  <si>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</si>
  <si>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</si>
  <si>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</si>
  <si>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</si>
  <si>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</si>
  <si>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</si>
  <si>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</si>
  <si>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</si>
  <si>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</si>
  <si>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 xml:space="preserve"> Sistema Estatal de Evaluación</t>
  </si>
  <si>
    <t>Gastos por proyectos de Inversión</t>
  </si>
  <si>
    <t xml:space="preserve">                 (pesos)</t>
  </si>
  <si>
    <t>GASTO DE INVERSION EJERCIDO:</t>
  </si>
  <si>
    <t xml:space="preserve">NOMBRE DEL PROYECTO </t>
  </si>
  <si>
    <t xml:space="preserve">MONTO EROGADO </t>
  </si>
  <si>
    <r>
      <t>ORIGEN DEL RECURSO</t>
    </r>
    <r>
      <rPr>
        <b/>
        <sz val="14"/>
        <rFont val="Arial Narrow"/>
        <family val="2"/>
      </rPr>
      <t>*</t>
    </r>
  </si>
  <si>
    <t>Indicadores de Postura Fiscal</t>
  </si>
  <si>
    <t xml:space="preserve">                                                       (pesos)</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</si>
  <si>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</si>
  <si>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</si>
  <si>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</si>
  <si>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</si>
  <si>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</si>
  <si>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</si>
  <si>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</si>
  <si>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</si>
  <si>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</si>
  <si>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</si>
  <si>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</si>
  <si>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</si>
  <si>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</si>
  <si>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</si>
  <si>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</si>
  <si>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RECOMENDACIONES CONAC</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</si>
  <si>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</si>
  <si>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</si>
  <si>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</si>
  <si>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</si>
  <si>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</si>
  <si>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</si>
  <si>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</si>
  <si>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</si>
  <si>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</si>
  <si>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</si>
  <si>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</si>
  <si>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</si>
  <si>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</si>
  <si>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</si>
  <si>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</si>
  <si>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</si>
  <si>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</si>
  <si>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</si>
  <si>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</si>
  <si>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</si>
  <si>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</si>
  <si>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</si>
  <si>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</si>
  <si>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</si>
  <si>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</si>
  <si>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</si>
  <si>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</si>
  <si>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</si>
  <si>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</si>
  <si>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</si>
  <si>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</si>
  <si>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</si>
  <si>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</si>
  <si>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</si>
  <si>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</si>
  <si>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</si>
  <si>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</si>
  <si>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</si>
  <si>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</si>
  <si>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</si>
  <si>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                              Sistema Estatal de Evaluación</t>
  </si>
  <si>
    <t xml:space="preserve">                Relación de esquemas bursátiles y de coberturas financieras</t>
  </si>
  <si>
    <t xml:space="preserve">          (pesos)</t>
  </si>
  <si>
    <t>Identificacion del  Instrumento</t>
  </si>
  <si>
    <t>Colocación</t>
  </si>
  <si>
    <t>Interés Ganados</t>
  </si>
  <si>
    <t>Valor Actual</t>
  </si>
  <si>
    <t>C=A+B</t>
  </si>
  <si>
    <t xml:space="preserve">Total </t>
  </si>
  <si>
    <t>Otros Instrumentos de Bursatilización</t>
  </si>
  <si>
    <t xml:space="preserve">Total Otros Instrumentos </t>
  </si>
  <si>
    <t>NOTA: se deberán incluir METALES PRECIOSOS en su caso.</t>
  </si>
  <si>
    <t>Matriz de Indicadores de Resultados</t>
  </si>
  <si>
    <t>I.- Información contable</t>
  </si>
  <si>
    <t>ETCA-I-01</t>
  </si>
  <si>
    <t>ETCA-I-02</t>
  </si>
  <si>
    <t>Estado de Situación Financiera-Detallado-LDF</t>
  </si>
  <si>
    <t>ETCA-I-03</t>
  </si>
  <si>
    <t>ETCA-I-04</t>
  </si>
  <si>
    <t>ETCA-I-05</t>
  </si>
  <si>
    <t>ETCA-I-06</t>
  </si>
  <si>
    <t>ETCA-I-07</t>
  </si>
  <si>
    <t>ETCA-I-08</t>
  </si>
  <si>
    <t>ETCA-I-09</t>
  </si>
  <si>
    <t>ETCA-I-10</t>
  </si>
  <si>
    <t>Informe Analítico de Obligaciones Diferentes de Financiamiento-LDF</t>
  </si>
  <si>
    <t>ETCA-I-11</t>
  </si>
  <si>
    <t>ETCA-I-12</t>
  </si>
  <si>
    <t>ETCA-II-01</t>
  </si>
  <si>
    <t>ETCA-II-02</t>
  </si>
  <si>
    <t xml:space="preserve">Estado Analítico de Ingresos Detallado-LDF                                 </t>
  </si>
  <si>
    <t>ETCA-II-03</t>
  </si>
  <si>
    <t xml:space="preserve">Conciliación entre los Ingresos Presupuestarios y Contables      </t>
  </si>
  <si>
    <t>ETCA-II-04</t>
  </si>
  <si>
    <t>ETCA-II-05</t>
  </si>
  <si>
    <t>Estado Analítico del Ejercicio Presupuesto de Egresos Detallado-LDF</t>
  </si>
  <si>
    <t>Clasificación Por Objeto del Gasto</t>
  </si>
  <si>
    <t>ETCA-II-06</t>
  </si>
  <si>
    <t>Clasificación Económica (Por Tipo de Gasto)</t>
  </si>
  <si>
    <t>ETCA-II-07</t>
  </si>
  <si>
    <t>Por Unidad Administrativa</t>
  </si>
  <si>
    <t>ETCA-II-08</t>
  </si>
  <si>
    <t>ETCA-II-09</t>
  </si>
  <si>
    <t>Clasificación Administrativa, Por Poderes</t>
  </si>
  <si>
    <t>ETCA-II-10</t>
  </si>
  <si>
    <t>Clasificación Administrativa, Por tipo de Organismo o Entidad Paraestatal</t>
  </si>
  <si>
    <t>ETCA-II-11</t>
  </si>
  <si>
    <t>ETCA-II-12</t>
  </si>
  <si>
    <t>Estado Analítico del Ejercicio Presupuesto de Egresos -Detallado-LDF</t>
  </si>
  <si>
    <t>ETCA-II-13</t>
  </si>
  <si>
    <t>ETCA-II-14</t>
  </si>
  <si>
    <t xml:space="preserve">Estado Analítico del Ejercicio Presupuesto de Egresos - Detallado-LDF  </t>
  </si>
  <si>
    <t>ETCA-II-15</t>
  </si>
  <si>
    <t>Conciliación entre los Egresos Presupuestarios y los Gastos Contables</t>
  </si>
  <si>
    <t>ETCA-II-16</t>
  </si>
  <si>
    <t>ETCA-II-17</t>
  </si>
  <si>
    <t xml:space="preserve">Intereses de la Deuda                                                        </t>
  </si>
  <si>
    <t>ETCA-III-01</t>
  </si>
  <si>
    <t>ETCA-III-02</t>
  </si>
  <si>
    <t>Gasto por Programa Presupuestario</t>
  </si>
  <si>
    <t>ETCA-III-03</t>
  </si>
  <si>
    <t>ETCA-III-04</t>
  </si>
  <si>
    <t xml:space="preserve">Informe de Avance Programático </t>
  </si>
  <si>
    <t>ETCA-III-05</t>
  </si>
  <si>
    <t xml:space="preserve">IV.- Información Complementaria-Anexos. </t>
  </si>
  <si>
    <t>ETCA-IV-01</t>
  </si>
  <si>
    <t>ETCA-IV-02</t>
  </si>
  <si>
    <t>ETCA-IV-03</t>
  </si>
  <si>
    <t>ETCA-IV-04</t>
  </si>
  <si>
    <t>ETCA-IV-05</t>
  </si>
  <si>
    <t>Listado de Formatos ETCA "Evaluación Trimestral Contabilidad Armonizada"</t>
  </si>
  <si>
    <t>Cambios en la Hacienda Pública / Patrimonio Neto del Ejercicio 2017</t>
  </si>
  <si>
    <t>Hacienda Pública / Patrimonio Neto Final del Ejercicio 2016</t>
  </si>
  <si>
    <t>Saldo Neto en la Hacienda Pública / Patrimonio 2017</t>
  </si>
  <si>
    <t>Monto pagado de la inversión al XX de XXXXXX de 2017 (k)</t>
  </si>
  <si>
    <t>Monto pagado de la inversión actualizado al XX de XXXXXX de 2017 (l)</t>
  </si>
  <si>
    <t>Saldo pendiente por pagar de la inversión al XX de XXXXXX de 2017 (m = g – l)</t>
  </si>
  <si>
    <t>31 de diciembre de 2016</t>
  </si>
  <si>
    <t xml:space="preserve">                                                                              (PESOS)</t>
  </si>
  <si>
    <t>Consejo Estatal de Concertacion para la Obra Publica</t>
  </si>
  <si>
    <t>Al 30 de Septiembre de 2017</t>
  </si>
  <si>
    <t>NO APLICA</t>
  </si>
  <si>
    <t>Al 01 de Enero de 2017 y al 30 de Septiembre de 2017 (b)</t>
  </si>
  <si>
    <t>Del 01 de Enero  al 30 de Septiembre de 2017</t>
  </si>
  <si>
    <t>SERVICIOS  PERSONALES</t>
  </si>
  <si>
    <t>REMUNERACIONES AL PERSONAL DE CARACTER PERMANENTE</t>
  </si>
  <si>
    <t>SUELDOS</t>
  </si>
  <si>
    <t>COMPENSACION POR RIESGO PROFESIONAL</t>
  </si>
  <si>
    <t>RIESGO LABORAL</t>
  </si>
  <si>
    <t>AYUDA HABITACION</t>
  </si>
  <si>
    <t>AYUDA DESPENSA</t>
  </si>
  <si>
    <t>REMUNERACIONES AL PERSONAL DE CARACTER TRANSITORIO</t>
  </si>
  <si>
    <t>SUELDO BASE AL PERSONAL EVENTUAL</t>
  </si>
  <si>
    <t>RETRIBUCIONES ADICIONALES Y ESPECIALES</t>
  </si>
  <si>
    <t>PRIMAS Y ACREDITACIONES POR AÑOS DE SERVICIO EFECTIVOS PRESTADOS AL PERSONAL</t>
  </si>
  <si>
    <t>PRIMA VACACIONAL</t>
  </si>
  <si>
    <t>GRATIFICACION POR FIN DE AÑO</t>
  </si>
  <si>
    <t>COMPENSACION POR AJUSTE DE CALENDARIO</t>
  </si>
  <si>
    <t>COMPENSACION POR BONO NAVIDEÑO</t>
  </si>
  <si>
    <t>ESTIMULOS AL PERSONAL DE CONFIANZA</t>
  </si>
  <si>
    <t>APORTACIONES DE SEGURIDAD SOCIAL</t>
  </si>
  <si>
    <t>CUOTAS POR SERVICIO MEDICO DEL ISSSTESON</t>
  </si>
  <si>
    <t>CUOTAS POR SEGURO DE VIDA AL ISSSTESON</t>
  </si>
  <si>
    <t>CUOTAS POR SEGURO DE RETIRO AL ISSSTESON</t>
  </si>
  <si>
    <t>ASIGNACION PARA PRESTAMOS A CORTO PLAZO</t>
  </si>
  <si>
    <t>ASIGNACION PARA PRESTAMOS PRENDARIOS</t>
  </si>
  <si>
    <t>OTRAS PRESTACIONES DE SEGURIDAD SOCIAL</t>
  </si>
  <si>
    <t>GASTO DE INFRAESTRUCTURA HOSPITALARIA</t>
  </si>
  <si>
    <t>APORTACIONES PARA LA ATENCION DE ENFERMEDADES PREEXISTENTES</t>
  </si>
  <si>
    <t>CUOTAS AL  FOVISSSTESON</t>
  </si>
  <si>
    <t>OTRAS PRESTACIONES SOCIALES Y ECONOMICAS</t>
  </si>
  <si>
    <t>PRESTACIONES DE RETIRO</t>
  </si>
  <si>
    <t>MATERIALES Y SUMINISTROS</t>
  </si>
  <si>
    <t>MATERIALES DE ADMINISTRACION, EMISIÓN DE DOCUMENTO</t>
  </si>
  <si>
    <t>MATERIALES, UTILES Y EQUIPOS MENORES DE OFICINA</t>
  </si>
  <si>
    <t>MATERIALES Y UTILES DE IMPESION Y REPRODUCCION</t>
  </si>
  <si>
    <t>MATERIALES, UTILES PARA EL PROCESAMIENTO DE EQUIPOS Y BIENES INFORMATICOS</t>
  </si>
  <si>
    <t>MATERIAL PARA INFORMACION</t>
  </si>
  <si>
    <t>MATERIAL DE LIMPIEZA</t>
  </si>
  <si>
    <t>PLACAS, ENGOMADOS, CALCAMONIAS Y HOLOGRAMAS</t>
  </si>
  <si>
    <t>ALIMENTOS Y UTENSILIOS</t>
  </si>
  <si>
    <t>PRODUCTOS ALIMENTICIOS PARA EL PERSONAL EN LAS INSTALACIONES</t>
  </si>
  <si>
    <t>ADQUISICION DE AGUA POTABLE</t>
  </si>
  <si>
    <t>UTENSILIOS PARA EL SERVICIO DE ALIMENTACION</t>
  </si>
  <si>
    <t>MATERIAS PRIMAS Y  MATERIALES DE PRODUCCION Y COMERCIALIZACION</t>
  </si>
  <si>
    <t>PRODUCTOS QUIMICOS, FARMACEUTICOS Y DE LABORATORIO</t>
  </si>
  <si>
    <t>MATERIALES Y ARTICULOS DE CONSTRUCCIÓN Y REPARACIÓ</t>
  </si>
  <si>
    <t>MATERIAL ELECTRICO Y ELECTRONICO</t>
  </si>
  <si>
    <t>ARTICULOS METALICOS PARA LA CONSTRUCCION</t>
  </si>
  <si>
    <t>MATERIALES COMPLEMENTARIOS</t>
  </si>
  <si>
    <t>OTROS MATERIALES Y ARTICULOS DE CONSTRUCCION Y REPARACION</t>
  </si>
  <si>
    <t>FERTILIZANTES PESTICIDAS Y OTROS AGROQUIMICOS</t>
  </si>
  <si>
    <t>COMBUSTIBLES, LUBRICANTES Y ADITIVOS</t>
  </si>
  <si>
    <t>COMBUSTIBLES</t>
  </si>
  <si>
    <t>LUBRICANTES Y ADITIVOS</t>
  </si>
  <si>
    <t>VESTUARIO, BLANCOS, PRENDAS DE PROTECCION Y ARTICULOS DEPORTIVOS</t>
  </si>
  <si>
    <t>VESTUARIO Y UNIFORMES</t>
  </si>
  <si>
    <t>PRENDAS DE SEGURIDAD Y PROTECCION PERSONAL</t>
  </si>
  <si>
    <t>MATERIALES Y SUMINISTROS PARA SEGURIDAD</t>
  </si>
  <si>
    <t>MATERIALES DE SEGURIDAD PUBLICA</t>
  </si>
  <si>
    <t>PRENDAS DE PROTECCION PARA SEGURIDAD</t>
  </si>
  <si>
    <t>HERRAMIENTAS, REFACCIONES Y ACCESORIOS MENORES</t>
  </si>
  <si>
    <t>HERRAMIENTAS MENORES</t>
  </si>
  <si>
    <t>REFACCIONES Y ACCESORIOS MENORES DE EDIFICIOS</t>
  </si>
  <si>
    <t>REFACCIONES Y ACCESORIOS MENORES DE MOBILIARIO Y EQUIPO DE ADMINISTRACION</t>
  </si>
  <si>
    <t>REFACC Y ACCS MENORES DE EQ DE COMPUTO Y TEC DE INF</t>
  </si>
  <si>
    <t>REFACC Y ACCS MENORES DE EQ DE TRANSPORTE</t>
  </si>
  <si>
    <t>SERVICIOS GENERALES</t>
  </si>
  <si>
    <t>SERVICIOS BASICOS</t>
  </si>
  <si>
    <t>ENERGIA ELECTRICA</t>
  </si>
  <si>
    <t>AGUA</t>
  </si>
  <si>
    <t>TELEFONIA TRADICIONAL</t>
  </si>
  <si>
    <t>TELEFONIA CELULAR</t>
  </si>
  <si>
    <t>SERVICIO DE TELECOMUNICACIONES</t>
  </si>
  <si>
    <t>SERV DE ACCESO A INTERNET, REDES Y PROC DE INFORMACION</t>
  </si>
  <si>
    <t>SERVICIO POSTAL</t>
  </si>
  <si>
    <t>SERVICIO DE ARRENDAMIENTO</t>
  </si>
  <si>
    <t>ARRENDAMIENTO DE EDIFICIOS</t>
  </si>
  <si>
    <t>ARRENDAMIENTO DE MUEBLES, MAQUINARIA Y EQUIPO</t>
  </si>
  <si>
    <t>ARRENDAMIENTO DE EQUIPO DE TRANSPORTE</t>
  </si>
  <si>
    <t>PATENTES Y REGALIAS</t>
  </si>
  <si>
    <t>SERVICIOS PROFESIONALES, CIENTIFICOS, TECNICOS Y O</t>
  </si>
  <si>
    <t>SERVICIOS LEGALES, DE CONTABILIDAD, AUDITORIAS RELACIONADOS</t>
  </si>
  <si>
    <t>SERVICIOS DE DISEÑO , ARQUITECTURA, INGENIERIA Y SERVICOS RELACIONADOS</t>
  </si>
  <si>
    <t>SERVICIO DE INFORMATICA</t>
  </si>
  <si>
    <t>SERVICIO DE CAPACITACION</t>
  </si>
  <si>
    <t>ESTUDIOS E INVESTIGACIONES</t>
  </si>
  <si>
    <t>IMPRESIONES Y PUBLICACIONES OFICIALES</t>
  </si>
  <si>
    <t>LICITACIONES, CONVENIOS Y CONVOCATORIAS</t>
  </si>
  <si>
    <t>SERVICIO DE VIGILANCIA</t>
  </si>
  <si>
    <t>SERVICIOS FINANCIEROS, BANCARIOS Y COMERCIALES</t>
  </si>
  <si>
    <t>SERVICIOS FINANCIEROS Y BANCARIOS</t>
  </si>
  <si>
    <t>SEGURO DE BIENES PATRIMONIALES</t>
  </si>
  <si>
    <t>FLETES Y MANIOBRAS</t>
  </si>
  <si>
    <t>COMISIONES POR VENTA</t>
  </si>
  <si>
    <t>SERVICIOS DE INSTALACION, REP., MANT. Y CONSERVACI</t>
  </si>
  <si>
    <t>MANTENIMIENTO Y CONSERVACION DE INMUEBLES</t>
  </si>
  <si>
    <t>MANTENIMIENTO Y CONSERVACION DE MOBILIARIO Y EQUIPO</t>
  </si>
  <si>
    <t>INSTALACIONES</t>
  </si>
  <si>
    <t>MANTENIMIENTO Y CONSERVACION DE BIENES INFORMATICOS</t>
  </si>
  <si>
    <t>MANTENIMIENTO Y CONSERVACION DE EQUIPO DE TRANSPORTE</t>
  </si>
  <si>
    <t>MANTENIMIENTO Y CONSERVACION DE MAQUINARIA Y EQUIPO</t>
  </si>
  <si>
    <t>SERVICIOS DE JARDINERIA Y FUMIGACION</t>
  </si>
  <si>
    <t>SERVICIOS DE COMUNICACIÓN SOCIAL Y PUBLICIDAD</t>
  </si>
  <si>
    <t>DIFUSION POR RADIO, TELEVISION Y OTROS MEDIOS DE MENSAJES SOBRE PROGRAMAS Y ACTIVIDADES GUBERNAMENTALES</t>
  </si>
  <si>
    <t>SERVICIOS DE TRASLADO Y VIATICOS</t>
  </si>
  <si>
    <t>PASAJES AEREOS</t>
  </si>
  <si>
    <t>PASAJES TERRESTRES</t>
  </si>
  <si>
    <t>VIATICOS EN EL PAIS</t>
  </si>
  <si>
    <t>GASTOS DE CAMINO</t>
  </si>
  <si>
    <t>CUOTAS</t>
  </si>
  <si>
    <t>SERVICIOS OFICIALES</t>
  </si>
  <si>
    <t>GASTOS CEREMONIALES</t>
  </si>
  <si>
    <t>GASTOS DE ORDEN SOCIAL Y CULTURAL</t>
  </si>
  <si>
    <t>CONGRESOS Y CONVENCIONES</t>
  </si>
  <si>
    <t>OTROS SERVICIOS GENERALES</t>
  </si>
  <si>
    <t>IMPUESTOS Y DERECHOS</t>
  </si>
  <si>
    <t>SERVICIOS FUNERARIOS</t>
  </si>
  <si>
    <t>PENAS, MULTAS, ACCESORIOS Y ACTUALIZACIONES</t>
  </si>
  <si>
    <t>BIENES MUEBLES, INMUEBLES E INTANGIBLES</t>
  </si>
  <si>
    <t>MOBILIARIO Y EQUIPO DE ADMINISTRACION</t>
  </si>
  <si>
    <t>MOBILIARIO</t>
  </si>
  <si>
    <t>BIENES INFORMATICOS</t>
  </si>
  <si>
    <t>EQUIPO DE ADMINISTRACION</t>
  </si>
  <si>
    <t>VEHICULOS Y EQUIPOS DE TRANSPORTE</t>
  </si>
  <si>
    <t>AUTOMOVILES Y CAMIONES</t>
  </si>
  <si>
    <t>MAQUINARIA, OTROS EQUIPOS Y HERRAMIENTAS MENORES</t>
  </si>
  <si>
    <t>SISTEMA DE AIRE ACONDICIONADO</t>
  </si>
  <si>
    <t>INVERSION PUBLICA</t>
  </si>
  <si>
    <t>EDIFICACION HABITACIONAL</t>
  </si>
  <si>
    <t>CONSTRUCCION Y AMPLIACION FONHAPO</t>
  </si>
  <si>
    <t>EDIFICACION NO HABITACIONAL</t>
  </si>
  <si>
    <t>CONSTRUCCION</t>
  </si>
  <si>
    <t>REMODELACION Y REHABILITACION</t>
  </si>
  <si>
    <t>PROYECTOS DEPORTIVOS ESTATALES, INFRAESTRUCTURAS DEPORTIVAS FED (INFRAESTRUCTURA Y EQ. EN MATERIA DE CULTURA, DEPORTE Y RECREACION )</t>
  </si>
  <si>
    <t>INFRAESTRUCTURA Y EQUIPAMIENTO EN MATERIA DE EDUCACION INICIAL Y ESPECIAL</t>
  </si>
  <si>
    <t>INFRAESTRUCTURA Y EQUIPAMIENTO EN MATERIA DE EDUCACION PREESCOLAR</t>
  </si>
  <si>
    <t>INFRAESTRUCTURA Y EQUIPAMIENTO EN MATERIA DE EDUCACION PRIMARIA</t>
  </si>
  <si>
    <t>INFRAESTRUCTURA Y EQUIPAMIENTO EN MATERIA DE EDUCACION SECUNDARIA</t>
  </si>
  <si>
    <t>INFRAESTRUCTURA Y EQUIPAMIENTO EN MATERIA DE EDUCACION PARA PROGRAMAS ESPECIALES</t>
  </si>
  <si>
    <t>GASTOS INDIRECTOS FED (INDIRECTOS PARA OBRAS DE EDIFICACION NO HABITACIONAL )</t>
  </si>
  <si>
    <t>CONSTRUCCION DE OBRAS PARA EL ABASTECIMIENTO DE AGUA , PETROLEO , GAS, ELECTRICIDAD Y TELECOMUNICACION</t>
  </si>
  <si>
    <t>INFRAESTRUCTURA PARA GENERACION Y TRANSFORMACION DE ENERGIA ELECTRICA</t>
  </si>
  <si>
    <t>SUPERVISION Y CONTROL DE CALIDAD</t>
  </si>
  <si>
    <t>DVISION DE TERRENOS  Y CONSTRUCCION DE OBRAS DE URBANIZACION</t>
  </si>
  <si>
    <t>CECOP</t>
  </si>
  <si>
    <t xml:space="preserve">CONSTRUCCION Y REHABILITACION </t>
  </si>
  <si>
    <t>PAVIMENTACION DE CALLES Y AVENIDAS</t>
  </si>
  <si>
    <t>INDIRECTOS PARA OBRAS EN DIVISIÓN DE TERRENOS</t>
  </si>
  <si>
    <t>EJECUCION DE OBRA</t>
  </si>
  <si>
    <t>AMPLIACION</t>
  </si>
  <si>
    <t>INFRAESTRUCTURA Y EQUIPAMIENTO EN MATERIA DE CULTURA , DEPORTE Y RECREACION</t>
  </si>
  <si>
    <t>INFRAESTRUCTURA Y EQUIPAMIENTO EN MATERIA DE EDUCACION SUPERIOR</t>
  </si>
  <si>
    <t>SUPERVICION Y CONTROL DE CALIDAD</t>
  </si>
  <si>
    <t>DIVISION DE TERRENOS Y CONSTRUCCION DE OBRAS DE URBANIZACION</t>
  </si>
  <si>
    <t>EJECUCION DE PROYECTOS PRODUCTIVOS NO INCLUIDOS EN CONCEPTOS ANTERIORES DE ESTE CAPITULO</t>
  </si>
  <si>
    <t>Del 1 de Enero al 30 de Septiembre del 2017</t>
  </si>
  <si>
    <t>PRIMA POR RIESGO LABORAL</t>
  </si>
  <si>
    <t>APORTACIONES AL SISTEMA DE AHORRO PARA EL RETIRO</t>
  </si>
  <si>
    <t>PAGAS POR DEFUNCION, PENSIONES Y JUBILACIONES</t>
  </si>
  <si>
    <t>COORDINACION GENERAL</t>
  </si>
  <si>
    <t>DIRECCION GENERAL DE CONCERTACION Y APOYO TECNICO</t>
  </si>
  <si>
    <t>DIRECCION GENERAL DE ADMINISTRACION Y FINANZAS</t>
  </si>
  <si>
    <t>DIRECCION GENERAL DE ORGANIZACIÓN SOCIAL</t>
  </si>
  <si>
    <t>GESTION SOCIAL EMERGENTE</t>
  </si>
  <si>
    <t xml:space="preserve">INFORME SOBRE PASIVOS CONTINGENTES: Existe actualmente tres demandas laboral con numeros de expedientes 334/2012,  843/2014, 1088/2016, aún no concluidas, dentro de la demanda con numero 334/12/2  se encuentran dos expedientes distintos </t>
  </si>
  <si>
    <t>REHABILITACION GENERAL DE 1 ESCUELA EN GUAYMAS, SONORA: 1.- (17-MIC-093) CENTRO DE ATENCION MULTIPLE No. 54 (CCT: 26DML0054R).</t>
  </si>
  <si>
    <t>INFRAESTRUCTURA EDUCATIVA</t>
  </si>
  <si>
    <t>REHABILITACION GENERAL DE 1 ESCUELA EN NAVOJOA, SONORA: 1.- (17-MIC-199) E.P. GRAL. LAZARO CARDENAS (CCT: 26DPB0028J).</t>
  </si>
  <si>
    <t>REHABILITACION GENERAL DE ESCUELAS EN NAVOJOA, SONORA: 1.- (17-MIC-352) JUAN DE LA BARRERA (CCT: 26DJN0019M)</t>
  </si>
  <si>
    <t>REHABILITACION GENERAL DE ESCUELAS EN NAVOJOA, SONORA:  2.- (17-MIC-354) CONCEPCION MARTIN DEL CAMPO (CCT: 26EJN0026V).</t>
  </si>
  <si>
    <t>REHABILITACION GENERAL DE 1 ESCUELA EN BACUM, SONORA: 1.- (17-MIC-014) RAMÓN LÓPEZ VELARDE (CCT: 26DJN0109E).</t>
  </si>
  <si>
    <t>REHABILITACION GENERAL DE 1 ESCUELA EN BACUM, SONORA: 1.- (17-MIC-272) ESCUELA PRIMARIA RICARDO FLORES MAGÓN (CCT: 26DPR0329G).</t>
  </si>
  <si>
    <t>REHABILITACION GENERAL DE 1 ESCUELA EN HERMOSILLO, SONORA: 1.- (17-MIC-305) CENTRO DE DESARROLLO INFANTIL No. 2 (CCT: 26DDI0002Q).</t>
  </si>
  <si>
    <t>CONSTRUCCION DE SUBESTACION Y ALIMENTADORES EN  1.- (17-SUB-041) JARDÍN DE NIÑOS 21 DE ABRIL (CCT: 26DJN0109E), EN SAN LUIS RIO COLORADO, SONORA.</t>
  </si>
  <si>
    <t>REHABILITACION GENERAL DE ESCUELA EN CAJEME, SONORA: 1.- (17-MIC-035) JARDÍN DE NIÑOS FRANCISCO GABILONDO SOLER  (CCT: 26DJN0103K)</t>
  </si>
  <si>
    <t xml:space="preserve">REHABILITACION GENERAL DE ESCUELA EN CAJEME, SONORA:2.- (17-MIC-255) JARDÍN DE NIÑOS LORENZO FHILO   (CCT: 26DJN0139Z) </t>
  </si>
  <si>
    <t>REHABILITACION GENERAL DE ESCUELA EN CAJEME, SONORA: 3.- (17-MIC-283) ESCUELA SECUNDARIA OSCAR ROMERO CARPENA  (CCT: 26EST0016Q).</t>
  </si>
  <si>
    <t>REHABILITACION GENERAL DE 1 ESCUELA EN CAJEME, SONORA: 1.- (17-MIC-056) ESCUELA SECUNDARIA GENERAL LIBERALES DE REFORMA  (CCT: 26DES0015Z).</t>
  </si>
  <si>
    <t>REHABILITACION GENERAL DE ESCUELAS EN CAJEME, SONORA: 1.- (17-MIC-039) JARDÍN DE NIÑOS MICAELA MUNGUÍA RIVAS (CCT: 26DJN0660X)</t>
  </si>
  <si>
    <t xml:space="preserve">REHABILITACION GENERAL DE ESCUELAS EN CAJEME, SONORA: 2.- (17-MIC-251) CENTRO DE ATENCIÓN MÚLTIPLE ESTATAL # 1 (CCT: 26EML0001L) </t>
  </si>
  <si>
    <t>REHABILITACION GENERAL DE ESCUELAS EN CAJEME, SONORA:  3.- (17-MIC- 282) ESCUELA SECUNDARIA MOISES SAENZ (CCT: 26DES0014A).</t>
  </si>
  <si>
    <t>REHABILITACION GENERAL DE ESCUELAS EN BENJAMIN HILL Y MAGDALENA, SONORA: 1.- (17-MIC-022) ESCUELA PRIMARIA MIGUEL HIDALGO Y COSTILLA (CCT: 26EPR0021Q)</t>
  </si>
  <si>
    <t>REHABILITACION GENERAL DE ESCUELAS EN BENJAMIN HILL Y MAGDALENA, SONORA: 2.- (17-MIC-346) ESCUELA PRIMARIA NUEVA CREACION (CCT: 26EPR0356C).</t>
  </si>
  <si>
    <t>REHABILITACION GENERAL DE ESCUELAS EN CAJEME, SONORA: 1.- (17-MIC-059) ESCUELA SECUNDARIA  TÉCNICA. # 8 "LUIS ALFONSO FRANCO AGUAYO" (CCT: 26DST0008I)</t>
  </si>
  <si>
    <t>REHABILITACION GENERAL DE ESCUELA EN CAJEME, SONORA:2.- (17-MIC-253) JARDÍN DE NIÑOS LUIS PASTEUR (CCT: 26DJN0185K).</t>
  </si>
  <si>
    <t>REHABILITACION GENERAL DE 1 ESCUELA EN NOGALES, SONORA: 1.- (17-MIC-203) CAM#1 JESÚS MARTÍNEZ OCHOA, AV. CLUB ROTARIO #10  (CCT: 26DML0001M).</t>
  </si>
  <si>
    <t>REHABILITACION GENERAL DE ESCUELA ENCAJEME, SONORA: 1.- (17-MIC-262) ESCUELA PRIMARIA ILDEGARDO BOJÓRQUEZ BUSTAMANTE (CCT: 26EPR0352G)</t>
  </si>
  <si>
    <t>REHABILITACION GENERAL DE ESCUELA EN CAJEME, SONORA:  2.- (17-MIC-403) CLOTILDE FLORES (CCT: 26EPR0052J).</t>
  </si>
  <si>
    <t>REHABILITACION GENERAL DE ESCUELAENCAJEME, SONORA: 1.- (17-MIC-033) JARDÍN DE NIÑOS FANNY ANITUA YÁNEZ (CCT: 26DJN0093U)</t>
  </si>
  <si>
    <t>REHABILITACION GENERAL DE ESCUELA ENCAJEME, SONORA: 2.- (17-MIC-261) JARDÍN DE NIÑOS FRANCISCO ZARCO (CCT: 26DJN0460Z).</t>
  </si>
  <si>
    <t>REHABILITACION GENERAL DE 1 ESCUELA EN NAVOJOA, SONORA: 1.- (17-MIC-361) ESCUELA PRIMARIA JUVENTINO R. SOLANO  (CCT: 26EPR0254F).</t>
  </si>
  <si>
    <t>REHABILITACION GENERAL DE 1 ESCUELA EN NOGALES, SONORA: 1.- (17-MIC-204) CENTRO DE ATENCIÓN MÚLTIPLE No. 43 LABORAL   (CCT: 26DML0043L).</t>
  </si>
  <si>
    <t>CONSTRUCCION DE SUBESTACION Y ALIMENTADORES EN  1.- (17-SUB-066) JARDÍN DE NIÑOS MARGARITA GOMEZ PALACIO MUÑOZ (CCT: 26DJN0654M), EN HERMOSILLO, SONORA.</t>
  </si>
  <si>
    <t>CONSTRUCCION DE SUBESTACION Y ALIMENTADORES EN  1.- (17-SUB-033) JARDÍN DE NIÑOS ESTEFANIA CASTAÑEDA NUÑEZ (CCT: 26EJN0206F), EN HERMOSILLO, SONORA.</t>
  </si>
  <si>
    <t>CONSTRUCCION DE SUBESTACION Y ALIMENTADORES EN  1.- (17-SUB-031) JARDÍN DE NIÑOS INFANTES DEL FUTURO (CCT: 26DJN0653N), EN HERMOSILLO, SONORA.</t>
  </si>
  <si>
    <t>CONSTRUCCION DE SUBESTACION Y ALIMENTADORES EN  1.- (17-SUB-025) JARDÍN DE NIÑOS GANDHI (CCT: 26DJN0253R), EN HERMOSILLO, SONORA.</t>
  </si>
  <si>
    <t>CONSTRUCCION DE SUBESTACION Y ALIMENTADORES EN  1.- (17-SUB-028) JARDÍN DE NIÑOS TLANEXTLI (CCT: 26DJN0404G), EN HERMOSILLO, SONORA.</t>
  </si>
  <si>
    <t>CONSTRUCCION DE SUBESTACION Y ALIMENTADORES EN  1.- (17-SUB-026) JARDÍN DE NIÑOS RAFAEL MENESES ORTÍZ (CCT: 26DJN0393R), EN HERMOSILLO, SONORA.</t>
  </si>
  <si>
    <t>CONSTRUCCION DE SUBESTACION Y ALIMENTADORES EN  1.- (17-SUB-023) JARDÍN DE NIÑOS JUAN JACOBO ROSEAU (CCT: 26DJN0050W), EN HERMOSILLO, SONORA.</t>
  </si>
  <si>
    <t>CONSTRUCCION DE SUBESTACION Y ALIMENTADORES EN  1.- (17-SUB-027) JARDÍN DE NIÑOS FRANCISCO JAVIER CLAVIJERO (CCT: 26DJN0395P), EN HERMOSILLO, SONORA.</t>
  </si>
  <si>
    <t>CONSTRUCCION DE SUBESTACION Y ALIMENTADORES EN  1.- (17-SUB-034) JARDÍN DE NIÑOS  HERIBERTO AJA OLGUÍN (CCT: 26DJN0401J), EN HERMOSILLO, SONORA.</t>
  </si>
  <si>
    <t>REHABILITACION GENERAL DE 1 ESCUELA EN TUBUTAMA, SONORA: 1.- (17-MIC-393) NUEVA CREACION PREESCOLAR NIÑOS MIGRANTES   (CCT: 26DNM0037Z).</t>
  </si>
  <si>
    <t>REHABILITACION GENERAL DE 1 ESCUELA EN ETCHOJOA, SONORA: 1.- (17-MIC-291) ESCUELA PRIMARIA FRANCISCO I. MADERO   (CCT: 26DPR0961J).</t>
  </si>
  <si>
    <t>REHABILITACION GENERAL DE 1 ESCUELA EN ETCHOJOA, SONORA: 1.- (17-MIC-391) JARDÍN DE NIÑOS MARIANO ARISTA   (CCT:  26DJN0389E).</t>
  </si>
  <si>
    <t>REHABILITACION GENERAL DE 1 ESCUELA EN ETCHOJOA, SONORA: 1.- (17-MIC-084) JARDÍN DE NIÑOS JOSÉ JOAQUÍN FERNÁNDEZ DE LIZARDI  (CCT:  26DJN0329Q).</t>
  </si>
  <si>
    <t>REHABILITACION GENERAL DE 1 ESCUELA EN HUATABAMPO, SONORA: 1.- (17-MIC-341) JARDÍN DE NIÑOS GUILLERMO PRIETO  (CCT:  26DJN0329Q).</t>
  </si>
  <si>
    <t>REHABILITACION GENERAL DE 1 ESCUELA EN QUIRIEGO, SONORA: 1.- (17-MIC-221)  ESCUELA PRIMARIA AMADO NERVO  (CCT:  26EPR0198D).</t>
  </si>
  <si>
    <t>(17-GSE-022) CONSTRUCCION DE DOS MODULOS DE CAMPOS DE BEISBOL EN LA LOCALIDAD DE COMISARIA ROSALES, EN EL MUNICIPIO DE NAVOJOA</t>
  </si>
  <si>
    <t xml:space="preserve">1. (17-GSE-024) CONSTRUCCION DE BAÑOS EN PLAZA PUBLICA EN EL POBLADO DE AGIABAMPO, MUNICIPIO DE NAVOJOA, SONORA </t>
  </si>
  <si>
    <t>2. 817-GSE-025) REHABILITACION DE OFICINA DE COMISARIO EJIDAL BASCONCOBE EN EL MUNICIPIO DE ETCHOJOA, SONORA.</t>
  </si>
  <si>
    <t>1. (17-GSE-031) CANCHA MULTIFUNCIONAL EN E.P. NUEVA CREACION EN CALLE REAL DE ROSALES ENTRE BLVD. MISION DEL REAL Y CALLE REAL DEL LLANO EN EL MUNICIPIO DE CAJEME, SONORA</t>
  </si>
  <si>
    <t>(17-GSE-034) REHABILITACION DE COLUMBARIO DEL TEMPLO SAN JUAN CAPISTRANO UBICADO EN CALZADA SAN BERNARDINO Nº 52 ENTRE BLVD NAVARRETE Y BLVD COLOSIO COL. SEMINARIO RESIDENCIAL EN HERMOSILLO, SONORA</t>
  </si>
  <si>
    <t>REHABILITACION GENERAL DE 1 ESCUELA EN FRONTERAS, SONORA: 1.- (17-MIC-091) ESCUELA PRIMARIA JUAN BAUTISTA DE ANZA  (CCT: 26EPR0305W).</t>
  </si>
  <si>
    <t xml:space="preserve">REHABILITACION GENERAL DE ESCUELA EN CABORCA , SONORA: 1.- (17-MIC-249) ESCUELA PRIMARIA FRANCISCO VILLA  (CCT: 26DPR0549S) Y </t>
  </si>
  <si>
    <t>REHABILITACION GENERAL DE ESCUELA EN SAN LUIS RIO COLORADO, SONORA: .- (17-MIC-372) JARDÍN DE NIÑOS IRMA BEATRIZ RASCON CORONADO  (CCT: 26EJN0210S).</t>
  </si>
  <si>
    <t>CONSTRUCCION DE SUBESTACION Y ALIMENTADORES EN  1.- (17-SUB-036) JARDÍN DE NIÑOS PRIMAVERA (CCT: 26DJN0056Q), EN MAGDALENA, SONORA.</t>
  </si>
  <si>
    <t xml:space="preserve">REHABILITACION GENERAL DE ESCUELA EN CAJEME, SONORA: 1.- (17-MIC-049) ESCUELA PRIMARIA PRIMERO DE MAYO  (CCT: 26DPR1243H) </t>
  </si>
  <si>
    <t xml:space="preserve">REHABILITACION GENERAL DE ESCUELA EN CAJEME, SONORA: 2.- (17-MIC-267) ESCUELA PRIMARIA HERMANOS FLORES MAGÓN  (CCT: 26DPR0362O).
</t>
  </si>
  <si>
    <t xml:space="preserve">REHABILITACION GENERAL DE ESCUELA EN NAVOJOA, SONORA: 2.- (17-MIC-359) ESCUELA PRIMARIA LEONA VICARIO  (CCT: 26DPR1155N).
</t>
  </si>
  <si>
    <t>REHABILITACION GENERAL DE 1 ESCUELA EN CAJEME, SONORA: 1.- (17-MIC-031) CENTRO DE ATENCIÓN MÚLTIPLE NÚM. 25  (CCT: 26DML0025W).</t>
  </si>
  <si>
    <t>CONSTRUCCION DE SUBESTACION Y ALIMENTADORES EN  1.- (17-SUB-062) ESCUELA PRIMARIA NUEVA CREACION (CCT: 26EPR0356C), EN MAGDALENA, SONORA.</t>
  </si>
  <si>
    <t>CONSTRUCCION DE SUBESTACION Y ALIMENTADORES EN  1.- (17-SUB-035) JARDÍN DE NIÑOS AUGUSTO FEDERICO FROEBEL (CCT: 26EJN0023Y), EN IMURIS, SONORA.</t>
  </si>
  <si>
    <t>CONSTRUCCION DE SUBESTACION Y ALIMENTADORES EN  1.- (17-SUB-042) ESCUELA PRIMARIA CLUB ROTARIO DE PUERTO PEÑASCO,A.C. (CCT: 26DPR1432Z), EN PUERTO PEÑASCO, SONORA.</t>
  </si>
  <si>
    <t>CONSTRUCCION DE SUBESTACION Y ALIMENTADORES EN  1.- (17-SUB-045) ESCUELA PRIMARIA AMADO NERVO (CCT: 26EJN0023Y), EN QUIRIEGO, SONORA.</t>
  </si>
  <si>
    <t>CONSTRUCCION DE SUBESTACION Y ALIMENTADORES EN  1.- (17-SUB-019) JARDÍN DE NIÑOS MOTOLINEA (CCT: 26DJN0198O), EN GUAYMAS, SONORA.</t>
  </si>
  <si>
    <t>CONSTRUCCION DE SUBESTACION Y ALIMENTADORES EN  1.- (17-SUB-008) JARDÍN DE NIÑOS MARÍA MONTESSORI (CCT: 26DJN0033F), EN CAJEME, SONORA.</t>
  </si>
  <si>
    <t>CONSTRUCCION DE SUBESTACION Y ALIMENTADORES EN  1.- (17-SUB-055) JARDÍN DE NIÑOS RUBEN DARIO (CCT: 26DJN0134D), EN CAJEME, SONORA.</t>
  </si>
  <si>
    <t>CONSTRUCCION DE SUBESTACION Y ALIMENTADORES EN  1.- (17-SUB-001) JARDÍN DE NIÑOS NUEVA VIDA (CCT: 26DJN0008G), EN AGUA PRIETA, SONORA.</t>
  </si>
  <si>
    <t>CONSTRUCCION DE SUBESTACION Y ALIMENTADORES EN  1.- (17-SUB-002) JARDÍN DE NIÑOS MUNDO INFANTIL (CCT: 26DJN0010V)</t>
  </si>
  <si>
    <t>CONSTRUCCION DE SUBESTACION Y ALIMENTADORES EN   2.- (17-SUB-049) JARDÍN DE NIÑOS EULALIA GUZMAN (CCT: 26DJN0358L), EN AGUA PRIETA, SONORA.</t>
  </si>
  <si>
    <t xml:space="preserve">REHABILITACION GENERAL DE ESCUELAS EN CAJEME, SONORA:  1.- (17-MIC-057) ESCUELA SECUNDARIA GENERAL PROFESOR JOSÉ L GUERRA A (CCT: 26DES0034O) </t>
  </si>
  <si>
    <t>REHABILITACION GENERAL DE ESCUELAS EN CAJEME, SONORA:  2.- (17-MIC-058) ESCUELA SECUNDARIA TÉCNICA "JUAN RIVERA ARMENTA" (CCT: 26DST0002O).</t>
  </si>
  <si>
    <t>CONSTRUCCION DE SUBESTACION Y ALIMENTADORES EN  1.- (17-SUB-054) JARDÍN DE NIÑOS PROFA. BEATRIZ ORDONEZ ACUÑA (CCT: 26DJN0540K), EN CAJEME, SONORA.</t>
  </si>
  <si>
    <t>CONSTRUCCION DE SUBESTACION Y ALIMENTADORES EN  1.- (17-SUB-067) JARDÍN DE NIÑOS SIMÓN BOLIVAR (CCT: 26DJN0126V), EN HERMOSILLO, SONORA.</t>
  </si>
  <si>
    <t>CONSTRUCCION DE SUBESTACION Y ALIMENTADORES EN  1.- (17-SUB-040) ESCUELA SECUNDARIA TECNICA NUM. 33 (CCT: 26DST0033H), EN RAYON, SONORA.</t>
  </si>
  <si>
    <t>CONSTRUCCION DE SUBESTACION Y ALIMENTADORES EN  1.- (17-SUB-022) JARDÍN DE NIÑOS NACAMERI (CCT: 26DJN0029T), EN HERMOSILLO, SONORA.</t>
  </si>
  <si>
    <t>CONSTRUCCION DE SUBESTACION Y ALIMENTADORES EN  1.- (17-SUB-029) JARDÍN DE NIÑOS SOLEDAD LEYVA MUNGUIA (CCT: 26DJN0604E), EN HERMOSILLO, SONORA.</t>
  </si>
  <si>
    <t>REHABILITACION GENERAL DE ESCUELAS EN CAJEME, SONORA:  1.- (17-MIC-037) JARDÍN DE NIÑOS SOR JUANA INÉS DE LA CRUZ (CCT: 26DJN0508B)</t>
  </si>
  <si>
    <t>REHABILITACION GENERAL DE ESCUELAS EN CAJEME, SONORA:  2.- (17-MIC-054) ESCUELA PRIMARIA EJÉRCITO NACIONAL MEXICANO (CCT: 26EPR0043B).</t>
  </si>
  <si>
    <t>REHABILITACION GENERAL DE 1 ESCUELA EN CAJEME, SONORA:  1.- (17-MIC-268) JARDÍN DE NIÑOS JAIME SABINES (CCT: 26DJN0627P).</t>
  </si>
  <si>
    <t>REHABILITACION GENERAL DE 1 ESCUELA EN HUATABAMPO, SONORA:  1.- (17-MIC-184) JARDÍN DE NIÑOS GUSTAVO E CAMPA (CCT: 26DJN0308D).</t>
  </si>
  <si>
    <t>REHABILITACION GENERAL DE 1 ESCUELA EN NAVOJOA, SONORA:  1.- (17-MIC-201) ESCUELA PRIMARIA RICARDO FLORES MAGÓN (CCT: 26DPR0553E).</t>
  </si>
  <si>
    <t>REHABILITACION GENERAL DE 1 ESCUELA EN OPODEPE, SONORA:  1.- (17-MIC-211) ESCUELA PRIMARIA EUSEBIO FRANCISCO KINO (CCT: 26EPR0283A).</t>
  </si>
  <si>
    <t>REHABILITACION GENERAL DE 1 ESCUELA EN CAJEME, SONORA:  1.- (17-MIC-270) ESCUELA PRIMARIA FELIPE ÁNGELES (CCT: 26DPR1442G).</t>
  </si>
  <si>
    <t>REHABILITACION GENERAL DE 1 ESCUELA EN ETCHOJOA, SONORA:  1.- (17-MIC-388) ESCUELA PRIMARIA INDÍGENA REVOLUCIÓN (CCT:  26DPB0108V).</t>
  </si>
  <si>
    <t>REHABILITACION GENERAL DE 1 ESCUELA EN GENERAL PLUTARCO ELIAS CALLES, SONORA:  1.- (17-MIC-394) TELESECUNDARIA 362 (CCT:  26ETV0362M).</t>
  </si>
  <si>
    <t>REHABILITACION GENERAL DE 1 ESCUELA EN SAN LUIS RIO COLORADO, SONORA:  1.- (17-MIC-374) JARDÍN DE NIÑOS SONORA (CCT:  26DJN0208E).</t>
  </si>
  <si>
    <t>REHABILITACION GENERAL DE 1 ESCUELA EN GENERAL PLUTARCO ELIAS CALLES, SONORA:  1.- (17-MIC-213) ESCUELA SECUNDARIA TÉCNICA NO. 36 (CCT: 26DST0036E).</t>
  </si>
  <si>
    <t>CONSTRUCCION DE SUBESTACION Y ALIMENTADORES EN  1.- (17-SUB-063) JARDÍN DE NIÑOS BENITO PEREZ GALDOS (CCT: 26DJN0574A), EN NAVOJOA, SONORA.</t>
  </si>
  <si>
    <t>REHABILITACION GENERAL DE 1 ESCUELA EN NOGALES, SONORA:  1.- (17-MIC-206) ESCUELA PRIMARIA MÁRTIRES DE 1906 (CCT: 26DPR0740Z).</t>
  </si>
  <si>
    <t>REHABILITACION GENERAL DE 1 ESCUELA EN CAJEME, SONORA:  1.- (17-MIC-260) JARDÍN DE NIÑOS RUBÉN DARÍO (CCT: 26DPR0740Z).</t>
  </si>
  <si>
    <t xml:space="preserve">REHABILITACION GENERAL DE ESCUELAS EN CANANEA , SONORA:  1.- (17-MIC-062) JARDÍN DE NIÑOS MINERITO (CCT: 26DJN0645E) </t>
  </si>
  <si>
    <t>REHABILITACION GENERAL DE ESCUELAS EN CFRONTERAS, SONORA:  2.- (17-MIC-090) JARDÍN DE NIÑOS MESA BONITA (CCT: 26DJN0639U).</t>
  </si>
  <si>
    <t>REHABILITACION GENERAL DE 1 ESCUELA EN BENITO JUAREZ, SONORA:  1.- (17-MIC-019) JARDÍN DE NIÑOS INDÍGENA. U ILI JAQUIA (CCT: 26DCC0140Z).</t>
  </si>
  <si>
    <t>REHABILITACION GENERAL DE 1 ESCUELA EN BENITO JUAREZ, SONORA:  1.- (17-MIC-248) JARDÍN DE NIÑOS INDÍGENA LA BALSA (CCT:26DCC0143W).</t>
  </si>
  <si>
    <t>CONSTRUCCION DE SUBESTACION Y ALIMENTADORES EN  1.- (17-SUB-009) JARDÍN DE NIÑOS MICAELA MUNGUIA RIVAS (CCT: 26DJN0660X), EN CAJEME, SONORA.</t>
  </si>
  <si>
    <t>CONSTRUCCION DE SUBESTACION Y ALIMENTADORES EN  1.- (17-SUB-003) JARDÍN DE NIÑOS PROGRESO (CCT: 26DJN0029T), EN AGUA PRIETA, SONORA.</t>
  </si>
  <si>
    <t>CONSTRUCCION DE SUBESTACION Y ALIMENTADORES EN  1.- (17-SUB-006) ESCUELA PRIMARIA GENERAL ABELARDO L RODRIGUEZ (CCT: 26EPR0009V), EN ARIZPE, SONORA.</t>
  </si>
  <si>
    <t>REHABILITACION GENERAL DE 1 ESCUELA EN SAN LUIS RIO COLORADO, SONORA:  1.- (17-MIC-376) ESCUELA PRIMARIA JESUS GARCIA (CCT:  26DPR0526H).</t>
  </si>
  <si>
    <t>REHABILITACION GENERAL DE 1 ESCUELA EN SAN LUIS RIO COLORADO, SONORA:  1.- (17-MIC-378) ESCUELA PRIMARIA LUIS G. CANO (CCT:  26EPR0207V).</t>
  </si>
  <si>
    <t>CONSTRUCCION DE SUBESTACION Y ALIMENTADORES EN  1.- (17-SUB-039) CAM#1 JESUS MARTINEZ OCHOA, AV. CLUB ROTARIO #10 (CCT: 26DML0001M), EN NOGALES, SONORA.</t>
  </si>
  <si>
    <t>CONSTRUCCION DE SUBESTACION Y ALIMENTADORES EN  1.- (17-SUB-070) ESCUELA PRIMARIA OTHÓN ALMADA (CCT: 26EPR0146Y), EN MAGDALENA, SONORA.</t>
  </si>
  <si>
    <t>REHABILITACION GENERAL DE 1 ESCUELA EN GUAYMAS, SONORA:  1.- (17-MIC-104) ESCUELA SECUNDARIA GENERAL "ABELARDO L. RODRÍGUEZ" (CCT:  26DES0010E).</t>
  </si>
  <si>
    <t>REHABILITACION GENERAL DE 1 ESCUELA EN GUAYMAS, SONORA:  1.- (17-MIC-095) JARDÍN DE NIÑOS MOTOLINEA (CCT:  26DJN0198O).</t>
  </si>
  <si>
    <t>REHABILITACION GENERAL DE 1 ESCUELA EN HUATABAMPO, SONORA:  1.- (17-MIC-337) JARDÍN DE NIÑOS INDÍGENA U-TAA (CCT:  26DCC0054C).</t>
  </si>
  <si>
    <t>CONSTRUCCION DE SUBESTACION Y ALIMENTADORES EN (17-SUB-056) ESCUELA PRIMARIA JOSÉ MARÍA LEYVA (CCT: 26DPR0015G), EN CAJEME, SONORA.</t>
  </si>
  <si>
    <t>CONSTRUCCION DE SUBESTACION Y ALIMENTADORES EN (17-SUB-050) ESCUELA PRIMARIA PRIMERO DE MAYO (CCT: 26DPR1243H), EN CAJEME, SONORA.</t>
  </si>
  <si>
    <t>REHABILITACION GENERAL DE 1 ESCUELA EN SAN LUIS RIO COLORADO, SONORA: 1.- (17-MIC-375) JARDÍN DE NIÑOS  ALBITA ZARAGOZA DE OCAÑA (CCT: 26DJN0564U).</t>
  </si>
  <si>
    <t>REHABILITACION GENERAL DE 1 ESCUELA EN SAN LUIS RIO COLORADO, SONORA: 1.- (17-MIC-379) ESCUELA SECUNDARIA GENERAL No1,  CAPITAN CARLOS G. CALLES (CCT: 26DES0017Y).</t>
  </si>
  <si>
    <t>REHABILITACION GENERAL DE 1 ESCUELA EN NOGALES, SONORA: 1.- (17-MIC-210) ESCUELA SECUNDARIA PROFESOR LUIS BASURTO GUZMÁN (CCT: 26DES0022J).</t>
  </si>
  <si>
    <t>REHABILITACION GENERAL DE 1 ESCUELA EN GUAYMAS, SONORA: 1.- (17-MIC-094) J.N. ADOLFO DE LA HUERTA (CCT: 26DJN0049G).</t>
  </si>
  <si>
    <t xml:space="preserve">1.- (17-CC-001) REHABILITACION GENERAL DE TEMPLO RAHUM MUNICIPIO DE GUAYMAS, SONORA </t>
  </si>
  <si>
    <t xml:space="preserve">2.- (17-CC-002) REHABILITACION GENERAL DE LA CAPILLA DEL CARMEN DE LA ETNIA YAQUI EN LA LOCALIDAD DE LAS GUASIMAS, DELM MUNICIPIO DE GUAYMAS, SONORA. </t>
  </si>
  <si>
    <t>3. (17-CC-003) REHABILITACION GENERAL DE LA GUARDIA TRADICIONAL DE LA ETNIA YAQUI EN LA LOCALIDAD DEL PUEBLO DE VICAM DEL MUNICIPIO DE GUAYMAS, SONORA.</t>
  </si>
  <si>
    <t>4.- (17-CC-004) REHABILITACION GENERAL DE LA IGLESIA DE PUEBLO DE VICTAM DE LA ETNIAYAQUI EN LA LOCALIDAD DE PUEBLOD E VICAM, DEL MUNICIPIO DE GUAYMAS, SONORA.</t>
  </si>
  <si>
    <t xml:space="preserve">5.-(17-CC-005) REHABILITACION GENERAL DEL CENTRO CEREMONIALSAN RAFAEL DE HUIRIBIS DE LA ETNIA YAQUI EN LA LOCALIDAD DE HUIRIBIS DEL MUNICIPIO DE GUAYMAS, SONORA. </t>
  </si>
  <si>
    <t xml:space="preserve">6.- (17-CC-006) REHABILITACION GENERAL DE LA GAURDIA TRADICIONAL DE LA ETNIA YAQUI EN LA LOCALIDAD DE BELEM PITAHAYA DEL MUNICIPIO DE GUAYMAS, SONORA. </t>
  </si>
  <si>
    <t>7.- 817-CC-007) REHABILITACION GENERAL DEL CENTRO CEREMONIAL BARRIO MERIDA DE LA ETNIA YAQUI EN LA LOCALIDAD DE POTAM RIO YAQUI DEL MUNICIPIO DE GUAYMAS, SONORA.</t>
  </si>
  <si>
    <t xml:space="preserve">REHABILITACION GENERAL DE ESCUELAS EN CANANEA , SONORA: 1.- (17-MIC-284) ESCUELA PRIMARIA IGNACIO ZARAGOZA (CCT: 26DPR0335R) </t>
  </si>
  <si>
    <t>REHABILITACION GENERAL DE  ESCUELAS NACO, SONORA: 2.- (17-MIC-348) ESCUELA SECUNDARIA RICARDO MONTIJO CASTRO (CCT: 26DST0029V).</t>
  </si>
  <si>
    <t>REHABILITACION GENERAL DE 1 ESCUELA EN HUATABAMPO, SONORA: 1.- (17-MIC-340) JARDÍN DE NIÑOS INDÍGENA SIN NOMBRE (CCT: 26DCC0300W).</t>
  </si>
  <si>
    <t>REHABILITACION GENERAL DE 1 ESCUELA EN GUAYMAS, SONORA: 1.- (17-MIC-101) ESCUELA PRIMARIA PORFIRIO BUITIMEA (CCT: 26DPR0340C).</t>
  </si>
  <si>
    <t>REHABILITACION GENERAL DE  ESCUELAS EN NAVOJOA, SONORA:2.- (17-MIC-358) ESCUELA PRIMARIA MARIANO ESCOBEDO (CCT: 26DPR0877L).</t>
  </si>
  <si>
    <t>CONSTRUCCION DE SUBESTACION Y ALIMENTADORES EN (17-SUB-048) ESCUELA PRIMARIA LAZARO CARDENAS DEL RIO (CCT: 26DPR0058E), EN CAJEME, SONORA.</t>
  </si>
  <si>
    <t>REHABILITACION GENERAL DE 1 ESCUELA EN BACADEHUACHI, SONORA: 1.- (17-MIC-013) PRIMARIA GILBERTO R. LIMÓN (CCT: 26EPR0011J).</t>
  </si>
  <si>
    <t>REHABILITACION GENERAL DE 1 ESCUELA EN GUAYMAS, SONORA: 1.- (17-MIC-301) TELESECUNDARIA 331 (CCT: 26ETV0331T).</t>
  </si>
  <si>
    <t>REHABILITACION GENERAL DE 1 ESCUELA EN CAJEME, SONORA: 1.- (17-MIC-051) ESCUELA PRIMARIA HEROICO COLEGIO MILITAR (CCT: 26DPR1358I).</t>
  </si>
  <si>
    <t>REHABILITACION GENERAL DE 1 ESCUELA EN CAJEME, SONORA: 1.- (17-MIC-277) ESCUELA PRIMARIA PROFESOR EUSEBIO MONTERO MORALES (CCT: 26EPR0034U).</t>
  </si>
  <si>
    <t>CONSTRUCCION DE SUBESTACION Y ALIMENTADORES EN (17-SUB-052)  JARDÍN DE NIÑOS ANGELA C. DE VALDEZ (CCT: 26DJN0146I), EN FRONTERAS, SONORA.</t>
  </si>
  <si>
    <t>CONSTRUCCION DE SUBESTACION Y ALIMENTADORES EN (17-SUB-058)  JARDÍN DE NIÑOS CARLOS PERRAULT (CCT: 26DJN0197P), EN GUAYMAS, SONORA.</t>
  </si>
  <si>
    <t>CONSTRUCCION DE SUBESTACION Y ALIMENTADORES EN (17-SUB-037)  ESCUELA PRIMARIA MIGUEL HIDALGO (CCT: 26DPR0137R), EN NAVOJOA, SONORA.</t>
  </si>
  <si>
    <t>CONSTRUCCION DE SUBESTACION Y ALIMENTADORES EN (17-SUB-065)  ESCUELA PRIMARIA JUVENTINO R. SOLANO (CCT: 26EPR0254F), EN NAVOJOA, SONORA.</t>
  </si>
  <si>
    <t>CONSTRUCCION DE SUBESTACION Y ALIMENTADORES EN (17-SUB-064)  JARDÍN DE NIÑOS INDÍGENA EL RANCHITO (CCT: 26DCC0001Y), EN NAVOJOA, SONORA.</t>
  </si>
  <si>
    <t>CONSTRUCCION DE SUBESTACION Y ALIMENTADORES EN (17-SUB-017)  ESCUELA PRIMARIA NIÑOS HEROES (CCT: 26DPR0382B), EN ETCHOJOA, SONORA.</t>
  </si>
  <si>
    <t>REHABILITACION GENERAL DE 1 ESCUELA EN PUERTO PEÑASCO, SONORA: 1.- (17-MIC-218) ESCUELA PRIMARIA FRANCISCO URREA BERMUDEZ (CCT: 26EPR0217B).</t>
  </si>
  <si>
    <t xml:space="preserve">REHABILITACION GENERAL DE ESCUELAS EN PUERTO PEÑASCO, SONORA: 1.- (17-MIC-369) PRIMARIA VICENTE GUERRERO (CCT: 26DPR1379V) </t>
  </si>
  <si>
    <t>REHABILITACION GENERAL DE ESCUELAS EN PUERTO PEÑASCO, SONORA:  2.- (17-MIC-370) ESCUELA PRIMARIA 1 DE JUNIO (CCT: 26DPR0681Z).</t>
  </si>
  <si>
    <t>REHABILITACION GENERAL DE 1 ESCUELA EN BACUM, SONORA: 1.- (17-MIC-016) ESCUELA SECUNDARIA TÉCNICA No. 26 "EMIGDIO LÓPEZ PÉREZ" (CCT: 26DST0026Y).</t>
  </si>
  <si>
    <t>REHABILITACION GENERAL DE 1 ESCUELA EN HUATABAMPO, SONORA: 1.- (17-MIC-344) ESCUELA SECUNDARIA TÉCNICA 50 (CCT: 26DST0050Y).</t>
  </si>
  <si>
    <t>CONSTRUCCION DE SUBESTACION Y ALIMENTADORES EN (17-SUB-018)  ESCUELA PRIMARIA JUAN BAUTISTA DE ANZA (CCT: 26EPR0305W), EN FRONTERAS, SONORA.</t>
  </si>
  <si>
    <t>REHABILITACION GENERAL DE 1 ESCUELA EN BACAME NUEVO, SONORA: 1.- (17-MIC-089) ESCUELA SECUNDARIA TÉCNICA 25 GUADALUPE ARGUELLES OBREGÓN (CCT: 26DST0025Z).</t>
  </si>
  <si>
    <t>REHABILITACION GENERAL DE 1 ESCUELA EN DIVISADEROS, SONORA: 1.- (17-MIC-287) ESCUELA PRIMARIA IGNACIO ZARAGOZA (CCT: 26EPR0066M).</t>
  </si>
  <si>
    <t>REHABILITACION GENERAL DE 1 ESCUELA EN PITIQUITO, SONORA: 1.- (17-MIC-395) ESCUELA PRIMARIA ELVIRA LIZARRAGA VALENZUELA    (CCT: 26EPR0322M).</t>
  </si>
  <si>
    <t>REHABILITACION GENERAL DE 1 ESCUELA EN SANTA ANA, SONORA: 1.- (17-MIC-404) ESCUELA PRIMARIA HERMANAS VALENCIA  (CCT: 26EPR0222N).</t>
  </si>
  <si>
    <t>REHABILITACION GENERAL DE 1 ESCUELA EN CABORCA, SONORA: 1.- (17-MIC-396) TELESECUNDARIA 328  (CCT: 26ETV0328F).</t>
  </si>
  <si>
    <t>(17-GSE-002).- CONSTRUCCIÓN DE PARQUE NUEVO HERMOSILLO, UBICADO EN AVENIDA PALOMA PITHAYERA ENTRE CALLE CACHORA Y POROHUI, COLONIA NUEVO HERMOSILLO, EN HERMOSILLO, SONORA.</t>
  </si>
  <si>
    <t>(17-GSE-038) CONSTRUCCION DE SEGUNDA ETAPA DE UNIDAD DEPORTIVA NORTE CD. OBREGON, CAJEME, SONORA.</t>
  </si>
  <si>
    <t>REHABILITACION GENERAL DE ESCUELAS EN AGUA PRIETA, SONORA: 3.- (17-MIC-234) ESCUELA PRIMARIA NUEVA CREACIÓN (CCT: 26DPR1517G);</t>
  </si>
  <si>
    <t>REHABILITACION GENERAL DE ESCUELAS EN AGUA PRIETA, SONORA:  4.- (17-MIC-235) ESCUELA PRIMARIA MARGARITA MAZA DE JUÁREZ (CCT: 26EPR0310H)</t>
  </si>
  <si>
    <t>CONSTRUCCION DE SUBESTACION Y ALIMENTADORES EN (17-SUB-046) ESCUELA SECUNDARIA TECNICA NUM. 69  (1 Y 2) (CCT: 26DST0069W), EN SAN LUIS RIO COLORADO, SONORA.</t>
  </si>
  <si>
    <t>CONSTRUCCION DE SUBESTACION Y ALIMENTADORES EN (17-SUB-069) ESCUELA SECUNDARIA TÉCNICA ESTATAL LUIS DONALDO COLOSIO MURRIETA (CCT: 26EST0001O), EN CABORCA, SONORA.</t>
  </si>
  <si>
    <t>CONSTRUCCION DE SUBESTACION Y ALIMENTADORES EN (17-SUB-013) ESCUELA SECUNDARIA RICARDO FLORES MAGON (CCT: 26DST0009H), EN CANANEA, SONORA.</t>
  </si>
  <si>
    <t>CONSTRUCCION DE SUBESTACION Y ALIMENTADORES EN (17-SUB-011) ESCUELA SECUNDARIA GENERAL PROF. JOSE L GUERRA A (CCT: 26DES0034O), EN CAJEME, SONORA.</t>
  </si>
  <si>
    <t>CONSTRUCCION DE SUBESTACION Y ALIMENTADORES EN (17-SUB-010) ESCUELA PRIMARIA EJÉRCITO NACIONAL MEXICANO (CCT: 26EPR0043B), EN CAJEME, SONORA.</t>
  </si>
  <si>
    <t>CONSTRUCCION DE SUBESTACION Y ALIMENTADORES EN (17-SUB-068) ESCUELA SECUNDARIA TÉCNICA 50 (CCT: 26DST0050Y), EN HUATABAMPO, SONORA.</t>
  </si>
  <si>
    <t>REHABILITACION GENERAL DE 1 ESCUELA EN MAGDALENA, SONORA: 1.- (17-MIC-193) ESCUELA SECUNDARIA LUIS DONALDO COLOSIO MURRIETA (CCT: 26DES0040Z).</t>
  </si>
  <si>
    <t>REHABILITACION GENERAL DE 1 ESCUELA EN HERMOSILLO, SONORA: 1.- (17-MIC-332) ESCUELA SECUNDARIA GENERAL No. 4 "PROFR. RUBÉN A. GUTIÉRREZ CARRANZA" (CCT: 26DES0019W).</t>
  </si>
  <si>
    <t>CONSTRUCCION DE SUBESTACION Y ALIMENTADORES EN (17-SUB-057) ESCUELA PRIMARIA PROFESOR HUMBERTO OCHOA MARTINEZ (CCT: 26EPR0081E), EN CAJEME, SONORA.</t>
  </si>
  <si>
    <t xml:space="preserve">CONSTRUCCION DE SUBESTACION Y ALIMENTADORES EN (17-SUB-044) ESCUELA SECUNDARIA ESTATAL No. 17, PROFRA. CATALINA ACOSTA DE BERNAL (CCT: 26EES0017X), EN HUATABAMPO, SONORA.
</t>
  </si>
  <si>
    <t>REHABILITACION DE PAVIMENTO A BASE DE CARPETA ASFALTICA EN 2 CALLES: 1.- (17-R23-027) CALLE BENITO JUAREZ ENTRE AVE. AGUASCALIENTES Y AVE. SEGURO SOCIAL EN HERMOSILLO, SONORA.</t>
  </si>
  <si>
    <t>RAMO 23: FORTALECE</t>
  </si>
  <si>
    <t>REHABILITACION DE PAVIMENTO A BASE DE CARPETA ASFALTICA EN 2 CALLES: 2.- (17-R23-026) CALLE HERIBERTO AJA ENTRE BLVD. ABELARDO L. RODRIGUEZ Y BLVD. LUIS ENCINAS EN HERMOSILLO, SONORA.</t>
  </si>
  <si>
    <t>REHABILITACION DE PAVIMENTO A BASE DE CARPETA ASFALTICA EN 2 CALLES:  (17-R23-002) CARPETA ASFALTICA Y REHABILITACION DE MURETE DE CONTENCION PARA TERRACERIAS EN BLVD. JESUS GARCIA MORALES, ENTRE CALLE PADRE G.R. Y AGUSTIN COMEZ DEL CAMPO, EN HERMOSILLO, SONORA.</t>
  </si>
  <si>
    <t>CONSTRUCCIÓN DE 2 OBRAS: 1.- (17-R23-025) CACHA POLIDEPORTIVA Y BAÑOS EN LA VICTORIA, UBICADA EN CALLE EUCALIPTO ENTRE CALLE DEL PINO Y CALLE BENJAMINA, LOCALIDAD LA VICTORIA, EN HERMOSILLO, SONORA.</t>
  </si>
  <si>
    <t>CONSTRUCCIÓN DE 2 OBRAS: 2.- (17-R23-024) AULA AUDIOVISUAL PARA ICATSON EN CALLE PERIMETRAL NORTE ENTRE BLVD. SOLIDARIDAD Y REPUBLICA DE PUERTO RICO, COLONIA ALVARO OBREGON, EN HERMOSILLO, SONORA.</t>
  </si>
  <si>
    <t>CONSTRUCCION DE 3 OBRAS: 1.-  (17-R23-005) AULA DE ESCUELA PREESCOLAR COMUNITARIO CONAFE EN DE LA LOCALIDAD DE EL ORABA, EN HUATABAMPO, SONORA.</t>
  </si>
  <si>
    <t>CONSTRUCCION DE 3 OBRAS:2.- (17-R23-014) TECHUMBRE EN EL CERESO FEMENIL DE LA LOCALIDAD HUATABAMPO, EN HUATABAMPO, SONORA.</t>
  </si>
  <si>
    <t>CONSTRUCCION DE 3 OBRAS:3.- (17-R23-010) PARQUE INFANTIL EN LA LOCALIDAD DE LOMA DE ETCHOROPOEN HUATABAMPO, SONORA.</t>
  </si>
  <si>
    <t>REHABILITACION DE 2 OBRAS: 1.- (17-R23-008)  CAMPO DE BEISBOL Y PAVIMENTACION DE ESTACIONAMIENTO EN EL ESTADIO JESUS C. IBARRA , EN HUATABAMPO, SONORA.</t>
  </si>
  <si>
    <t>REHABILITACION DE 2 OBRAS:2.- (17-R23-009) CANCHA MULTIFUNCIONAL Y CONSTRUCCION DE BAÑOS EN LA COL. 14 DE ENERO, EN HUATABAMPO, SONORA.</t>
  </si>
  <si>
    <t>CONSTRUCCION DE 6 OBRAS: 1.- (17-R23-022) TECHUMBRE EN CLINICA DE SALUD DE LA LOCALIDAD DE JITONHUECA; EN ETCHOJOA, SONORA.</t>
  </si>
  <si>
    <t>CONSTRUCCION DE 6 OBRAS: 2.- (17-R13-021) BARDA Y NIVELACION DE CAMPO DE BEISBOL DE LA LOCALIDAD DE LA VASCONIA (DEL APELLIDO VASCO); EN ETCHOJOA, SONORA.</t>
  </si>
  <si>
    <t>CONSTRUCCION DE 6 OBRAS:3.- (17-R23-004) PARQUE INFANTIL EN LA LOCALIDAD DE EL GUAYPARIN;EN ETCHOJOA, SONORA.</t>
  </si>
  <si>
    <t>CONSTRUCCION DE 6 OBRAS:4.- (17-R23-011) CONSTRUCCION DE PARQUE INFANTIL EN LA LOCALIDAD DE HUIROACHACA; EN ETCHOJOA, SONORA.</t>
  </si>
  <si>
    <t>CONSTRUCCION DE 6 OBRAS:5.- (17-R23-012) GRADAS Y DOGOUTS EN EL ESTADIO DE BEISBOL DE LA LOCALIDAD DE EL SALITRAL EN ETCHOJOA, SONORA.</t>
  </si>
  <si>
    <t>CONSTRUCCION DE 6 OBRAS: 6.- (17-R23-013) TECHUMBRE EN EL CENTRO DE USOS MULTIPLES DE LA LOCALIDAD DE LAS GUAYABAS, EN ETCHOJOA, SONORA.</t>
  </si>
  <si>
    <t>REHABILITACION DE 3 OBRAS: 1.- (17-R23-018) PLAZA PUBLICA UBICADA EN CALLE NAYARIT Y COLIMA, EN LA LOCALIDAD DE MASIACA, NAVOJOA</t>
  </si>
  <si>
    <t>REHABILITACION DE 3 OBRAS: 2.- (17-R23-017) SALON Y BAÑOS Y CONSTRUCCIÓN DE BARDA EN DE CANCHA DE USOS MULTIPLES EN LA LOCALIDAD DE FUNDICION, NAVOJOA</t>
  </si>
  <si>
    <t>REHABILITACION DE 3 OBRAS: 3.- (17-R23-015) ACCESO PRINCIPAL DEL PANTEON MUNICIPAL DE LA LOCALIDAD DE QUIRIEGO, EN QUIRIEGO, SONORA.</t>
  </si>
  <si>
    <t>REHABILITACION DE 2 OBRAS: 1.- (17-R23-006) PASO SUPERIOR VEHICULAR Y PEATONAL Y CRUCERO EN CALLE MORELOS Y PERIFERICO NORTE EN HERMOSILLO, SONORA.</t>
  </si>
  <si>
    <t>REHABILITACION DE 2 OBRAS: 2.- (17-R23-023) PARQUE INFANTIL, ANDADORES Y AREA DE RECREACION EN LA LOCALIDAD DE SAN JAVIER, EN SAN JAVIER, SONORA.</t>
  </si>
  <si>
    <t>(17-R23-019) CONSTRUCCION DE TECHUMBRE EN CECYTES DE LA LOCALIDAD DE BASIROA, ALAMOS, SONORA.</t>
  </si>
  <si>
    <t>(17-R23-007) REHABILITACION DE GIMNACIO MUNICIPAL DE LA LOCALIDAD DE ALAMOS, ALAMOS, SONORA.</t>
  </si>
  <si>
    <t>(17-R23-016) CONSTRUCCIÓN DE TECHUMBRE Y EQUIPAMIENTO EN ESCUELA PRIMARIA RURAL FEDERAL JOSEFA ORTIZ DE DOMINGUEZ, EN LA LOCALIDAD DE LA ESTRELLA, MUNICIPIO DE ROSARIO, EN EL ESTADO DE SONORA.</t>
  </si>
  <si>
    <t>(17-R23-020) CONSTRUCCION DE CANCHA FUTBOL 7 CON PASTO SINTETICO EN LA LOCALIDAD DE VILLA JUAREZ, MUNICIPIO DE BENITO JUAREZ, EN EL ESTADO DE SONORA.</t>
  </si>
  <si>
    <t>(17-R23-001) CONSTRUCCIÓN DE AREA DE REHABILITACIÓN PARA EL ADULTO MAYOR EN INAPAM, EN LA LOCALIDAD DE CIUDAD OBREGON, MUNICIPIO DE CAJEME, EN EL ESTADO DE SONORA.</t>
  </si>
  <si>
    <t>ALUMBRADO PÚBLICO, UBICADO EN CALLE 44 AVENIDA 22 A 26, EN LA LOCALIDAD DE AGUA PRIETA.</t>
  </si>
  <si>
    <t>PISO NORMAL</t>
  </si>
  <si>
    <t>AMPLIACIÓN DE LA RED DE ELECTRIFICACIÓN, UBICADA EN CALLE 44 AVENIDA 22 A 26, EN LA LOCALIDAD DE AGUA PRIETA.</t>
  </si>
  <si>
    <t>AMPLIACIÓN DE LA RED DE ELECTRIFICACIÓN, UBICADA EN CALLEJÓN 44 Y 45 AVENIDA 20 A 22, EN LA LOCALIDAD DE AGUA PRIETA.</t>
  </si>
  <si>
    <t>RECARPETEO A BASE DE CARPETA ASFÁLTICA EN ÁREA DAÑADA DE PAVIMENTO, UBICADO EN CALLE TOMÁS OROS GAYTÁN, ENTRE HIDALGO Y MORELOS, LOCALIDAD ALTAR.</t>
  </si>
  <si>
    <t>RECARPETEO A BASE DE CARPETA ASFÁLTICA EN ÁREA DAÑADA DE PAVIMENTO, UBICADO EN CALLE ZARAGOZA, ENTRE BARTOLO QUIHUIS Y EVARISTO ARAIZA, LOCALIDAD ALTAR.</t>
  </si>
  <si>
    <t>RECARPETEO A BASE DE CARPETA ASFÁLTICA EN ÁREA DAÑADA DE PAVIMENTO, UBICADO EN BOULEVARD HIDALGO, ENTRE CALLES PEDRO P. VARELA Y BARTOLO QUIHUIS, LOCALIDAD ALTAR.</t>
  </si>
  <si>
    <t>INSTALACIÓN DE MÓDULOS INFANTILES Y EJERCITADORES EN CANCHA DEPORTIVA LA OTRA BANDA, UBICADO EN DOMICILIO CONOCIDO CALLE CAMINO A LOS CHACUALES, COLONIA LA OTRA BANDA, LOCALIDAD ALTAR.</t>
  </si>
  <si>
    <t>CONSTRUCCIÓN DE CERCO PERIMETRAL EN CENTRO DE CATECISMO SAN PABLO, UBICADO EN DOMICILIO CONOCIDO CALLE GUADALUPE, COLONIA LAS LOMAS, LOCALIDAD ALTAR.</t>
  </si>
  <si>
    <t>AMPLIACIÓN DE PAVIMENTO DE CONCRETO HIDRÁULICO EN CALLE OBREGÓN Y AVENIDA DIEGO VALENZUELA, EN LA LOCALIDAD DE ÁTIL.</t>
  </si>
  <si>
    <t>CONSTRUCCIÓN DE DENTELLÓN Y EMPEDRADO PARA PROTECCIÓN PLUVIAL EN CALLE OBREGÓN Y ARROYO SECTOR CANAL, EN LA LOCALIDAD DE ÁTIL.</t>
  </si>
  <si>
    <t>REHABILITACIÓN DE MUROS Y TECHOS EN IGLESIA CATÓLICA SAN FRANCISCO DE ASÍS, UBICADO EN CALLE FRANCISCO I. MADERO ESQUINA CON FEDERICO CELAYA, EN LA LOCALIDAD DE ÁTIL.</t>
  </si>
  <si>
    <t>CONSTRUCCIÓN DE MURO DE CONTENCIÓN EN CALLES SANTA TERESITA Y REVOLUCIÓN, COLONIA CENTRO, EN LA LOCALIDAD DE ÁTIL.</t>
  </si>
  <si>
    <t>PAVIMENTO DE CONCRETO HIDRÁULICO EN CALLE MÉXICO FINAL ENTRE CALLEJÓN SIN NOMBRE Y AVENIDA JOSÉ ANTONIO TARAZÓN, BARRIO SAN LUIS, EN LA LOCALIDAD DE BACADÉHUACHI.</t>
  </si>
  <si>
    <t>PAVIMENTO DE CONCRETO HIDRÁULICO EN CALLE SUFRAGIO EFECTIVO ENTRE CALLEJÓN SIN NOMBRE Y AVENIDA JOSÉ ANTONIO TARAZÓN, BARRIO SAN LUIS, EN LA LOCALIDAD DE BACADÉHUACHI.</t>
  </si>
  <si>
    <t>REHABILITACIÓN DE PLAZA PÚBLICA DE ZONA URBANA FÉLIX BARRA GARCÍA, CALLE SAMUEL OCAÑA, A UN COSTADO DEL TEMPLO DEL SEÑOR DE LOS MILAGROS, LOCALIDAD FRANCISCO JAVIER MINA.</t>
  </si>
  <si>
    <t>COLOCACIÓN DE SEÑALAMIENTOS VIALES EN VARIAS CALLES Y CRUCEROS: CALLES TRINIDAD SARMIENTO, LUIS ECHEVERRÍA, SAMUEL OCAÑA, RAFAEL TABARDILLO Y BOULEVARD 16 DE SEPTIEMBRE, DE LA LOCALIDAD EJIDO FRANCISCO JAVIER MINA.</t>
  </si>
  <si>
    <t>REHABILITACIÓN DEL EDIFICIO DEL DIF, CALLE CONSTITUCIÓN Y AVENIDA PORVENIR, LOCALIDAD BANÁMICHI.</t>
  </si>
  <si>
    <t>REHABILITACIÓN DE OFICINAS EN PALACIO MUNICIPAL, AVENIDAS ANTONIO MOLINA Y CALLE MÁRTIRES DE 1906, LOCALIDAD BANÁMICHI.</t>
  </si>
  <si>
    <t>REHABILITACIÓN DE BIBLIOTECA MUNICIPAL HERMINIA M. DE FÍMBRES, DOMICILIO CONOCIDO, LOCALIDAD BANÁMICHI.</t>
  </si>
  <si>
    <t>CONSTRUCCIÓN DE BANQUETA ESTAMPADA EN BOULEVARD JOSÉ MARÍA MORELOS, UBICADO ENTRE AVENIDAS ANTONIO MOLINA Y MÉDICO MILITAR, LOCALIDAD BANÁMICHI.</t>
  </si>
  <si>
    <t>REHABILITACIÓN DE PAVIMENTO A BASE DE CONCRETO HIDRÁULICO EN CALLE EDUARDO W. VILLA ENTRE CALLE FLORENCIO RUÍZ Y JOSÉ MARÍA MORELOS Y PAVÓN, COLONIA CENTRO, EN LA LOCALIDAD DE BAVIÁCORA.</t>
  </si>
  <si>
    <t>SUMINISTRO Y COLOCACIÓN DE ALUMBRADO PÚBLICO EN PUENTE PEATONAL DE CALLE FLORENCIO RUÍZ, ENTRE CALLES BENITO JUÁREZ Y ÁLVARO OBREGÓN, COLONIA CENTRO, EN LA LOCALIDAD DE BAVIÁCORA.</t>
  </si>
  <si>
    <t>SUMINISTRO Y COLOCACIÓN DE CERCO A BASE DE MALLA CICLÓNICA EN PANTEÓN DE LA LOCALIDAD DE SUAQUI.</t>
  </si>
  <si>
    <t>REHABILITACIÓN DE CERCO EN INSTALACIONES DE LA CRUZ ROJA, BOULEVARD BENITO JUÁREZ ENTRE CALLES FAUSTINO FÉLIX SERNA Y FRANCISCO GONZÁLEZ, COLONIA LOMA SUR, EN LA LOCALIDAD DE BAVIÁCORA.</t>
  </si>
  <si>
    <t>REHABILITACIÓN DE BANQUETAS ESTAMPADAS EN IGLESIA EL SEÑOR DEL RETIRO, UBICADA EN CALLE SIN NOMBRE, LOCALIDAD EL MOLINOTE.</t>
  </si>
  <si>
    <t>CONSTRUCCIÓN DE RECOLECTOR DE AGUAS RESIDUALES, UBICADO EN COLONIA CENTRO, EN LA LOCALIDAD DE MAZOCAHUI.</t>
  </si>
  <si>
    <t>CONSTRUCCIÓN DE RECOLECTOR DE AGUAS RESIDUALES, UBICADO EN CALLEJÓN SIN NOMBRE FINAL, COLONIA EL CAMPO, EN LA LOCALIDAD DE MAZOCAHUI.</t>
  </si>
  <si>
    <t>CONSTRUCCIÓN DE BANQUETAS Y GUARNICIONES EN TELESECUNDARIA Y BOULEVARD PRINCIPAL,  LOCALIDAD SAN MIGUELITO.</t>
  </si>
  <si>
    <t>INSTALACIÓN DE ALUMBRADO PÚBLICO BOULEVARD PRINCIPAL, EN LA LOCALIDAD SAN MIGUELITO.</t>
  </si>
  <si>
    <t>REMODELACIÓN DE PARQUE EL TINACO, UBICADO EN CALLE BENITO JUÁREZ ENTRE AVENIDAS "E" Y "F" SUR, LOCALIDAD BAVISPE.</t>
  </si>
  <si>
    <t>REHABILITACIÓN DE PLAZA PÚBLICA, UBICADO EN CALLE MADERO, ENTRE CALLE HERMOSILLO Y AVENIDA JOSEFA ORTIZ DE DOMÍNGUEZ, LOCALIDAD TEONADEPA.</t>
  </si>
  <si>
    <t>CONSTRUCCIÓN DE TORRE EN CAPILLA SAN ANTONIO DE PADUA EN OJO DE AGUA, UBICADO EN  CALLE 3 Y MIGUEL HIDALGO, LOCALIDAD OJO DE AGUA.</t>
  </si>
  <si>
    <t>REHABILITACIÓN DE PLAZA PÚBLICA BENITO JUÁREZ, UBICADO EN AVENIDA LUIS DONALDO COLOSIO, ENTRE CALLES IGNACIO ZARAGOZA Y MIGUEL ALEMÁN, COLONIA CENTRO, LOCALIDAD DIVISADEROS</t>
  </si>
  <si>
    <t>CONSTRUCCIÓN DE CERCO PERIMETRAL EN PANTEÓN MUNICIPAL, UBICADO EN LA COLONIA SUD PACÍFICO, EN LA LOCALIDAD DE ESQUEDA.</t>
  </si>
  <si>
    <t>CONSTRUCCIÓN DE CERCO PERIMETRAL EN CENTRO DE USOS MÚLTIPLES PAULINA, UBICADO EN DOMICILIO CONOCIDO, AVENIDA MORELOS A UN COSTADO DEL DIF, LOCALIDAD ESQUEDA.</t>
  </si>
  <si>
    <t>CONSTRUCCIÓN DE CANCHA DE VOLEIBOL EN CENTRO DEPORTIVO SAN ISIDRO, UBICADO EN CALLE LUIS COSME BARCELÓ Y CALLE PRIVADA, COLONIA CENTRO, LOCALIDAD GRANADOS.</t>
  </si>
  <si>
    <t>REHABILITACIÓN DE BAÑOS EN SALÓN DE USOS MÚLTIPLES AUXILIADORA, UBICADO EN AVENIDA "C", ENTRE CALLES BENITO JUÁREZ Y LUIS COSME BARCELÓ, LOCALIDAD GRANADOS.</t>
  </si>
  <si>
    <t>REHABILITACION DE UNIDAD DEPORTIVA, UBICADO EN AVENIDA GASPAR LUKEN ESCALANTE ENTRE CALLE ALEJANDRINA Y BOULEVARD ANTONIO QUITROGHA, EN LA LOCALIDAD DE HERMOSILLO,</t>
  </si>
  <si>
    <t>AMPLIACIÓN DE LA RED DE AGUA POTABLE EN CALLE ASERRADERO ENTRE CALLES GIRASOLES Y SIN NOMBRE, COLONIA ISLAS DEL CIELO, EN LA LOCALIDAD DE HUACHINERA.</t>
  </si>
  <si>
    <t>REHABILITACIÓN DE PLAZA PÚBLICA MORELOS, UBICADA EN AVENIDA BENITO JUÁREZ ENTRE CALLE LIBERTAD Y CALLE JUAN ALDAMA, COLONIA CENTRO, EN LA LOCALIDAD DE HUACHINERA.</t>
  </si>
  <si>
    <t>CONSTRUCCIÓN DE CERCO PERIMETRAL EN PANTEÓN MUNICIPAL, UBICADO EN CAMINO DE SALIDA ESTE A HUACHINERA KILÓMETRO 0+626, EN LA LOCALIDAD DE ARIBABI.</t>
  </si>
  <si>
    <t>REHABILITACIÓN DE RELLENO SANITARIO, UBICADO EN LA CARRETERA A EJIDO CABORCA KILÓMETRO 1+800, EN LA LOCALIDAD DE HUACHINERA.</t>
  </si>
  <si>
    <t>CONSTRUCCIÓN DE PAVIMENTO DE CONCRETO HIDRÁULICO, EN CALLE BENITO JUÁREZ ENTRE CALLES ALDAMA Y PROFR. JULIÁN MORENO, EN LOCALIDAD HUÁSABAS.</t>
  </si>
  <si>
    <t>CONSTRUCCIÓN DE PAVIMENTO A BASE DE CONCRETO HIDRÁULICO, EN AVENIDA JOSÉ BUSTAMANTE ENTRE ALEJANDRO CARRILLO DURÓN Y CALLE CONRADO GALLEGOS COLONIA CENTENARIO, EN LA  LOCALIDAD DE HUÉPAC.</t>
  </si>
  <si>
    <t>CONSTRUCCIÓN DE GUARNICIONES, EN AVENIDA JOSÉ BUSTAMANTE ENTRE ALEJANDRO CARRILLO DURÓN Y CALLE CONRADO GALLEGOS COLONIA CENTENARIO, EN LA  LOCALIDAD DE HUÉPAC.</t>
  </si>
  <si>
    <t>INSTALACIÓN DE LUMINARIAS Y CERCO PERIMETRAL EN PARQUE KIWANIS, CALLE JUAN HERNÁNDEZ ENTRE AVENIDA ARVIZU E IGNACIO RAMÍREZ, EN LA LOCALIDAD DE NACO.</t>
  </si>
  <si>
    <t>INSTALACIÓN DE VITROPISO CERÁMICO EN IGLESIA SAN JOSÉ, CALLE BENITO JUÁREZ ENTRE INDEPENDENCIA E IGNACIO PESQUEIRA, EN LA LOCALIDAD DE NACO.</t>
  </si>
  <si>
    <t>CONSTRUCCIÓN DE TEJABAN METÁLICO DE 15.00 M X 12.00 M CON CUBIERTA DE LÁMINA EN ESCUELA PRIMARIA BENITO JUÁREZ,  UBICADO EN CALLE FRANCISCO I. MADERO (CALLE PRINCIPAL QUE CRUZA EL POBLADO), EN LOCALIDAD LOS NACHUQUIS.</t>
  </si>
  <si>
    <t>CONSTRUCCIÓN DE TEJABÁN METÁLICO DE 15.00 M X 12.00 M CON CUBIERTA DE LÁMINA EN ESCUELA PRIMARIA EMILIANO ZAPATA, DOMICILIO CONOCIDO, RUMBO AL ESTADIO DE BEISBOL, EN LOCALIDAD COMISARÍA DE BACABACHI.</t>
  </si>
  <si>
    <t>CONSTRUCCIÓN DE TEJABÁN METÁLICO DE 15.00 M X 12.00 M CON CUBIERTA DE LÁMINA EN ESCUELA PRIMARIA MIGUEL HIDALGO, DOMICILIO CONOCIDO, LOCALIDAD DE ETCHOHUAQUILA COMISARÍA DE FUNDICIÓN.</t>
  </si>
  <si>
    <t>CONSTRUCCIÓN DE TEJABÁN METÁLICO DE 15.00 M X 12.00 M CON CUBIERTA DE LÁMINA EN ESCUELA SECUNDARIA TÉCNICA NO. 61, CARRETERA ÁLAMOS-MASIACA, EN LA LOCALIDAD SAN PEDRITO, DE LA COMISARÍA DE MASIACA.</t>
  </si>
  <si>
    <t>CONSTRUCCIÓN DE TEJABÁN METÁLICO DE 15.00 M X 12.00 M CON CUBIERTA DE LÁMINA EN ESCUELA PRIMARIA ESCUADRÓN 201, FRENTE AL CENTRO DE SALUD, LOCALIDAD DE GUAYPARÍN SAN JOSÉ, COMISARÍA DE FUNDICIÓN.</t>
  </si>
  <si>
    <t>CONSTRUCCIÓN DE TEJABÁN METÁLICO DE 13.25 M X 12.00 M CON CUBIERTA  DE LÁMINA EN ESCUELA PRIMARIA 16 DE SEPTIEMBRE, DOMICILIO CONOCIDO EN CALLE MIGUEL HIDALGO, LOCALIDAD DE LOS CHIRAJOBAMPO, COMISARÍA DE BACABACHI.</t>
  </si>
  <si>
    <t>CONSTRUCCIÓN DE TEJABÁN METÁLICO DE 13.25 M X 12.00 M CON CUBIERTA DE LÁMINA EN ESCUELA PRIMARIA MARIANO ESCOBEDO, CALLE RAMÓN CORONA ENTRE AVENIDA TLAXCALA Y AVENIDA CHIHUAHUA, COLONIA ITSON, EN LA LOCALIDAD DE NAVOJOA.</t>
  </si>
  <si>
    <t>AMPLIACIÓN DE TEJABÁN METÁLICO DE 18.00 M X 10.00 M CON CUBIERTA DE LÁMINA EN ESCUELA PRIMARIA GENERAL ANSELMO MACÍAS, CALLE MARIANO ESCOBEDO ENTRE AVENIDA I. ALLENDE Y AVENIDA V. GUERRERO, COLONIA CONSTITUCIÓN, EN LA LOCALIDAD DE NAVOJOA.</t>
  </si>
  <si>
    <t>AMPLIACIÓN DE TEJABÁN METÁLICO DE 18.00 X 10.00 M CON CUBIERTA DE LÁMINA EN CBTIS NO. 207, UBICADO EN EL BOULEVARD LUIS DONALDO COLOSIO M. ENTRE AVENIDA ÍMURIS Y AVENIDA CABORCA, COLONIA 16 DE JUNIO, LOCALIDAD DE NAVOJOA.</t>
  </si>
  <si>
    <t>ALUMBRADO PÚBLICO EN CAMPO DEPORTIVO LOS REDONDOS, DOMICILIO CONOCIDO, FRENTE AL TINACO, EN LA LOCALIDAD DE SINAHUIZA, COMISARIA DE BACABACHI.</t>
  </si>
  <si>
    <t>AMPLIACIÓN DEL SISTEMA DE ALUMBRADO EN CALLES NORTE Y SUR EN PERÍMETRO DEL PANTEÓN DE BACABACHI, UBICADO EN EXTREMO NORTE DEL POBLADO, JUNTO A LAS VÍAS F.F.C.C., LOCALIDAD DE BACABACHI.</t>
  </si>
  <si>
    <t>CONSTRUCCIÓN DE TEJABÁN METÁLICO DE 15.00 M X 12.00 M CON CUBIERTA  DE LÁMINA EN IGLESIA CATÓLICA DE SAN JOSÉ, UBICADO A ESPALDAS DEL ESTADIO DE BEISBOL, EN LA LOCALIDAD DE LOS BAHUISES, COMISARÍA DE ROSALES.</t>
  </si>
  <si>
    <t>CONSTRUCCIÓN DE TEJABÁN METÁLICO DE 13.25 M X 12.00 M CON CUBIERTA DE LÁMINA EN IGLESIA CATÓLICA DE SAN JOSÉ, UBICADA EN CALLE ALEJO TOLEDO ENTRE AVENIDA JALISCO Y AVENIDA SINALOA, COLONIA JUÁREZ, LOCALIDAD DE NAVOJOA.</t>
  </si>
  <si>
    <t>CONSTRUCCIÓN DE TEJABÁN METÁLICO DE 9.40 X 18.00 M CON CUBIERTA DE LÁMINA EN ESTACIÓN DE BOMBEROS ORIENTE EN LA COLONIA AVIACIÓN, UBICADA EN AVENIDA LÁZARO CÁRDENAS DEL RÍO CASI ESQUINA CON CALLE LIMÓN, EN LA COLONIA AVIACIÓN, LOCALIDAD NAVOJOA.</t>
  </si>
  <si>
    <t>CONSTRUCCIÓN DE TEJABÁN METÁLICO DE 10.00 X 6.00 M CON CUBIERTA DE LÁMINA Y PISO DE CONCRETO PULIDO EN IGLESIA APOSTÓLICA DE LA FE EN CRISTO JESÚS A.R., DOMICILIO CONOCIDO EN EL TASTE, LOCALIDAD EL TASTE, COMISARIA DE TESIA.</t>
  </si>
  <si>
    <t>CONSTRUCCIÓN DE TEJABÁN METÁLICO DE 9.40 X 6.00 M CON CUBIERTA DE LÁMINA EN IGLESIA GENTIL DE CRISTO A.R,  TEMPLO ANTIOQUÍA, UBICADA EN CALLE JITO ENTRE AVENIDAS MEZQUITE Y NACAPUL, COLONIA MOCÚZARIT, LOCALIDAD NAVOJOA.</t>
  </si>
  <si>
    <t>CONSTRUCCIÓN DE TEJABÁN METÁLICO EN DOS SECCIONES DE 9.00 X 3.86 M CON CUBIERTA DE LÁMINA Y PISO DE CONCRETO PULIDO EN IGLESIA CATÓLICA DIVINO NIÑO, UBICADA EN CALLEJÓN SEXTO, ENTRE CALLES NOGALES Y SONORA, COLONIA TEPEYAC, EN LA LOCALIDAD DE NAVOJOA.</t>
  </si>
  <si>
    <t>CONSTRUCCIÓN DE CERCA DE MALLA CICLÓNICA CON DALA PERIMETRAL EN IGLESIA CATÓLICA SAN RAMÓN NONATO, UBICADA EN AVENIDA VICENTE GUERRERO, EN LA LOCALIDAD DE CHIRAJOBAMPO, COMISARÍA DE BACABACHI.</t>
  </si>
  <si>
    <t>CONSTRUCCIÓN DE CERCA DE MALLA CICLÓNICA CON DALA PERIMETRAL EN IGLESIA CATÓLICA NUESTRA SEÑORA DE GUADALUPE, ENTRE LA ESCUELA PRIMARIA Y LA CASA DE SALUD, EN LA LOCALIDAD DE AGIABAMPO, DE LA COMISARÍA DE PUEBLO MAYO.</t>
  </si>
  <si>
    <t>IMPERMEABILIZACIÓN DE AZOTEAS Y COLOCACIÓN DE PUERTA METÁLICA EN ACCESO EN IGLESIA CATÓLICA SANTA MARÍA DE GUADALUPE, CALLE PRINCIPAL PRIMERA CUADRA A LA DERECHA, EN LOCALIDAD, EJIDO FRANCISCO I MADERO, COMISARÍA DE BACABACHI.</t>
  </si>
  <si>
    <t>INSTALACIÓN DE PLAFÓN, PISO DE CONCRETO Y LOSETA CERÁMICA EN IGLESIA DE DIOS EN MÉXICO, EVANGELIO COMPLETO A.R, CALLE LEOBARDO TELLECHEA, ENTRE AVENIDA FRANCISCO AMPRARÁN Y AVENIDA INOCENTE AMPRARÁN, COLONIA TETANCHOPO, LOCALIDAD NAVOJOA.</t>
  </si>
  <si>
    <t>REHABILITACIÓN DE CERCO PERIMETRAL EN PARQUE MUNICIPAL, UBICADO EN AVENIDA FRANCISCO I. MADERO ENTRE CALLE JOSÉ MARÍA MORELOS Y PAVÓN Y CALLE DEL CANAL COLONIA CENTRO, LOCALIDAD DE OQUITOA.</t>
  </si>
  <si>
    <t>REMODELACIÓN DE PALACIO MUNICIPAL SEGUNDA ETAPA, UBICADA EN CALLE JUÁREZ, COLONIA CENTRO, LOCALIDAD DE OQUITOA.</t>
  </si>
  <si>
    <t>CONSTRUCCIÓN DE ALMACÉN Y REMODELACIÓN EN DIRECCIÓN DEL JARDÍN DE NIÑOS AMANECER,   CALLE 2 ENTRE "C" Y "D", COLONIA HOMBRES BLANCOS, LOCALIDAD SONOYTA.</t>
  </si>
  <si>
    <t>CONSTRUCCIÓN DE CASA PASTORAL EN TEMPLO LUZ DE MUNDO, AVENIDA ALTAR, COLONIA CENTRO, EN LA LOCALIDAD DE SONOYTA.</t>
  </si>
  <si>
    <t>CONSTRUCCIÓN DE BARDA EN IGLESIA CATÓLICA SAGRADO CORAZÓN DE JESÚS, AVENIDA SONORA Y CALLE JUÁREZ, LOCALIDAD EJIDO DESIERTO DE SONORA.</t>
  </si>
  <si>
    <t>AMPLIACIÓN DE LA RED DE ALCANTARILLADO EN AVENIDA "F", UBICADA ENTRE CALLES 8 Y 9, COLONIA PÁPAGO, LOCALIDAD SONOYTA.</t>
  </si>
  <si>
    <t>PAVIMENTACIÓN CON CONCRETO HIDRÁULICO EN CALLE CERRO DE ORO, ENTRE CALLES JUSTO VÁZQUEZ Y LÓPEZ NOGALES, LOCALIDAD RAYÓN.</t>
  </si>
  <si>
    <t>PAVIMENTACIÓN CON CONCRETO HIDRÁULICO EN CALLE DIANA LAURA, ENTRE CALLES OBREGÓN Y CORDÓN RICO, LOCALIDAD RAYÓN.</t>
  </si>
  <si>
    <t>PAVIMENTACIÓN CON CONCRETO HIDRÁULICO EN CALLE PROLONGACIÓN OBREGÓN, ENTRE CALLES DE LOS AMOLES Y PERIFÉRICO, LOCALIDAD RAYÓN.</t>
  </si>
  <si>
    <t>CONSTRUCCIÓN DE GUARNICIONES EN CALLE JOSEFA ORTIZ DE DOMÍNGUEZ (FINAL OESTE), ESQUINA CON CALLE PÍPILA, LOCALIDAD RAYÓN.</t>
  </si>
  <si>
    <t>CONSTRUCCIÓN DE TEJABÁN CURVO EN ESCUELA PRIMARIA LIC. ADOLFO LÓPEZ MATEOS, UBICADO SOBRE CALLE PRINCIPAL, EN LA LOCALIDAD EL SAUZ.</t>
  </si>
  <si>
    <t>REHABILITACIÓN DE CENTRO DE USOS MÚLTIPLES, CALLE PRINCIPAL, FRENTE A ESCUELA PRIMARIA RURAL JOSEFA ORTIZ DE DOMÍNGUEZ, EN LA LOCALIDAD LA ESTRELLA.</t>
  </si>
  <si>
    <t>REHABILITACIÓN DE CENTRO DE USOS MÚLTIPLES, UBICADO SOBRE CALLE PRINCIPAL, FRENTE A PLAZA PÚBLICA, LOCALIDAD PAREDONES.</t>
  </si>
  <si>
    <t>AMPLIACIÓN DE LA RED ELÉCTRICA EN CALLE DOCTOR GREGORIO FERNÁNDEZ Y PERIFÉRICO NORTE, COLONIA CENTRO, LOCALIDAD SAN JAVIER</t>
  </si>
  <si>
    <t>AMPLIACIÓN DE LA RED ELÉCTRICA EN CALLE AQUILES SERDÁN Y CALLE BENITO JUÁREZ, COLONIA LAS LOMAS, LOCALIDAD SAN JAVIER</t>
  </si>
  <si>
    <t>AMPLIACIÓN DE LA RED ELÉCTRICA EN CALLE FRANCISCO PADUA, LOCALIDAD SAN JAVIER</t>
  </si>
  <si>
    <t>AMPLIACIÓN DE RED ELÉCTRICA PARA ELECTRIFICACIÓN DE ESCUELA TELESECUNDARIA NÚM. 57 EN AVENIDA SIN NOMBRE ENTRE MIGUEL HIDALGO E IGNACIO ZARAGOZA, EN EL EJIDO ESTACIÓN LLANO.</t>
  </si>
  <si>
    <t>ELECTRIFICACIÓN EN CALLE BENJAMÍN HILL  ENTRE CALLE NUEVA Y AVENIDA MÉXICO EN LA LOCALIDAD DE SANTA ANA.</t>
  </si>
  <si>
    <t>CONSTRUCCIÓN DE KIOSCO EN PLAZA UBICADA EN AVENIDA FERROCARRIL ENTRE AVENIDAS JESÚS GARCÍA MORALES Y JOSÉ MARÍA MORELOS Y PAVÓN, EN EL  EJIDO ESTACIÓN LLANO.</t>
  </si>
  <si>
    <t>CONSTRUCCIÓN DE PARADAS DE AUTOBUSES EN DOMICILIO CONOCIDO EJIDO EL CLARO.</t>
  </si>
  <si>
    <t>CONSTRUCCIÓN DE PARADAS DE AUTOBUSES EN AVENIDA SERNA ENTRE CALLE J. BROST Y CALLE 12, COLONIA LA GRANJA, EN LA LOCALIDAD DE SANTA ANA.</t>
  </si>
  <si>
    <t>MEJORAMIENTO DE SISTEMA DE ALUMBRADO DE IGLESIA PARROQUIA DE LA VIRGEN DE GUADALUPE, UBICADA EN PLAZA ZARAGOZA, CALLE ÁLVARO OBREGÓN ENTRE AVENIDAS MIGUEL HIDALGO Y JOSÉ MARÍA MORELOS Y PAVÓN, LOCALIDAD SANTA ANA.</t>
  </si>
  <si>
    <t>INSTALACIÓN DE ALUMBRADO EN PLAZA PÚBLICA DE LA LOCALIDAD DE SÁRIC, UBICADA EN DOMICILIO CONOCIDO, FRENTE A IGLESIA CATÓLICA, LOCALIDAD DE SÁRIC.</t>
  </si>
  <si>
    <t>INSTALACIÓN DE ALUMBRADO EN PLAZA PÚBLICA DE LA LOCALIDAD DE CIERRO PRIETO, UBICADO DOMICILIO CONOCIDO DE LA LOCALIDAD DE CERRO PRIETO.</t>
  </si>
  <si>
    <t>ALIMENTACIÓN ELÉCTRICA PARA AIRES ACONDICIONADOS EN PALACIO MUNICIPAL DE SÁRIC, DOMICILIO CONOCIDO, EN LA LOCALIDAD DE SÁRIC.</t>
  </si>
  <si>
    <t>PAVIMENTACIÓN CON CONCRETO HIDRÁULICO EN CALLE ABELARDO L. RODRÍGUEZ, ENTRE CALLES LUIS LUCERO Y CANAL (CERCA DE LA PREPARATORIA CECYTES), LOCALIDAD SUAQUI GRANDE.</t>
  </si>
  <si>
    <t>PAVIMENTACIÓN CON CONCRETO HIDRÁULICO EN CALLE NICOLÁS BRAVO FINAL, UBICADO EN DOMICILIO CONOCIDO CALLE NICOLÁS BRAVO, A 10 METROS DE LA BAJADA AL ARROYO, LOCALIDAD SUAQUI GRANDE.</t>
  </si>
  <si>
    <t>AMPLIACIÓN DE LA RED DE AGUA POTABLE EN CALLE GUERRERO FINAL, ESQUINA CON CALLEJÓN SIN NOMBRE, LOCALIDAD SUAQUI GRANDE.</t>
  </si>
  <si>
    <t>PAVIMENTACIÓN CON CONCRETO HIDRÁULICO EN AVENIDA BENITO JUÁREZ, ENTRE CALLES ALLENDE Y GUERRERO, LOCALIDAD TEPACHE.</t>
  </si>
  <si>
    <t>REHABILITACIÓN DE BANQUETAS INTERIORES DE LA PLAZA PÚBLICA BENITO JUÁREZ, CALLE ÁLVARO OBREGÓN ENTRE CALLES MIGUEL HIDALGO Y JOSÉ MARÍA MORELOS, LOCALIDAD TEPACHE.</t>
  </si>
  <si>
    <t>REHABILITACIÓN DE PLAZA PÚBLICA, UBICADA EN BOULEVARD SIN NOMBRE, FRENTE A IGLESIA CATÓLICA, EN LA LOCALIDAD DE EL OCUCA.</t>
  </si>
  <si>
    <t>CONSTRUCCIÓN DE GIMNASIO AL AIRE LIBRE, FRENTE A CANCHAS DEPORTIVAS AL OESTE DE CARRETERA EL OCUCA SAN JOSÉ, LOCALIDAD EJIDO LA SANGRE</t>
  </si>
  <si>
    <t>REMODELACIÓN DE LA PLAZA PÚBLICA MUNICIPAL, UBICADA FRENTE A CONASUPO, LOCALIDAD SAN MANUEL</t>
  </si>
  <si>
    <t>REHABILITACIÓN DE ALUMBRADO PÚBLICO, EN BOULEVARD PRINCIPAL DEL EJIDO LA SANGRE.</t>
  </si>
  <si>
    <t>REHABILITACIÓN DE SALÓN DE USOS MULTIPLES, UBICADO ENSEGUIDA DE LA ESCUELA PRIMARIA CUAUHTEMOC Y FRENTE A OFICINAS DEL DIF, EN LA  LOCALIDAD DE TUBUTAMA.</t>
  </si>
  <si>
    <t>RECARPETEO ASFÁLTICO EN CALLE BENITO JUÁREZ, ENTRE AVENIDAS CONTRERAS Y GARCÍA MORALES, LOCALIDAD URES</t>
  </si>
  <si>
    <t>RECARPETEO ASFÁLTICO EN CALLE ENRIQUE QUIJADA, ENTRE AVENIDAS TERÁN Y GARCÍA MORALES, LOCALIDAD URES</t>
  </si>
  <si>
    <t>RECARPETEO ASFÁLTICO EN CALLE ITURBIDE, ENTRE AVENIDAS CONTRERAS Y GARCÍA MORALES, LOCALIDAD URES</t>
  </si>
  <si>
    <t>RECARPETEO ASFÁLTICO EN CALLE VENUSTIANO CARRANZA, ENTRE AVENIDAS GENERAL CONTRERAS Y GARCÍA MORALES, LOCALIDAD URES</t>
  </si>
  <si>
    <t>RECARPETEO ASFÁLTICO EN CALLE 5 DE FEBRERO, ENTRE AVENIDAS GENERAL CONTRERAS Y GARCÍA MORALES, LOCALIDAD URES</t>
  </si>
  <si>
    <t>CONSTRUCCIÓN DE BARDA PERIMETRAL EN COOPERATIVA DE LOS MAESTROS JUBILADOS, UBICADO EN AVENIDA JESÚS GARCÍA, ENTRE CALLES JUÁREZ E HIDALGO, LOCALIDAD URES</t>
  </si>
  <si>
    <t>PAVIMENTACIÓN CON CONCRETO HIDRÁULICO EN CALLE OBREGÓN, ENTRE CALLES ZARAGOZA Y ARROYO, LOCALIDAD VILLA HIDALGO.</t>
  </si>
  <si>
    <t>PAVIMENTACIÓN CON CONCRETO HIDRÁULICO EN CALLE ALDAMA, ENTRE CALLES ZARAGOZA Y ARROYO, LOCALIDAD VILLA HIDALGO.</t>
  </si>
  <si>
    <t>REHABILITACIÓN DE PAVIMENTO DE CONCRETO HIDRÁULICO EN CALLE ALDAMA, ENTRE CALLES MORELOS Y JOSÉ URREA, LOCALIDAD VILLA HIDALGO.</t>
  </si>
  <si>
    <t>PAVIMENTACIÓN CON CONCRETO HIDRÁULICO EN CALLE ZARAGOZA, ENTRE CALLES OBREGÓN Y ALDAMA, LOCALIDAD VILLA HIDALGO.</t>
  </si>
  <si>
    <t>CONSTRUCCIÓN DE TEJABÁN METÁLICO DE 10 X 6.00 M CON CUBIERTA DE LÁMINA Y PISO DE CONCRETO PULIDO EN IGLESIA CATOLICA SENOR DE LA MISERICORDIA UBICADA EN AVENIDA COCORIT ESQUINA CON CALLE MARTIRES DE RIO MUERTO COLONIA NUEVA GENERACION, LOCALIDAD NAVOJOA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</si>
</sst>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0.00000"/>
    <numFmt numFmtId="166" formatCode="#,##0.00_);\-#,##0.00"/>
    <numFmt numFmtId="167" formatCode="[$-80A]d&quot; de &quot;mmmm&quot; de &quot;yyyy;@"/>
  </numFmts>
  <fonts count="95" x14ac:knownFonts="1">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vertAlign val="superscript"/>
      <sz val="12"/>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u/>
      <sz val="11"/>
      <color theme="10"/>
      <name val="Calibri"/>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sz val="6"/>
      <color rgb="FF000000"/>
      <name val="Arial Narrow"/>
      <family val="2"/>
    </font>
    <font>
      <sz val="6"/>
      <color rgb="FF000000"/>
      <name val="Arial Narrow"/>
      <family val="2"/>
    </font>
    <font>
      <b/>
      <sz val="9"/>
      <color rgb="FF000000"/>
      <name val="Arial Narrow"/>
      <family val="2"/>
    </font>
    <font>
      <sz val="9"/>
      <color rgb="FF000000"/>
      <name val="Arial Narrow"/>
      <family val="2"/>
    </font>
    <font>
      <b/>
      <u/>
      <sz val="11"/>
      <color rgb="FF000000"/>
      <name val="Arial Narrow"/>
      <family val="2"/>
    </font>
    <font>
      <b/>
      <i/>
      <sz val="9"/>
      <color rgb="FF000000"/>
      <name val="Arial Narrow"/>
      <family val="2"/>
    </font>
    <font>
      <i/>
      <sz val="9"/>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u/>
      <sz val="11"/>
      <color theme="10"/>
      <name val="Arial Narrow"/>
      <family val="2"/>
    </font>
    <font>
      <b/>
      <sz val="24"/>
      <color theme="1"/>
      <name val="Arial Narrow"/>
      <family val="2"/>
    </font>
    <font>
      <b/>
      <sz val="10"/>
      <color theme="1"/>
      <name val="Arial"/>
      <family val="2"/>
    </font>
    <font>
      <b/>
      <sz val="11"/>
      <color theme="1"/>
      <name val="Calibri"/>
      <family val="2"/>
      <scheme val="minor"/>
    </font>
    <font>
      <sz val="11"/>
      <color theme="0"/>
      <name val="Arial Narrow"/>
      <family val="2"/>
    </font>
    <font>
      <sz val="9"/>
      <color indexed="81"/>
      <name val="Tahoma"/>
      <family val="2"/>
    </font>
    <font>
      <b/>
      <sz val="9"/>
      <color indexed="81"/>
      <name val="Tahoma"/>
      <family val="2"/>
    </font>
    <font>
      <sz val="10"/>
      <color theme="0"/>
      <name val="Arial Narrow"/>
      <family val="2"/>
    </font>
    <font>
      <b/>
      <sz val="10"/>
      <color theme="0"/>
      <name val="Arial Narrow"/>
      <family val="2"/>
    </font>
    <font>
      <b/>
      <sz val="9"/>
      <color theme="0"/>
      <name val="Arial Narrow"/>
      <family val="2"/>
    </font>
    <font>
      <b/>
      <i/>
      <sz val="9"/>
      <color theme="3" tint="0.39997558519241921"/>
      <name val="Arial Narrow"/>
      <family val="2"/>
    </font>
    <font>
      <b/>
      <sz val="12"/>
      <color theme="0"/>
      <name val="Arial Narrow"/>
      <family val="2"/>
    </font>
    <font>
      <b/>
      <i/>
      <sz val="11"/>
      <color theme="1"/>
      <name val="Calibri"/>
      <family val="2"/>
      <scheme val="minor"/>
    </font>
    <font>
      <sz val="16"/>
      <color theme="0"/>
      <name val="Arial Narrow"/>
      <family val="2"/>
    </font>
    <font>
      <b/>
      <sz val="11"/>
      <color theme="0"/>
      <name val="Arial Narrow"/>
      <family val="2"/>
    </font>
    <font>
      <b/>
      <sz val="16"/>
      <color theme="0"/>
      <name val="Arial Narrow"/>
      <family val="2"/>
    </font>
    <font>
      <b/>
      <sz val="14"/>
      <color theme="0"/>
      <name val="Arial Narrow"/>
      <family val="2"/>
    </font>
    <font>
      <b/>
      <sz val="9"/>
      <color theme="0"/>
      <name val="Arial"/>
      <family val="2"/>
    </font>
    <font>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11"/>
      <name val="Arial Narrow"/>
      <family val="2"/>
    </font>
    <font>
      <sz val="12"/>
      <name val="Arial Narrow"/>
      <family val="2"/>
    </font>
    <font>
      <sz val="9"/>
      <name val="Arial Narrow"/>
      <family val="2"/>
    </font>
    <font>
      <b/>
      <i/>
      <sz val="9"/>
      <color theme="1"/>
      <name val="Calibri"/>
      <family val="2"/>
      <scheme val="minor"/>
    </font>
    <font>
      <sz val="9"/>
      <color rgb="FF000000"/>
      <name val="Calibri"/>
      <family val="2"/>
      <scheme val="minor"/>
    </font>
    <font>
      <b/>
      <sz val="8"/>
      <name val="Arial Narrow"/>
      <family val="2"/>
    </font>
    <font>
      <b/>
      <sz val="8"/>
      <name val="Arial"/>
      <family val="2"/>
    </font>
    <font>
      <b/>
      <sz val="8"/>
      <color indexed="8"/>
      <name val="Arial"/>
      <family val="2"/>
    </font>
    <font>
      <sz val="8"/>
      <name val="Arial"/>
      <family val="2"/>
    </font>
    <font>
      <sz val="8"/>
      <color indexed="8"/>
      <name val="Arial"/>
      <family val="2"/>
    </font>
    <font>
      <sz val="8"/>
      <color theme="1"/>
      <name val="Arial"/>
      <family val="2"/>
    </font>
    <font>
      <sz val="9"/>
      <color indexed="8"/>
      <name val="Times New Roman"/>
      <family val="1"/>
    </font>
    <font>
      <sz val="9"/>
      <color rgb="FF000000"/>
      <name val="Times New Roman"/>
      <family val="1"/>
    </font>
    <font>
      <sz val="8.9"/>
      <color indexed="8"/>
      <name val="Arial Narrow"/>
      <family val="2"/>
    </font>
    <font>
      <sz val="8.9"/>
      <color indexed="8"/>
      <name val="Arial Narrow"/>
      <family val="2"/>
    </font>
    <font>
      <sz val="12"/>
      <name val="Kelson Sans"/>
      <family val="3"/>
    </font>
  </fonts>
  <fills count="9">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rgb="FFFFFF00"/>
        <bgColor indexed="64"/>
      </patternFill>
    </fill>
    <fill>
      <patternFill patternType="solid">
        <fgColor theme="0" tint="-0.249977111117893"/>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s>
  <cellStyleXfs count="14">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0" fontId="10" fillId="0" borderId="0"/>
    <xf numFmtId="44" fontId="9" fillId="0" borderId="0" applyFont="0" applyFill="0" applyBorder="0" applyAlignment="0" applyProtection="0"/>
    <xf numFmtId="43" fontId="4" fillId="0" borderId="0" applyFont="0" applyFill="0" applyBorder="0" applyAlignment="0" applyProtection="0"/>
    <xf numFmtId="0" fontId="14" fillId="5" borderId="0" applyNumberFormat="0" applyBorder="0" applyAlignment="0" applyProtection="0"/>
    <xf numFmtId="0" fontId="9" fillId="0" borderId="0"/>
    <xf numFmtId="0" fontId="20" fillId="0" borderId="0" applyNumberFormat="0" applyFill="0" applyBorder="0" applyAlignment="0" applyProtection="0">
      <alignment vertical="top"/>
      <protection locked="0"/>
    </xf>
    <xf numFmtId="43" fontId="9" fillId="0" borderId="0" applyFont="0" applyFill="0" applyBorder="0" applyAlignment="0" applyProtection="0"/>
  </cellStyleXfs>
  <cellXfs count="1251">
    <xf numFmtId="0" fontId="0" fillId="0" borderId="0" xfId="0"/>
    <xf numFmtId="0" fontId="1" fillId="0" borderId="8" xfId="0" applyFont="1" applyBorder="1"/>
    <xf numFmtId="0" fontId="1" fillId="0" borderId="9" xfId="0" applyFont="1" applyBorder="1"/>
    <xf numFmtId="0" fontId="5" fillId="0" borderId="0" xfId="0" applyFont="1"/>
    <xf numFmtId="0" fontId="7" fillId="0" borderId="0" xfId="0" applyFont="1" applyFill="1" applyBorder="1" applyAlignment="1">
      <alignment horizontal="right" vertical="top"/>
    </xf>
    <xf numFmtId="0" fontId="12" fillId="0" borderId="0" xfId="0" applyFont="1" applyFill="1" applyBorder="1" applyAlignment="1">
      <alignment vertical="top"/>
    </xf>
    <xf numFmtId="0" fontId="5" fillId="0" borderId="0" xfId="0" applyFont="1" applyAlignment="1">
      <alignment vertical="center"/>
    </xf>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5" fillId="0" borderId="0" xfId="0" applyFont="1" applyFill="1" applyBorder="1"/>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5" xfId="0" quotePrefix="1" applyFont="1" applyBorder="1"/>
    <xf numFmtId="0" fontId="1" fillId="0" borderId="0" xfId="0" applyFont="1" applyFill="1" applyBorder="1"/>
    <xf numFmtId="0" fontId="22"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right" vertical="center" indent="1"/>
    </xf>
    <xf numFmtId="0" fontId="1" fillId="0" borderId="0" xfId="0" applyFont="1"/>
    <xf numFmtId="0" fontId="45" fillId="0" borderId="0" xfId="0" applyFont="1" applyAlignment="1">
      <alignment horizontal="center"/>
    </xf>
    <xf numFmtId="0" fontId="5" fillId="2" borderId="0" xfId="0" applyFont="1" applyFill="1"/>
    <xf numFmtId="0" fontId="36" fillId="2" borderId="0" xfId="0" applyFont="1" applyFill="1"/>
    <xf numFmtId="0" fontId="5" fillId="0" borderId="0" xfId="0" applyFont="1" applyFill="1"/>
    <xf numFmtId="0" fontId="12" fillId="0" borderId="8" xfId="0" applyFont="1" applyFill="1" applyBorder="1" applyAlignment="1">
      <alignment vertical="center"/>
    </xf>
    <xf numFmtId="43" fontId="16" fillId="2" borderId="0" xfId="0" applyNumberFormat="1" applyFont="1" applyFill="1" applyBorder="1" applyAlignment="1" applyProtection="1">
      <alignment wrapText="1"/>
    </xf>
    <xf numFmtId="0" fontId="7" fillId="0" borderId="0" xfId="0" applyFont="1" applyFill="1" applyBorder="1" applyAlignment="1" applyProtection="1">
      <alignment vertical="top"/>
      <protection locked="0"/>
    </xf>
    <xf numFmtId="0" fontId="5" fillId="0" borderId="0" xfId="0" applyFont="1" applyFill="1" applyProtection="1">
      <protection locked="0"/>
    </xf>
    <xf numFmtId="0" fontId="7"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12" fillId="0" borderId="0" xfId="0" applyFont="1" applyFill="1" applyBorder="1" applyAlignment="1" applyProtection="1">
      <alignment horizontal="center" vertical="top"/>
      <protection locked="0"/>
    </xf>
    <xf numFmtId="0" fontId="12" fillId="0" borderId="0" xfId="0" applyFont="1" applyFill="1" applyBorder="1" applyAlignment="1" applyProtection="1">
      <alignment vertical="top"/>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8" fillId="0" borderId="5" xfId="0" applyFont="1" applyFill="1" applyBorder="1" applyAlignment="1" applyProtection="1">
      <alignment wrapText="1"/>
      <protection locked="0"/>
    </xf>
    <xf numFmtId="0" fontId="16"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8" fillId="0" borderId="0" xfId="0" applyFont="1" applyFill="1" applyBorder="1" applyAlignment="1" applyProtection="1">
      <alignment wrapText="1"/>
      <protection locked="0"/>
    </xf>
    <xf numFmtId="0" fontId="16"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43"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43"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7" fillId="0" borderId="5" xfId="0" applyFont="1" applyFill="1" applyBorder="1" applyAlignment="1" applyProtection="1">
      <alignment horizontal="justify" wrapText="1"/>
      <protection locked="0"/>
    </xf>
    <xf numFmtId="43" fontId="1" fillId="0" borderId="0" xfId="0" applyNumberFormat="1" applyFont="1" applyFill="1" applyBorder="1" applyAlignment="1" applyProtection="1">
      <alignment wrapText="1"/>
      <protection locked="0"/>
    </xf>
    <xf numFmtId="43" fontId="18" fillId="0" borderId="0" xfId="0" applyNumberFormat="1" applyFont="1" applyFill="1" applyBorder="1" applyAlignment="1" applyProtection="1">
      <alignment wrapText="1"/>
      <protection locked="0"/>
    </xf>
    <xf numFmtId="0" fontId="19" fillId="0" borderId="0" xfId="0" applyFont="1" applyFill="1" applyBorder="1" applyAlignment="1" applyProtection="1">
      <alignment wrapText="1"/>
      <protection locked="0"/>
    </xf>
    <xf numFmtId="43" fontId="18" fillId="0" borderId="6" xfId="0" applyNumberFormat="1" applyFont="1" applyFill="1" applyBorder="1" applyAlignment="1" applyProtection="1">
      <alignment wrapText="1"/>
      <protection locked="0"/>
    </xf>
    <xf numFmtId="43" fontId="16" fillId="0" borderId="0" xfId="0" applyNumberFormat="1" applyFont="1" applyFill="1" applyBorder="1" applyAlignment="1" applyProtection="1">
      <alignment wrapText="1"/>
      <protection locked="0"/>
    </xf>
    <xf numFmtId="43" fontId="16"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9" fillId="0" borderId="5" xfId="0" applyFont="1" applyFill="1" applyBorder="1" applyAlignment="1" applyProtection="1">
      <alignment wrapText="1"/>
      <protection locked="0"/>
    </xf>
    <xf numFmtId="43"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7"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43" fontId="1" fillId="0" borderId="0" xfId="0" applyNumberFormat="1" applyFont="1" applyFill="1" applyBorder="1" applyAlignment="1" applyProtection="1">
      <protection locked="0"/>
    </xf>
    <xf numFmtId="0" fontId="17" fillId="0" borderId="0" xfId="0" applyFont="1" applyFill="1" applyBorder="1" applyAlignment="1" applyProtection="1">
      <alignment horizontal="justify" wrapText="1"/>
      <protection locked="0"/>
    </xf>
    <xf numFmtId="43"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43"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43" fontId="16" fillId="2" borderId="6" xfId="0" applyNumberFormat="1" applyFont="1" applyFill="1" applyBorder="1" applyAlignment="1" applyProtection="1">
      <alignment wrapText="1"/>
    </xf>
    <xf numFmtId="43" fontId="3" fillId="2" borderId="0" xfId="0" applyNumberFormat="1" applyFont="1" applyFill="1" applyBorder="1" applyAlignment="1" applyProtection="1">
      <alignment wrapText="1"/>
    </xf>
    <xf numFmtId="43" fontId="3" fillId="2" borderId="6" xfId="0" applyNumberFormat="1" applyFont="1" applyFill="1" applyBorder="1" applyAlignment="1" applyProtection="1">
      <alignment wrapText="1"/>
    </xf>
    <xf numFmtId="43" fontId="3" fillId="2" borderId="0" xfId="0" applyNumberFormat="1" applyFont="1" applyFill="1" applyBorder="1" applyAlignment="1" applyProtection="1">
      <alignment vertical="center" wrapText="1"/>
    </xf>
    <xf numFmtId="43" fontId="3" fillId="2" borderId="6" xfId="0" applyNumberFormat="1" applyFont="1" applyFill="1" applyBorder="1" applyAlignment="1" applyProtection="1">
      <alignment vertical="center" wrapText="1"/>
    </xf>
    <xf numFmtId="43" fontId="16" fillId="2" borderId="0" xfId="0" applyNumberFormat="1" applyFont="1" applyFill="1" applyBorder="1" applyAlignment="1" applyProtection="1"/>
    <xf numFmtId="43" fontId="16" fillId="2" borderId="6" xfId="0" applyNumberFormat="1" applyFont="1" applyFill="1" applyBorder="1" applyAlignment="1" applyProtection="1"/>
    <xf numFmtId="0" fontId="7" fillId="0" borderId="37"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right" vertical="top"/>
      <protection locked="0"/>
    </xf>
    <xf numFmtId="0" fontId="5" fillId="2" borderId="0" xfId="0" applyFont="1" applyFill="1" applyProtection="1">
      <protection locked="0"/>
    </xf>
    <xf numFmtId="0" fontId="7" fillId="0" borderId="0" xfId="0" applyFont="1" applyFill="1" applyProtection="1">
      <protection locked="0"/>
    </xf>
    <xf numFmtId="0" fontId="8" fillId="2" borderId="5" xfId="0" applyFont="1" applyFill="1" applyBorder="1" applyAlignment="1" applyProtection="1">
      <alignment wrapText="1"/>
      <protection locked="0"/>
    </xf>
    <xf numFmtId="0" fontId="8" fillId="2" borderId="0" xfId="0" applyFont="1" applyFill="1" applyBorder="1" applyAlignment="1" applyProtection="1">
      <protection locked="0"/>
    </xf>
    <xf numFmtId="0" fontId="8" fillId="2" borderId="0" xfId="0" applyFont="1" applyFill="1" applyBorder="1" applyAlignment="1" applyProtection="1">
      <alignment wrapText="1"/>
      <protection locked="0"/>
    </xf>
    <xf numFmtId="0" fontId="8" fillId="2" borderId="0" xfId="0" applyFont="1" applyFill="1" applyBorder="1" applyAlignment="1" applyProtection="1">
      <alignment horizontal="left" wrapText="1"/>
      <protection locked="0"/>
    </xf>
    <xf numFmtId="0" fontId="5" fillId="0" borderId="0" xfId="0" applyFont="1" applyProtection="1">
      <protection locked="0"/>
    </xf>
    <xf numFmtId="0" fontId="22" fillId="0" borderId="0" xfId="0" applyFont="1" applyBorder="1" applyAlignment="1" applyProtection="1">
      <alignment horizontal="left"/>
      <protection locked="0"/>
    </xf>
    <xf numFmtId="0" fontId="12" fillId="0" borderId="8" xfId="0" applyFont="1" applyFill="1" applyBorder="1" applyAlignment="1" applyProtection="1">
      <alignment vertical="top"/>
      <protection locked="0"/>
    </xf>
    <xf numFmtId="0" fontId="5" fillId="0" borderId="0" xfId="0" applyFont="1" applyBorder="1" applyAlignment="1" applyProtection="1">
      <alignment horizontal="left"/>
      <protection locked="0"/>
    </xf>
    <xf numFmtId="0" fontId="7" fillId="0" borderId="5"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3" fillId="2" borderId="5" xfId="0" applyFont="1" applyFill="1" applyBorder="1" applyAlignment="1" applyProtection="1">
      <alignment horizontal="left" vertical="top"/>
      <protection locked="0"/>
    </xf>
    <xf numFmtId="0" fontId="23" fillId="2" borderId="0" xfId="0" applyFont="1" applyFill="1" applyBorder="1" applyAlignment="1" applyProtection="1">
      <alignment horizontal="left" vertical="top"/>
      <protection locked="0"/>
    </xf>
    <xf numFmtId="0" fontId="17"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8" fillId="2" borderId="5" xfId="0" applyFont="1" applyFill="1" applyBorder="1" applyAlignment="1" applyProtection="1">
      <alignment horizontal="left" vertical="top"/>
      <protection locked="0"/>
    </xf>
    <xf numFmtId="0" fontId="8" fillId="2" borderId="0" xfId="0" applyFont="1" applyFill="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7" xfId="0" applyFont="1" applyBorder="1" applyAlignment="1" applyProtection="1">
      <alignment horizontal="left" vertical="top"/>
      <protection locked="0"/>
    </xf>
    <xf numFmtId="0" fontId="17" fillId="0" borderId="8" xfId="0" applyFont="1" applyBorder="1" applyAlignment="1" applyProtection="1">
      <alignment horizontal="left" vertical="top"/>
      <protection locked="0"/>
    </xf>
    <xf numFmtId="0" fontId="7" fillId="0" borderId="40" xfId="0" applyFont="1" applyFill="1" applyBorder="1" applyAlignment="1" applyProtection="1">
      <alignment horizontal="center" vertical="center" wrapText="1"/>
      <protection locked="0"/>
    </xf>
    <xf numFmtId="0" fontId="24" fillId="0" borderId="0" xfId="0" applyFont="1" applyProtection="1">
      <protection locked="0"/>
    </xf>
    <xf numFmtId="0" fontId="5" fillId="0" borderId="0" xfId="0" applyFont="1" applyAlignment="1" applyProtection="1">
      <alignment vertical="center"/>
      <protection locked="0"/>
    </xf>
    <xf numFmtId="0" fontId="24" fillId="0" borderId="0" xfId="0" applyFont="1" applyAlignment="1" applyProtection="1">
      <alignment vertical="center"/>
      <protection locked="0"/>
    </xf>
    <xf numFmtId="0" fontId="5" fillId="0" borderId="0" xfId="0" applyFont="1" applyAlignment="1" applyProtection="1">
      <protection locked="0"/>
    </xf>
    <xf numFmtId="0" fontId="24" fillId="0" borderId="0" xfId="0" applyFont="1" applyAlignment="1" applyProtection="1">
      <protection locked="0"/>
    </xf>
    <xf numFmtId="0" fontId="23" fillId="3" borderId="41" xfId="0" applyFont="1" applyFill="1" applyBorder="1" applyAlignment="1" applyProtection="1">
      <alignment horizontal="justify" vertical="center"/>
      <protection locked="0"/>
    </xf>
    <xf numFmtId="0" fontId="33" fillId="3" borderId="40" xfId="0" applyFont="1" applyFill="1" applyBorder="1" applyAlignment="1" applyProtection="1">
      <alignment horizontal="center" vertical="center"/>
      <protection locked="0"/>
    </xf>
    <xf numFmtId="0" fontId="33" fillId="3" borderId="42" xfId="0" applyFont="1" applyFill="1" applyBorder="1" applyAlignment="1" applyProtection="1">
      <alignment horizontal="center" vertical="center"/>
      <protection locked="0"/>
    </xf>
    <xf numFmtId="0" fontId="13" fillId="0" borderId="6" xfId="0" applyFont="1" applyFill="1" applyBorder="1" applyProtection="1">
      <protection locked="0"/>
    </xf>
    <xf numFmtId="0" fontId="13" fillId="0" borderId="0" xfId="0" applyFont="1" applyFill="1" applyProtection="1">
      <protection locked="0"/>
    </xf>
    <xf numFmtId="0" fontId="13" fillId="0" borderId="5" xfId="0" applyFont="1" applyFill="1" applyBorder="1" applyAlignment="1" applyProtection="1">
      <alignment horizontal="justify" vertical="top"/>
      <protection locked="0"/>
    </xf>
    <xf numFmtId="0" fontId="27" fillId="0" borderId="0" xfId="0" applyFont="1" applyFill="1" applyBorder="1" applyAlignment="1" applyProtection="1">
      <alignment vertical="top"/>
      <protection locked="0"/>
    </xf>
    <xf numFmtId="0" fontId="28" fillId="0" borderId="5" xfId="0" applyFont="1" applyFill="1" applyBorder="1" applyAlignment="1" applyProtection="1">
      <alignment horizontal="justify" vertical="top"/>
      <protection locked="0"/>
    </xf>
    <xf numFmtId="0" fontId="28" fillId="0" borderId="0" xfId="0" applyFont="1" applyFill="1" applyProtection="1">
      <protection locked="0"/>
    </xf>
    <xf numFmtId="0" fontId="26" fillId="0" borderId="5" xfId="0" applyFont="1" applyFill="1" applyBorder="1" applyAlignment="1" applyProtection="1">
      <alignment vertical="top"/>
      <protection locked="0"/>
    </xf>
    <xf numFmtId="0" fontId="26" fillId="0" borderId="0" xfId="0" applyFont="1" applyFill="1" applyBorder="1" applyAlignment="1" applyProtection="1">
      <alignment vertical="top"/>
      <protection locked="0"/>
    </xf>
    <xf numFmtId="0" fontId="13" fillId="0" borderId="5" xfId="0" applyFont="1" applyFill="1" applyBorder="1" applyAlignment="1" applyProtection="1">
      <alignment vertical="top"/>
      <protection locked="0"/>
    </xf>
    <xf numFmtId="0" fontId="13" fillId="0" borderId="0" xfId="0" applyFont="1" applyFill="1" applyBorder="1" applyAlignment="1" applyProtection="1">
      <alignment vertical="top"/>
      <protection locked="0"/>
    </xf>
    <xf numFmtId="0" fontId="27" fillId="0" borderId="5" xfId="0" applyFont="1" applyFill="1" applyBorder="1" applyAlignment="1" applyProtection="1">
      <alignment vertical="top"/>
      <protection locked="0"/>
    </xf>
    <xf numFmtId="0" fontId="26" fillId="0" borderId="0" xfId="0" applyFont="1" applyFill="1" applyBorder="1" applyAlignment="1" applyProtection="1">
      <alignment vertical="top" wrapText="1"/>
      <protection locked="0"/>
    </xf>
    <xf numFmtId="0" fontId="25" fillId="0" borderId="5" xfId="0" applyFont="1" applyFill="1" applyBorder="1" applyAlignment="1" applyProtection="1">
      <alignment vertical="top"/>
      <protection locked="0"/>
    </xf>
    <xf numFmtId="0" fontId="25" fillId="0" borderId="0" xfId="0" applyFont="1" applyFill="1" applyBorder="1" applyAlignment="1" applyProtection="1">
      <alignment vertical="top"/>
      <protection locked="0"/>
    </xf>
    <xf numFmtId="0" fontId="26" fillId="0" borderId="8" xfId="0" applyFont="1" applyFill="1" applyBorder="1" applyAlignment="1" applyProtection="1">
      <alignment vertical="top" wrapText="1"/>
      <protection locked="0"/>
    </xf>
    <xf numFmtId="0" fontId="26" fillId="0" borderId="7" xfId="0" applyFont="1" applyFill="1" applyBorder="1" applyAlignment="1" applyProtection="1">
      <alignment vertical="top"/>
      <protection locked="0"/>
    </xf>
    <xf numFmtId="0" fontId="13" fillId="0" borderId="0" xfId="0" applyFont="1" applyFill="1" applyBorder="1" applyAlignment="1" applyProtection="1">
      <alignment horizontal="left" vertical="top" wrapText="1" indent="2"/>
      <protection locked="0"/>
    </xf>
    <xf numFmtId="0" fontId="13" fillId="0" borderId="0" xfId="0" applyFont="1" applyFill="1" applyBorder="1" applyAlignment="1" applyProtection="1">
      <alignment horizontal="left" vertical="top" indent="2"/>
      <protection locked="0"/>
    </xf>
    <xf numFmtId="0" fontId="48" fillId="0" borderId="0" xfId="0" applyFont="1" applyProtection="1">
      <protection locked="0"/>
    </xf>
    <xf numFmtId="4" fontId="27" fillId="0" borderId="0" xfId="0" applyNumberFormat="1" applyFont="1" applyFill="1" applyBorder="1" applyAlignment="1" applyProtection="1">
      <alignment vertical="top"/>
    </xf>
    <xf numFmtId="4" fontId="27" fillId="0" borderId="6" xfId="0" applyNumberFormat="1" applyFont="1" applyFill="1" applyBorder="1" applyAlignment="1" applyProtection="1">
      <alignment vertical="top"/>
    </xf>
    <xf numFmtId="4" fontId="13" fillId="0" borderId="0" xfId="0" applyNumberFormat="1" applyFont="1" applyFill="1" applyBorder="1" applyProtection="1">
      <protection locked="0"/>
    </xf>
    <xf numFmtId="4" fontId="13" fillId="0" borderId="6" xfId="0" applyNumberFormat="1" applyFont="1" applyFill="1" applyBorder="1" applyProtection="1">
      <protection locked="0"/>
    </xf>
    <xf numFmtId="4" fontId="26" fillId="0" borderId="0" xfId="0" applyNumberFormat="1" applyFont="1" applyFill="1" applyBorder="1" applyAlignment="1" applyProtection="1">
      <alignment vertical="top"/>
    </xf>
    <xf numFmtId="4" fontId="26" fillId="0" borderId="6" xfId="0" applyNumberFormat="1" applyFont="1" applyFill="1" applyBorder="1" applyAlignment="1" applyProtection="1">
      <alignment vertical="top"/>
    </xf>
    <xf numFmtId="4" fontId="13" fillId="0" borderId="0" xfId="0" applyNumberFormat="1" applyFont="1" applyFill="1" applyBorder="1" applyAlignment="1" applyProtection="1">
      <alignment vertical="top"/>
    </xf>
    <xf numFmtId="4" fontId="13" fillId="0" borderId="6" xfId="0" applyNumberFormat="1" applyFont="1" applyFill="1" applyBorder="1" applyAlignment="1" applyProtection="1">
      <alignment vertical="top"/>
    </xf>
    <xf numFmtId="4" fontId="27" fillId="0" borderId="0" xfId="0" applyNumberFormat="1" applyFont="1" applyFill="1" applyBorder="1" applyAlignment="1" applyProtection="1">
      <alignment vertical="top"/>
      <protection locked="0"/>
    </xf>
    <xf numFmtId="4" fontId="27" fillId="0" borderId="6" xfId="0" applyNumberFormat="1" applyFont="1" applyFill="1" applyBorder="1" applyAlignment="1" applyProtection="1">
      <alignment vertical="top"/>
      <protection locked="0"/>
    </xf>
    <xf numFmtId="4" fontId="13" fillId="0" borderId="0" xfId="0" applyNumberFormat="1" applyFont="1" applyFill="1" applyBorder="1" applyAlignment="1" applyProtection="1">
      <alignment vertical="top"/>
      <protection locked="0"/>
    </xf>
    <xf numFmtId="4" fontId="13" fillId="0" borderId="6" xfId="0" applyNumberFormat="1" applyFont="1" applyFill="1" applyBorder="1" applyAlignment="1" applyProtection="1">
      <alignment vertical="top"/>
      <protection locked="0"/>
    </xf>
    <xf numFmtId="4" fontId="26" fillId="0" borderId="0" xfId="0" applyNumberFormat="1" applyFont="1" applyFill="1" applyBorder="1" applyAlignment="1" applyProtection="1">
      <alignment vertical="top" wrapText="1"/>
    </xf>
    <xf numFmtId="4" fontId="26" fillId="0" borderId="6" xfId="0" applyNumberFormat="1" applyFont="1" applyFill="1" applyBorder="1" applyAlignment="1" applyProtection="1">
      <alignment vertical="top" wrapText="1"/>
    </xf>
    <xf numFmtId="4" fontId="26" fillId="0" borderId="8" xfId="0" applyNumberFormat="1" applyFont="1" applyFill="1" applyBorder="1" applyAlignment="1" applyProtection="1">
      <alignment vertical="top" wrapText="1"/>
    </xf>
    <xf numFmtId="4" fontId="26" fillId="0" borderId="9" xfId="0" applyNumberFormat="1" applyFont="1" applyFill="1" applyBorder="1" applyAlignment="1" applyProtection="1">
      <alignment vertical="top" wrapText="1"/>
    </xf>
    <xf numFmtId="0" fontId="15" fillId="0" borderId="40" xfId="0"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protection locked="0"/>
    </xf>
    <xf numFmtId="0" fontId="22" fillId="0" borderId="0" xfId="0" applyFont="1" applyBorder="1" applyAlignment="1" applyProtection="1">
      <alignment horizontal="left" vertical="center"/>
      <protection locked="0"/>
    </xf>
    <xf numFmtId="0" fontId="12"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3" fillId="3" borderId="5" xfId="0" applyFont="1" applyFill="1" applyBorder="1" applyAlignment="1" applyProtection="1">
      <alignment horizontal="justify" vertical="center"/>
      <protection locked="0"/>
    </xf>
    <xf numFmtId="0" fontId="17" fillId="3" borderId="5" xfId="0" applyFont="1" applyFill="1" applyBorder="1" applyAlignment="1" applyProtection="1">
      <alignment horizontal="justify" vertical="center"/>
      <protection locked="0"/>
    </xf>
    <xf numFmtId="0" fontId="7" fillId="0" borderId="22"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6" fillId="0" borderId="17" xfId="0" applyNumberFormat="1" applyFont="1" applyBorder="1" applyAlignment="1" applyProtection="1">
      <alignment horizontal="right" vertical="top" wrapText="1"/>
      <protection locked="0"/>
    </xf>
    <xf numFmtId="4" fontId="16"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9" fillId="0" borderId="5" xfId="0" applyFont="1" applyBorder="1" applyAlignment="1" applyProtection="1">
      <alignment horizontal="justify" vertical="top" wrapText="1"/>
      <protection locked="0"/>
    </xf>
    <xf numFmtId="0" fontId="19" fillId="0" borderId="0" xfId="0" applyFont="1" applyBorder="1" applyAlignment="1" applyProtection="1">
      <alignment horizontal="justify" vertical="top" wrapText="1"/>
      <protection locked="0"/>
    </xf>
    <xf numFmtId="4" fontId="18" fillId="0" borderId="17" xfId="0" applyNumberFormat="1" applyFont="1" applyBorder="1" applyAlignment="1" applyProtection="1">
      <alignment horizontal="right" vertical="top" wrapText="1"/>
      <protection locked="0"/>
    </xf>
    <xf numFmtId="4" fontId="18" fillId="0" borderId="6" xfId="0" applyNumberFormat="1" applyFont="1" applyBorder="1" applyAlignment="1" applyProtection="1">
      <alignment horizontal="right" vertical="top" wrapText="1"/>
      <protection locked="0"/>
    </xf>
    <xf numFmtId="0" fontId="16" fillId="0" borderId="16" xfId="0" applyFont="1" applyBorder="1" applyAlignment="1" applyProtection="1">
      <alignment horizontal="justify" vertical="top" wrapText="1"/>
      <protection locked="0"/>
    </xf>
    <xf numFmtId="0" fontId="16"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6" fillId="0" borderId="17" xfId="0" applyNumberFormat="1" applyFont="1" applyBorder="1" applyAlignment="1" applyProtection="1">
      <alignment horizontal="right" vertical="top" wrapText="1"/>
    </xf>
    <xf numFmtId="4" fontId="16" fillId="0" borderId="6" xfId="0" applyNumberFormat="1" applyFont="1" applyBorder="1" applyAlignment="1" applyProtection="1">
      <alignment horizontal="right" vertical="top" wrapText="1"/>
    </xf>
    <xf numFmtId="0" fontId="3" fillId="0"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1" fillId="0" borderId="5"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5" fillId="0" borderId="2" xfId="0" applyFont="1" applyBorder="1" applyAlignment="1" applyProtection="1">
      <alignment horizontal="justify" vertical="center" wrapText="1"/>
      <protection locked="0"/>
    </xf>
    <xf numFmtId="0" fontId="11"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5" fillId="0" borderId="0" xfId="0" applyFont="1" applyBorder="1" applyAlignment="1" applyProtection="1">
      <alignment horizontal="justify" vertical="center" wrapText="1"/>
      <protection locked="0"/>
    </xf>
    <xf numFmtId="0" fontId="11" fillId="0" borderId="0" xfId="0" applyFont="1" applyBorder="1" applyAlignment="1" applyProtection="1">
      <alignment vertical="center" wrapText="1"/>
      <protection locked="0"/>
    </xf>
    <xf numFmtId="0" fontId="11" fillId="0" borderId="0" xfId="0" applyFont="1" applyBorder="1" applyAlignment="1" applyProtection="1">
      <alignment horizontal="right" vertical="center" wrapText="1"/>
      <protection locked="0"/>
    </xf>
    <xf numFmtId="0" fontId="3" fillId="0" borderId="3"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49" fontId="3" fillId="0" borderId="9"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1" fillId="0" borderId="5" xfId="0" applyFont="1" applyBorder="1" applyAlignment="1" applyProtection="1">
      <alignment horizontal="left" vertical="center" indent="3"/>
      <protection locked="0"/>
    </xf>
    <xf numFmtId="0" fontId="1" fillId="0" borderId="6" xfId="0" applyFont="1" applyBorder="1" applyAlignment="1" applyProtection="1">
      <alignment horizontal="left" vertical="center" indent="6"/>
      <protection locked="0"/>
    </xf>
    <xf numFmtId="0" fontId="1" fillId="0" borderId="6" xfId="0" applyFont="1" applyBorder="1" applyAlignment="1" applyProtection="1">
      <alignment horizontal="left" vertical="center" wrapText="1" indent="2"/>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5" fillId="0" borderId="2" xfId="0" applyNumberFormat="1" applyFont="1" applyBorder="1" applyAlignment="1" applyProtection="1">
      <alignment horizontal="right" vertical="center" wrapText="1"/>
      <protection locked="0"/>
    </xf>
    <xf numFmtId="4" fontId="11" fillId="0" borderId="3" xfId="0" applyNumberFormat="1" applyFont="1" applyBorder="1" applyAlignment="1" applyProtection="1">
      <alignment horizontal="right" vertical="center" wrapText="1"/>
      <protection locked="0"/>
    </xf>
    <xf numFmtId="0" fontId="11" fillId="0" borderId="0" xfId="0" applyFont="1" applyAlignment="1" applyProtection="1">
      <alignment vertical="top"/>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51" fillId="0" borderId="0" xfId="0" applyFont="1" applyAlignment="1" applyProtection="1">
      <alignment vertical="center"/>
      <protection locked="0"/>
    </xf>
    <xf numFmtId="0" fontId="52" fillId="0" borderId="0" xfId="0" applyFont="1" applyAlignment="1" applyProtection="1">
      <alignment vertical="center"/>
      <protection locked="0"/>
    </xf>
    <xf numFmtId="0" fontId="48" fillId="0" borderId="0" xfId="0" applyFont="1" applyAlignment="1" applyProtection="1">
      <alignment vertical="center"/>
      <protection locked="0"/>
    </xf>
    <xf numFmtId="0" fontId="7" fillId="0" borderId="0" xfId="0" applyFont="1" applyFill="1" applyBorder="1" applyAlignment="1" applyProtection="1">
      <alignment horizontal="left" vertical="top"/>
      <protection locked="0"/>
    </xf>
    <xf numFmtId="0" fontId="7" fillId="4" borderId="2" xfId="0" applyFont="1" applyFill="1" applyBorder="1" applyAlignment="1" applyProtection="1">
      <alignment horizontal="left" vertical="center"/>
      <protection locked="0"/>
    </xf>
    <xf numFmtId="0" fontId="7"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7" fillId="4" borderId="8" xfId="0" applyFont="1" applyFill="1" applyBorder="1" applyAlignment="1" applyProtection="1">
      <alignment horizontal="left" vertical="center"/>
      <protection locked="0"/>
    </xf>
    <xf numFmtId="0" fontId="7" fillId="4" borderId="8" xfId="0" applyFont="1" applyFill="1" applyBorder="1" applyAlignment="1" applyProtection="1">
      <alignment horizontal="center" vertical="center" wrapText="1"/>
      <protection locked="0"/>
    </xf>
    <xf numFmtId="0" fontId="17" fillId="3" borderId="7" xfId="0" applyFont="1" applyFill="1" applyBorder="1" applyAlignment="1" applyProtection="1">
      <alignment vertical="center"/>
      <protection locked="0"/>
    </xf>
    <xf numFmtId="4" fontId="17" fillId="3" borderId="9" xfId="0" applyNumberFormat="1" applyFont="1" applyFill="1" applyBorder="1" applyAlignment="1" applyProtection="1">
      <alignment horizontal="right" vertical="center"/>
      <protection locked="0"/>
    </xf>
    <xf numFmtId="0" fontId="17" fillId="3" borderId="5" xfId="0" applyFont="1" applyFill="1" applyBorder="1" applyAlignment="1" applyProtection="1">
      <alignment vertical="center"/>
      <protection locked="0"/>
    </xf>
    <xf numFmtId="0" fontId="7" fillId="2" borderId="22" xfId="0" applyFont="1" applyFill="1" applyBorder="1" applyAlignment="1" applyProtection="1">
      <alignment horizontal="center" vertical="center" wrapText="1"/>
      <protection locked="0"/>
    </xf>
    <xf numFmtId="4" fontId="7" fillId="2" borderId="44" xfId="0" applyNumberFormat="1" applyFont="1" applyFill="1" applyBorder="1" applyAlignment="1" applyProtection="1">
      <alignment horizontal="right" vertical="center" wrapText="1"/>
    </xf>
    <xf numFmtId="0" fontId="23" fillId="3" borderId="43"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17" fillId="3" borderId="22" xfId="0" applyFont="1" applyFill="1" applyBorder="1" applyAlignment="1" applyProtection="1">
      <alignment horizontal="justify" vertical="center"/>
      <protection locked="0"/>
    </xf>
    <xf numFmtId="4" fontId="7" fillId="0" borderId="44" xfId="0" applyNumberFormat="1" applyFont="1" applyFill="1" applyBorder="1" applyAlignment="1" applyProtection="1">
      <alignment horizontal="right" vertical="center" wrapText="1"/>
    </xf>
    <xf numFmtId="43" fontId="7" fillId="0" borderId="17" xfId="0" applyNumberFormat="1" applyFont="1" applyFill="1" applyBorder="1" applyAlignment="1" applyProtection="1">
      <alignment horizontal="right" vertical="center" wrapText="1"/>
      <protection locked="0"/>
    </xf>
    <xf numFmtId="43" fontId="7" fillId="0" borderId="16" xfId="0" applyNumberFormat="1" applyFont="1" applyFill="1" applyBorder="1" applyAlignment="1" applyProtection="1">
      <alignment horizontal="right" vertical="center" wrapText="1"/>
      <protection locked="0"/>
    </xf>
    <xf numFmtId="0" fontId="7" fillId="0" borderId="17" xfId="0" applyFont="1" applyFill="1" applyBorder="1" applyAlignment="1" applyProtection="1">
      <alignment horizontal="right" vertical="center" wrapText="1"/>
      <protection locked="0"/>
    </xf>
    <xf numFmtId="0" fontId="17" fillId="3" borderId="17" xfId="0" applyFont="1" applyFill="1" applyBorder="1" applyAlignment="1" applyProtection="1">
      <alignment horizontal="right" vertical="center"/>
      <protection locked="0"/>
    </xf>
    <xf numFmtId="0" fontId="23" fillId="2" borderId="43"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0" fontId="17" fillId="2" borderId="22" xfId="0" applyFont="1" applyFill="1" applyBorder="1" applyAlignment="1" applyProtection="1">
      <alignment horizontal="justify" vertical="center"/>
      <protection locked="0"/>
    </xf>
    <xf numFmtId="0" fontId="7" fillId="4" borderId="1"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4" fontId="7" fillId="4" borderId="3" xfId="0" applyNumberFormat="1" applyFont="1" applyFill="1" applyBorder="1" applyAlignment="1" applyProtection="1">
      <alignment horizontal="right" vertical="center" wrapText="1"/>
      <protection locked="0"/>
    </xf>
    <xf numFmtId="4" fontId="7" fillId="4" borderId="9"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justify" vertical="center"/>
      <protection locked="0"/>
    </xf>
    <xf numFmtId="0" fontId="7" fillId="0" borderId="2" xfId="0" applyFont="1" applyFill="1" applyBorder="1" applyAlignment="1" applyProtection="1">
      <alignment horizontal="center" vertical="center" wrapText="1"/>
      <protection locked="0"/>
    </xf>
    <xf numFmtId="4" fontId="17" fillId="3" borderId="3" xfId="0" applyNumberFormat="1" applyFont="1" applyFill="1" applyBorder="1" applyAlignment="1" applyProtection="1">
      <alignment horizontal="right" vertical="center"/>
      <protection locked="0"/>
    </xf>
    <xf numFmtId="0" fontId="37" fillId="3" borderId="8" xfId="0" applyFont="1" applyFill="1" applyBorder="1" applyAlignment="1" applyProtection="1">
      <alignment horizontal="justify" vertical="center"/>
      <protection locked="0"/>
    </xf>
    <xf numFmtId="0" fontId="7" fillId="0" borderId="8" xfId="0" applyFont="1" applyFill="1" applyBorder="1" applyAlignment="1" applyProtection="1">
      <alignment horizontal="center" vertical="center" wrapText="1"/>
      <protection locked="0"/>
    </xf>
    <xf numFmtId="0" fontId="2" fillId="3" borderId="27" xfId="0" applyFont="1" applyFill="1" applyBorder="1" applyAlignment="1" applyProtection="1">
      <alignment horizontal="justify" vertical="center"/>
      <protection locked="0"/>
    </xf>
    <xf numFmtId="0" fontId="2" fillId="3" borderId="14" xfId="0" applyFont="1" applyFill="1" applyBorder="1" applyAlignment="1" applyProtection="1">
      <alignment horizontal="justify" vertical="center"/>
      <protection locked="0"/>
    </xf>
    <xf numFmtId="0" fontId="21" fillId="3" borderId="14" xfId="0" applyFont="1" applyFill="1" applyBorder="1" applyAlignment="1" applyProtection="1">
      <alignment horizontal="justify" vertical="center"/>
      <protection locked="0"/>
    </xf>
    <xf numFmtId="0" fontId="2" fillId="3" borderId="28" xfId="0" applyFont="1" applyFill="1" applyBorder="1" applyAlignment="1" applyProtection="1">
      <alignment horizontal="justify" vertical="center"/>
      <protection locked="0"/>
    </xf>
    <xf numFmtId="0" fontId="21" fillId="3" borderId="28" xfId="0" applyFont="1" applyFill="1" applyBorder="1" applyAlignment="1" applyProtection="1">
      <alignment horizontal="justify" vertical="center"/>
      <protection locked="0"/>
    </xf>
    <xf numFmtId="0" fontId="17" fillId="3" borderId="1" xfId="0" applyFont="1" applyFill="1" applyBorder="1" applyAlignment="1" applyProtection="1">
      <alignment horizontal="justify" vertical="center"/>
      <protection locked="0"/>
    </xf>
    <xf numFmtId="0" fontId="23" fillId="3" borderId="7"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22"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53" fillId="0" borderId="0" xfId="0" applyFont="1" applyFill="1" applyAlignment="1" applyProtection="1">
      <alignment vertical="center"/>
      <protection locked="0"/>
    </xf>
    <xf numFmtId="0" fontId="24" fillId="0" borderId="0" xfId="0" applyFont="1" applyFill="1" applyAlignment="1" applyProtection="1">
      <alignment vertical="center"/>
      <protection locked="0"/>
    </xf>
    <xf numFmtId="0" fontId="53" fillId="0" borderId="0" xfId="0" applyFont="1" applyFill="1" applyAlignment="1" applyProtection="1">
      <alignment horizontal="justify"/>
      <protection locked="0"/>
    </xf>
    <xf numFmtId="0" fontId="54" fillId="0" borderId="0" xfId="0" applyFont="1" applyFill="1" applyAlignment="1" applyProtection="1">
      <alignment horizontal="right"/>
      <protection locked="0"/>
    </xf>
    <xf numFmtId="0" fontId="1" fillId="0" borderId="47" xfId="0" applyFont="1" applyFill="1" applyBorder="1" applyAlignment="1" applyProtection="1">
      <alignment horizontal="left" vertical="center" wrapText="1" indent="2"/>
      <protection locked="0"/>
    </xf>
    <xf numFmtId="0" fontId="1" fillId="0" borderId="48" xfId="0" applyFont="1" applyFill="1" applyBorder="1" applyAlignment="1" applyProtection="1">
      <alignment horizontal="justify" vertical="center" wrapText="1"/>
      <protection locked="0"/>
    </xf>
    <xf numFmtId="49" fontId="27" fillId="0" borderId="16" xfId="0" applyNumberFormat="1" applyFont="1" applyFill="1" applyBorder="1" applyAlignment="1">
      <alignment horizontal="center" vertical="center" wrapText="1"/>
    </xf>
    <xf numFmtId="49" fontId="27" fillId="0" borderId="18" xfId="0" applyNumberFormat="1" applyFont="1" applyFill="1" applyBorder="1" applyAlignment="1">
      <alignment horizontal="center" vertical="center" wrapText="1"/>
    </xf>
    <xf numFmtId="0" fontId="7" fillId="0" borderId="0" xfId="0" applyFont="1" applyFill="1" applyAlignment="1" applyProtection="1">
      <alignment vertical="center"/>
      <protection locked="0"/>
    </xf>
    <xf numFmtId="49" fontId="27" fillId="0" borderId="16" xfId="0" applyNumberFormat="1" applyFont="1" applyFill="1" applyBorder="1" applyAlignment="1" applyProtection="1">
      <alignment horizontal="center" vertical="center" wrapText="1"/>
      <protection locked="0"/>
    </xf>
    <xf numFmtId="49" fontId="27" fillId="0" borderId="18" xfId="0" applyNumberFormat="1"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protection locked="0"/>
    </xf>
    <xf numFmtId="0" fontId="24" fillId="0" borderId="47" xfId="0" applyFont="1" applyFill="1" applyBorder="1" applyAlignment="1" applyProtection="1">
      <alignment horizontal="justify" vertical="center" wrapText="1"/>
      <protection locked="0"/>
    </xf>
    <xf numFmtId="0" fontId="3" fillId="0" borderId="43" xfId="0" applyFont="1" applyFill="1" applyBorder="1" applyAlignment="1" applyProtection="1">
      <alignment horizontal="justify" vertical="center" wrapText="1"/>
      <protection locked="0"/>
    </xf>
    <xf numFmtId="49" fontId="27" fillId="0" borderId="0" xfId="0" applyNumberFormat="1" applyFont="1" applyFill="1" applyAlignment="1" applyProtection="1">
      <alignment vertical="center"/>
      <protection locked="0"/>
    </xf>
    <xf numFmtId="0" fontId="7" fillId="0" borderId="15"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46"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2" fillId="0" borderId="15"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4"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center" wrapText="1" indent="1"/>
      <protection locked="0"/>
    </xf>
    <xf numFmtId="4" fontId="7" fillId="0" borderId="0" xfId="0" applyNumberFormat="1" applyFont="1" applyFill="1" applyBorder="1" applyAlignment="1" applyProtection="1">
      <alignment horizontal="right" vertical="top"/>
      <protection locked="0"/>
    </xf>
    <xf numFmtId="4" fontId="12" fillId="0" borderId="15" xfId="0" applyNumberFormat="1" applyFont="1" applyFill="1" applyBorder="1" applyAlignment="1" applyProtection="1">
      <alignment horizontal="center" vertical="center" wrapText="1"/>
      <protection locked="0"/>
    </xf>
    <xf numFmtId="4" fontId="12" fillId="0" borderId="23" xfId="0" applyNumberFormat="1" applyFont="1" applyFill="1" applyBorder="1" applyAlignment="1" applyProtection="1">
      <alignment horizontal="center" vertical="center" wrapText="1"/>
      <protection locked="0"/>
    </xf>
    <xf numFmtId="4" fontId="12" fillId="0" borderId="16" xfId="0" applyNumberFormat="1" applyFont="1" applyFill="1" applyBorder="1" applyAlignment="1" applyProtection="1">
      <alignment horizontal="center" vertical="center" wrapText="1"/>
      <protection locked="0"/>
    </xf>
    <xf numFmtId="4" fontId="12" fillId="0" borderId="18" xfId="0" applyNumberFormat="1" applyFont="1" applyFill="1" applyBorder="1" applyAlignment="1" applyProtection="1">
      <alignment horizontal="center" vertical="center" wrapText="1"/>
      <protection locked="0"/>
    </xf>
    <xf numFmtId="0" fontId="5" fillId="0" borderId="47"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46" xfId="0" applyNumberFormat="1" applyFont="1" applyFill="1" applyBorder="1" applyAlignment="1" applyProtection="1">
      <alignment horizontal="justify" vertical="center" wrapText="1"/>
      <protection locked="0"/>
    </xf>
    <xf numFmtId="0" fontId="3" fillId="0" borderId="0" xfId="0" applyFont="1" applyFill="1" applyBorder="1" applyAlignment="1">
      <alignment horizontal="left" vertical="top"/>
    </xf>
    <xf numFmtId="0" fontId="3" fillId="0" borderId="43"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49" fontId="3" fillId="0" borderId="47"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7"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49" fontId="27" fillId="4" borderId="16" xfId="0" applyNumberFormat="1" applyFont="1" applyFill="1" applyBorder="1" applyAlignment="1">
      <alignment horizontal="center" vertical="center" wrapText="1"/>
    </xf>
    <xf numFmtId="0" fontId="5" fillId="0" borderId="0" xfId="0" applyFont="1" applyProtection="1"/>
    <xf numFmtId="0" fontId="11" fillId="4" borderId="0" xfId="0" applyFont="1" applyFill="1" applyBorder="1" applyAlignment="1" applyProtection="1">
      <alignment horizontal="right"/>
      <protection locked="0"/>
    </xf>
    <xf numFmtId="0" fontId="40" fillId="0" borderId="0" xfId="0" applyFont="1" applyAlignment="1" applyProtection="1">
      <protection locked="0"/>
    </xf>
    <xf numFmtId="0" fontId="41" fillId="0" borderId="26" xfId="0" applyFont="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0" fontId="41" fillId="0" borderId="23" xfId="0" applyFont="1" applyBorder="1" applyAlignment="1" applyProtection="1">
      <alignment horizontal="center" vertical="center" wrapText="1"/>
      <protection locked="0"/>
    </xf>
    <xf numFmtId="0" fontId="41" fillId="0" borderId="24"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4" fontId="41" fillId="0" borderId="17" xfId="0" applyNumberFormat="1" applyFont="1" applyBorder="1" applyAlignment="1" applyProtection="1">
      <alignment horizontal="right" vertical="center"/>
      <protection locked="0"/>
    </xf>
    <xf numFmtId="4" fontId="41" fillId="0" borderId="14" xfId="0" applyNumberFormat="1" applyFont="1" applyBorder="1" applyAlignment="1" applyProtection="1">
      <alignment horizontal="right" vertical="center"/>
      <protection locked="0"/>
    </xf>
    <xf numFmtId="4" fontId="41" fillId="0" borderId="6" xfId="0" applyNumberFormat="1" applyFont="1" applyBorder="1" applyAlignment="1" applyProtection="1">
      <alignment horizontal="right" vertical="center"/>
      <protection locked="0"/>
    </xf>
    <xf numFmtId="0" fontId="41" fillId="0" borderId="14" xfId="0" applyFont="1" applyBorder="1" applyAlignment="1" applyProtection="1">
      <alignment horizontal="left" vertical="center"/>
      <protection locked="0"/>
    </xf>
    <xf numFmtId="0" fontId="41"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41" fillId="0" borderId="10" xfId="0" applyFont="1" applyBorder="1" applyAlignment="1" applyProtection="1">
      <alignment horizontal="center" vertical="center"/>
      <protection locked="0"/>
    </xf>
    <xf numFmtId="0" fontId="41" fillId="0" borderId="21" xfId="0" applyFont="1" applyBorder="1" applyAlignment="1" applyProtection="1">
      <alignment vertical="center"/>
      <protection locked="0"/>
    </xf>
    <xf numFmtId="0" fontId="42" fillId="0" borderId="0" xfId="0" applyFont="1" applyProtection="1">
      <protection locked="0"/>
    </xf>
    <xf numFmtId="4" fontId="41" fillId="0" borderId="17" xfId="0" applyNumberFormat="1" applyFont="1" applyBorder="1" applyAlignment="1" applyProtection="1">
      <alignment horizontal="right" vertical="center"/>
    </xf>
    <xf numFmtId="4" fontId="41" fillId="0" borderId="14" xfId="0" applyNumberFormat="1" applyFont="1" applyBorder="1" applyAlignment="1" applyProtection="1">
      <alignment horizontal="right" vertical="center"/>
    </xf>
    <xf numFmtId="4" fontId="41" fillId="0" borderId="6" xfId="0" applyNumberFormat="1" applyFont="1" applyBorder="1" applyAlignment="1" applyProtection="1">
      <alignment horizontal="right" vertical="center"/>
    </xf>
    <xf numFmtId="4" fontId="41" fillId="0" borderId="22" xfId="0" applyNumberFormat="1" applyFont="1" applyBorder="1" applyAlignment="1" applyProtection="1">
      <alignment horizontal="right" vertical="center"/>
    </xf>
    <xf numFmtId="4" fontId="41" fillId="0" borderId="44" xfId="0" applyNumberFormat="1" applyFont="1" applyBorder="1" applyAlignment="1" applyProtection="1">
      <alignment horizontal="right" vertical="center"/>
    </xf>
    <xf numFmtId="0" fontId="22" fillId="0" borderId="0" xfId="0" applyFont="1" applyAlignment="1" applyProtection="1">
      <protection locked="0"/>
    </xf>
    <xf numFmtId="0" fontId="41" fillId="0" borderId="17"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4" fontId="41" fillId="0" borderId="12" xfId="0" applyNumberFormat="1" applyFont="1" applyBorder="1" applyAlignment="1" applyProtection="1">
      <alignment horizontal="right" vertical="center"/>
    </xf>
    <xf numFmtId="0" fontId="0" fillId="0" borderId="0" xfId="0" applyProtection="1">
      <protection locked="0"/>
    </xf>
    <xf numFmtId="0" fontId="12" fillId="0" borderId="8" xfId="0" applyFont="1" applyFill="1" applyBorder="1" applyAlignment="1" applyProtection="1">
      <alignment vertical="center" wrapText="1"/>
      <protection locked="0"/>
    </xf>
    <xf numFmtId="49" fontId="27"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9" fillId="0" borderId="5" xfId="0" applyFont="1" applyBorder="1" applyAlignment="1" applyProtection="1">
      <alignment vertical="center" wrapText="1"/>
      <protection locked="0"/>
    </xf>
    <xf numFmtId="4" fontId="39" fillId="0" borderId="17" xfId="0" applyNumberFormat="1" applyFont="1" applyBorder="1" applyAlignment="1" applyProtection="1">
      <alignment horizontal="right" vertical="center" wrapText="1"/>
      <protection locked="0"/>
    </xf>
    <xf numFmtId="0" fontId="56" fillId="0" borderId="0" xfId="0" applyFont="1" applyProtection="1">
      <protection locked="0"/>
    </xf>
    <xf numFmtId="0" fontId="12" fillId="0" borderId="47" xfId="0" applyFont="1" applyBorder="1" applyAlignment="1" applyProtection="1">
      <alignment vertical="top" wrapText="1"/>
      <protection locked="0"/>
    </xf>
    <xf numFmtId="0" fontId="47"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47" xfId="0" applyFont="1" applyBorder="1" applyAlignment="1" applyProtection="1">
      <alignment horizontal="justify" vertical="center" wrapText="1"/>
      <protection locked="0"/>
    </xf>
    <xf numFmtId="0" fontId="24" fillId="0" borderId="47" xfId="0" applyFont="1" applyBorder="1" applyAlignment="1" applyProtection="1">
      <alignment horizontal="left" vertical="center" wrapText="1" indent="4"/>
      <protection locked="0"/>
    </xf>
    <xf numFmtId="0" fontId="3" fillId="0" borderId="43" xfId="0" applyFont="1" applyBorder="1" applyAlignment="1" applyProtection="1">
      <alignment horizontal="justify" vertical="center" wrapText="1"/>
      <protection locked="0"/>
    </xf>
    <xf numFmtId="0" fontId="7" fillId="0" borderId="0" xfId="0" applyFont="1" applyFill="1" applyBorder="1" applyAlignment="1">
      <alignment horizontal="right"/>
    </xf>
    <xf numFmtId="0" fontId="40"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41" fillId="0" borderId="0" xfId="0" applyFont="1" applyFill="1" applyBorder="1" applyAlignment="1">
      <alignment horizontal="center" vertical="center"/>
    </xf>
    <xf numFmtId="0" fontId="41" fillId="0" borderId="5" xfId="0" applyFont="1" applyFill="1" applyBorder="1" applyAlignment="1">
      <alignment horizontal="left" vertical="center"/>
    </xf>
    <xf numFmtId="0" fontId="41"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0" xfId="0" applyFont="1" applyFill="1" applyBorder="1" applyAlignment="1">
      <alignment horizontal="left" vertical="center"/>
    </xf>
    <xf numFmtId="0" fontId="41" fillId="0" borderId="3" xfId="0" applyFont="1" applyFill="1" applyBorder="1" applyAlignment="1">
      <alignment horizontal="center" vertical="center"/>
    </xf>
    <xf numFmtId="0" fontId="7" fillId="4" borderId="0" xfId="0" applyFont="1" applyFill="1" applyBorder="1" applyAlignment="1" applyProtection="1">
      <alignment horizontal="right"/>
      <protection locked="0"/>
    </xf>
    <xf numFmtId="0" fontId="41" fillId="0" borderId="5" xfId="0" applyFont="1" applyBorder="1" applyAlignment="1" applyProtection="1">
      <alignment horizontal="left" vertical="center"/>
      <protection locked="0"/>
    </xf>
    <xf numFmtId="4" fontId="41" fillId="0" borderId="46" xfId="0" applyNumberFormat="1" applyFont="1" applyBorder="1" applyAlignment="1" applyProtection="1">
      <alignment horizontal="right" vertical="center"/>
      <protection locked="0"/>
    </xf>
    <xf numFmtId="0" fontId="42" fillId="0" borderId="14" xfId="0" applyFont="1" applyBorder="1" applyAlignment="1" applyProtection="1">
      <alignment horizontal="left" vertical="center"/>
      <protection locked="0"/>
    </xf>
    <xf numFmtId="0" fontId="41" fillId="2" borderId="15"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4" fontId="41" fillId="0" borderId="46" xfId="0" applyNumberFormat="1" applyFont="1" applyBorder="1" applyAlignment="1" applyProtection="1">
      <alignment horizontal="right" vertical="center"/>
    </xf>
    <xf numFmtId="0" fontId="40" fillId="0" borderId="0" xfId="0" applyFont="1" applyBorder="1" applyAlignment="1" applyProtection="1">
      <alignment horizontal="center"/>
      <protection locked="0"/>
    </xf>
    <xf numFmtId="0" fontId="41" fillId="0" borderId="26" xfId="0" applyFont="1" applyBorder="1" applyAlignment="1" applyProtection="1">
      <alignment horizontal="center" vertical="center"/>
      <protection locked="0"/>
    </xf>
    <xf numFmtId="0" fontId="41" fillId="0" borderId="14" xfId="0" applyFont="1" applyFill="1" applyBorder="1" applyAlignment="1" applyProtection="1">
      <alignment horizontal="center" vertical="center"/>
      <protection locked="0"/>
    </xf>
    <xf numFmtId="0" fontId="41" fillId="0" borderId="14" xfId="0" applyFont="1" applyFill="1" applyBorder="1" applyAlignment="1" applyProtection="1">
      <alignment horizontal="left" vertical="center"/>
      <protection locked="0"/>
    </xf>
    <xf numFmtId="0" fontId="44" fillId="0" borderId="0" xfId="12" applyFont="1" applyAlignment="1" applyProtection="1">
      <alignment horizontal="center" vertical="center"/>
      <protection locked="0"/>
    </xf>
    <xf numFmtId="0" fontId="57" fillId="0" borderId="0" xfId="0" applyFont="1" applyProtection="1">
      <protection locked="0"/>
    </xf>
    <xf numFmtId="4" fontId="41" fillId="0" borderId="6" xfId="6" applyNumberFormat="1" applyFont="1" applyBorder="1" applyAlignment="1" applyProtection="1">
      <alignment horizontal="right" vertical="center" wrapText="1"/>
    </xf>
    <xf numFmtId="4" fontId="41" fillId="0" borderId="17" xfId="0" applyNumberFormat="1" applyFont="1" applyBorder="1" applyAlignment="1" applyProtection="1">
      <alignment horizontal="right" vertical="center" wrapText="1"/>
    </xf>
    <xf numFmtId="4" fontId="41" fillId="0" borderId="14" xfId="6" applyNumberFormat="1" applyFont="1" applyBorder="1" applyAlignment="1" applyProtection="1">
      <alignment horizontal="right" vertical="center" wrapText="1"/>
    </xf>
    <xf numFmtId="0" fontId="12" fillId="0" borderId="0" xfId="0" applyFont="1" applyFill="1" applyBorder="1" applyAlignment="1" applyProtection="1">
      <alignment vertical="center"/>
      <protection locked="0"/>
    </xf>
    <xf numFmtId="4" fontId="7" fillId="0" borderId="8" xfId="0" applyNumberFormat="1" applyFont="1" applyFill="1" applyBorder="1" applyAlignment="1" applyProtection="1">
      <alignment horizontal="left" vertical="top"/>
      <protection locked="0"/>
    </xf>
    <xf numFmtId="0" fontId="7" fillId="0" borderId="43"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7" fillId="0" borderId="2"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3" fillId="0" borderId="45" xfId="0" applyFont="1" applyFill="1" applyBorder="1" applyAlignment="1" applyProtection="1">
      <alignment vertical="center"/>
      <protection locked="0"/>
    </xf>
    <xf numFmtId="0" fontId="2" fillId="0" borderId="47" xfId="0" applyFont="1" applyFill="1" applyBorder="1" applyAlignment="1" applyProtection="1">
      <alignment horizontal="left" vertical="center" indent="3"/>
      <protection locked="0"/>
    </xf>
    <xf numFmtId="0" fontId="23" fillId="0" borderId="48" xfId="0" applyFont="1" applyFill="1" applyBorder="1" applyAlignment="1" applyProtection="1">
      <alignment vertical="center"/>
      <protection locked="0"/>
    </xf>
    <xf numFmtId="0" fontId="2" fillId="0" borderId="2" xfId="0" applyFont="1" applyFill="1" applyBorder="1" applyAlignment="1" applyProtection="1">
      <alignment horizontal="justify" vertical="center"/>
      <protection locked="0"/>
    </xf>
    <xf numFmtId="0" fontId="23" fillId="0" borderId="8" xfId="0" applyFont="1" applyFill="1" applyBorder="1" applyAlignment="1" applyProtection="1">
      <alignment horizontal="left" vertical="center"/>
      <protection locked="0"/>
    </xf>
    <xf numFmtId="0" fontId="23" fillId="0" borderId="47" xfId="0" applyFont="1" applyFill="1" applyBorder="1" applyAlignment="1" applyProtection="1">
      <alignment vertical="center"/>
      <protection locked="0"/>
    </xf>
    <xf numFmtId="0" fontId="2" fillId="0" borderId="48"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7" fillId="0" borderId="2" xfId="0" applyNumberFormat="1" applyFont="1" applyFill="1" applyBorder="1" applyAlignment="1" applyProtection="1">
      <alignment horizontal="right" vertical="center" wrapText="1"/>
    </xf>
    <xf numFmtId="4" fontId="7" fillId="0" borderId="8" xfId="0" applyNumberFormat="1" applyFont="1" applyFill="1" applyBorder="1" applyAlignment="1" applyProtection="1">
      <alignment horizontal="right" vertical="center" wrapText="1"/>
    </xf>
    <xf numFmtId="4" fontId="7" fillId="2" borderId="23"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7" fillId="0" borderId="46" xfId="0" applyNumberFormat="1" applyFont="1" applyFill="1" applyBorder="1" applyAlignment="1" applyProtection="1">
      <alignment horizontal="right" vertical="center"/>
    </xf>
    <xf numFmtId="4" fontId="17" fillId="0" borderId="18" xfId="0" applyNumberFormat="1" applyFont="1" applyFill="1" applyBorder="1" applyAlignment="1" applyProtection="1">
      <alignment horizontal="right" vertical="center"/>
    </xf>
    <xf numFmtId="4" fontId="17" fillId="0" borderId="2" xfId="0" applyNumberFormat="1" applyFont="1" applyFill="1" applyBorder="1" applyAlignment="1" applyProtection="1">
      <alignment horizontal="right" vertical="center"/>
    </xf>
    <xf numFmtId="4" fontId="17" fillId="0" borderId="8" xfId="0" applyNumberFormat="1" applyFont="1" applyFill="1" applyBorder="1" applyAlignment="1" applyProtection="1">
      <alignment horizontal="right" vertical="center"/>
    </xf>
    <xf numFmtId="0" fontId="22" fillId="0" borderId="0" xfId="0" applyFont="1" applyBorder="1" applyAlignment="1" applyProtection="1">
      <alignment horizontal="left" vertical="center"/>
    </xf>
    <xf numFmtId="0" fontId="55" fillId="0" borderId="0" xfId="0" applyFont="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4" fontId="17" fillId="3" borderId="46" xfId="0" applyNumberFormat="1" applyFont="1" applyFill="1" applyBorder="1" applyAlignment="1" applyProtection="1">
      <alignment horizontal="right" vertical="center"/>
    </xf>
    <xf numFmtId="4" fontId="17" fillId="3" borderId="18" xfId="0" applyNumberFormat="1" applyFont="1" applyFill="1" applyBorder="1" applyAlignment="1" applyProtection="1">
      <alignment horizontal="right" vertical="center"/>
    </xf>
    <xf numFmtId="0" fontId="59" fillId="0" borderId="0" xfId="0" applyFont="1" applyFill="1" applyBorder="1" applyAlignment="1" applyProtection="1">
      <alignment horizontal="center"/>
      <protection locked="0"/>
    </xf>
    <xf numFmtId="0" fontId="58" fillId="0" borderId="0" xfId="0" applyFont="1" applyBorder="1" applyAlignment="1" applyProtection="1">
      <alignment horizontal="left"/>
      <protection locked="0"/>
    </xf>
    <xf numFmtId="0" fontId="55" fillId="0" borderId="0" xfId="0" applyFont="1" applyBorder="1" applyAlignment="1" applyProtection="1">
      <alignment horizontal="left"/>
      <protection locked="0"/>
    </xf>
    <xf numFmtId="0" fontId="58" fillId="0" borderId="0" xfId="0" applyFont="1" applyFill="1" applyAlignment="1" applyProtection="1">
      <alignment horizontal="center" vertical="center"/>
      <protection locked="0"/>
    </xf>
    <xf numFmtId="0" fontId="60" fillId="0" borderId="0" xfId="0" applyFont="1" applyFill="1" applyAlignment="1" applyProtection="1">
      <alignment horizontal="center" vertical="center"/>
      <protection locked="0"/>
    </xf>
    <xf numFmtId="0" fontId="60" fillId="0" borderId="0"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 fontId="0" fillId="0" borderId="8" xfId="0" applyNumberFormat="1" applyFill="1" applyBorder="1" applyAlignment="1" applyProtection="1">
      <alignment horizontal="center"/>
      <protection locked="0"/>
    </xf>
    <xf numFmtId="0" fontId="60" fillId="0" borderId="0" xfId="0" applyFont="1" applyAlignment="1" applyProtection="1">
      <alignment horizontal="center" wrapText="1"/>
    </xf>
    <xf numFmtId="4" fontId="12" fillId="0" borderId="8" xfId="0" applyNumberFormat="1" applyFont="1" applyFill="1" applyBorder="1" applyAlignment="1" applyProtection="1">
      <alignment vertical="top"/>
      <protection locked="0"/>
    </xf>
    <xf numFmtId="4" fontId="17" fillId="0" borderId="9" xfId="0" applyNumberFormat="1" applyFont="1" applyBorder="1" applyAlignment="1" applyProtection="1">
      <alignment horizontal="left" vertical="top"/>
      <protection locked="0"/>
    </xf>
    <xf numFmtId="4" fontId="58" fillId="0" borderId="0" xfId="0" applyNumberFormat="1" applyFont="1" applyBorder="1" applyAlignment="1" applyProtection="1">
      <alignment horizontal="left"/>
      <protection locked="0"/>
    </xf>
    <xf numFmtId="4" fontId="7"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59" fillId="0" borderId="0" xfId="0" applyFont="1" applyFill="1" applyBorder="1" applyAlignment="1" applyProtection="1">
      <alignment horizontal="left"/>
    </xf>
    <xf numFmtId="0" fontId="60" fillId="0" borderId="0" xfId="0" applyFont="1" applyAlignment="1" applyProtection="1">
      <alignment horizontal="center"/>
      <protection locked="0"/>
    </xf>
    <xf numFmtId="0" fontId="11" fillId="0" borderId="0" xfId="0" applyFont="1" applyBorder="1" applyAlignment="1" applyProtection="1">
      <alignment horizontal="center" vertical="center" wrapText="1"/>
      <protection locked="0"/>
    </xf>
    <xf numFmtId="0" fontId="52" fillId="0" borderId="0" xfId="0" applyFont="1" applyFill="1" applyBorder="1" applyAlignment="1" applyProtection="1">
      <alignment horizontal="left"/>
    </xf>
    <xf numFmtId="0" fontId="24" fillId="0" borderId="0" xfId="0" applyFont="1" applyFill="1" applyProtection="1">
      <protection locked="0"/>
    </xf>
    <xf numFmtId="0" fontId="13" fillId="0" borderId="0" xfId="0" applyFont="1" applyProtection="1">
      <protection locked="0"/>
    </xf>
    <xf numFmtId="0" fontId="52" fillId="0" borderId="0" xfId="0" applyFont="1" applyFill="1" applyBorder="1" applyAlignment="1" applyProtection="1">
      <alignment horizontal="left"/>
      <protection locked="0"/>
    </xf>
    <xf numFmtId="3" fontId="12" fillId="0" borderId="17" xfId="0" applyNumberFormat="1" applyFont="1" applyBorder="1" applyAlignment="1" applyProtection="1">
      <alignment horizontal="right" vertical="center" wrapText="1"/>
    </xf>
    <xf numFmtId="3" fontId="24" fillId="0" borderId="17" xfId="0" applyNumberFormat="1" applyFont="1" applyBorder="1" applyAlignment="1" applyProtection="1">
      <alignment horizontal="right" vertical="center" wrapText="1"/>
      <protection locked="0"/>
    </xf>
    <xf numFmtId="3" fontId="24" fillId="0" borderId="17" xfId="0" applyNumberFormat="1" applyFont="1" applyBorder="1" applyAlignment="1" applyProtection="1">
      <alignment horizontal="right" vertical="center" wrapText="1"/>
    </xf>
    <xf numFmtId="3" fontId="12" fillId="0" borderId="17" xfId="0" applyNumberFormat="1" applyFont="1" applyBorder="1" applyAlignment="1" applyProtection="1">
      <alignment horizontal="right" vertical="center" wrapText="1"/>
      <protection locked="0"/>
    </xf>
    <xf numFmtId="3" fontId="3" fillId="0" borderId="22" xfId="0" applyNumberFormat="1" applyFont="1" applyBorder="1" applyAlignment="1" applyProtection="1">
      <alignment horizontal="right" vertical="center" wrapText="1"/>
    </xf>
    <xf numFmtId="0" fontId="3" fillId="0" borderId="47"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46"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top" wrapText="1" indent="2"/>
      <protection locked="0"/>
    </xf>
    <xf numFmtId="3" fontId="1" fillId="0" borderId="22" xfId="0" applyNumberFormat="1" applyFont="1" applyFill="1" applyBorder="1" applyAlignment="1" applyProtection="1">
      <alignment horizontal="right" vertical="center" wrapText="1"/>
    </xf>
    <xf numFmtId="3" fontId="1" fillId="0" borderId="44" xfId="0" applyNumberFormat="1" applyFont="1" applyFill="1" applyBorder="1" applyAlignment="1" applyProtection="1">
      <alignment horizontal="right" vertical="center" wrapText="1"/>
    </xf>
    <xf numFmtId="3" fontId="3" fillId="0" borderId="22" xfId="0" applyNumberFormat="1" applyFont="1" applyFill="1" applyBorder="1" applyAlignment="1" applyProtection="1">
      <alignment horizontal="right" vertical="center" wrapText="1"/>
    </xf>
    <xf numFmtId="3" fontId="3" fillId="0" borderId="44"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4" fillId="0" borderId="17" xfId="0" applyNumberFormat="1" applyFont="1" applyFill="1" applyBorder="1" applyAlignment="1" applyProtection="1">
      <alignment horizontal="right" vertical="center" wrapText="1"/>
      <protection locked="0"/>
    </xf>
    <xf numFmtId="3" fontId="24" fillId="0" borderId="17" xfId="0" applyNumberFormat="1" applyFont="1" applyFill="1" applyBorder="1" applyAlignment="1" applyProtection="1">
      <alignment horizontal="right" vertical="center" wrapText="1"/>
    </xf>
    <xf numFmtId="3" fontId="24" fillId="0" borderId="46"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45" xfId="0" applyFont="1" applyBorder="1" applyAlignment="1" applyProtection="1">
      <alignment vertical="center" wrapText="1"/>
    </xf>
    <xf numFmtId="0" fontId="1" fillId="0" borderId="47" xfId="0" applyFont="1" applyBorder="1" applyAlignment="1" applyProtection="1">
      <alignment horizontal="left" vertical="center" wrapText="1" indent="3"/>
    </xf>
    <xf numFmtId="0" fontId="1" fillId="0" borderId="47" xfId="0" applyFont="1" applyBorder="1" applyAlignment="1" applyProtection="1">
      <alignment vertical="center" wrapText="1"/>
    </xf>
    <xf numFmtId="0" fontId="1" fillId="0" borderId="48" xfId="0" applyFont="1" applyBorder="1" applyAlignment="1" applyProtection="1">
      <alignment horizontal="left" vertical="center" wrapText="1" indent="3"/>
    </xf>
    <xf numFmtId="0" fontId="3" fillId="0" borderId="43"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46"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4" xfId="0" applyNumberFormat="1" applyFont="1" applyBorder="1" applyAlignment="1" applyProtection="1">
      <alignment horizontal="right" vertical="center" wrapText="1"/>
    </xf>
    <xf numFmtId="3" fontId="16"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8" fillId="0" borderId="6" xfId="0" applyNumberFormat="1" applyFont="1" applyBorder="1" applyAlignment="1" applyProtection="1">
      <alignment horizontal="right" vertical="center"/>
    </xf>
    <xf numFmtId="3" fontId="18" fillId="0" borderId="4" xfId="0" applyNumberFormat="1" applyFont="1" applyBorder="1" applyAlignment="1" applyProtection="1">
      <alignment horizontal="right" vertical="center"/>
    </xf>
    <xf numFmtId="3" fontId="18" fillId="0" borderId="6" xfId="0" applyNumberFormat="1" applyFont="1" applyBorder="1" applyAlignment="1" applyProtection="1">
      <alignment horizontal="right" vertical="center" wrapText="1"/>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0" fontId="61" fillId="0" borderId="0" xfId="0" applyFont="1" applyAlignment="1" applyProtection="1">
      <alignment horizontal="center" wrapText="1"/>
    </xf>
    <xf numFmtId="43"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7" fillId="0" borderId="0" xfId="0" applyNumberFormat="1" applyFont="1" applyBorder="1" applyAlignment="1" applyProtection="1">
      <alignment horizontal="left" vertical="top"/>
      <protection locked="0"/>
    </xf>
    <xf numFmtId="0" fontId="16"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7" fillId="0" borderId="0" xfId="0" applyFont="1" applyFill="1" applyBorder="1" applyAlignment="1" applyProtection="1">
      <alignment horizontal="justify" vertical="center"/>
      <protection locked="0"/>
    </xf>
    <xf numFmtId="4" fontId="17" fillId="0" borderId="0" xfId="0" applyNumberFormat="1" applyFont="1" applyFill="1" applyBorder="1" applyAlignment="1" applyProtection="1">
      <alignment horizontal="right" vertical="center"/>
    </xf>
    <xf numFmtId="0" fontId="23" fillId="0" borderId="0" xfId="0" applyFont="1" applyFill="1" applyBorder="1" applyAlignment="1" applyProtection="1">
      <alignment vertical="center"/>
      <protection locked="0"/>
    </xf>
    <xf numFmtId="0" fontId="23" fillId="0" borderId="43" xfId="0" applyFont="1" applyFill="1" applyBorder="1" applyAlignment="1" applyProtection="1">
      <alignment vertical="center"/>
      <protection locked="0"/>
    </xf>
    <xf numFmtId="0" fontId="41" fillId="0" borderId="0" xfId="0" applyFont="1" applyBorder="1" applyAlignment="1" applyProtection="1">
      <alignment horizontal="center" vertical="center"/>
      <protection locked="0"/>
    </xf>
    <xf numFmtId="0" fontId="41" fillId="0" borderId="0" xfId="0" applyFont="1" applyBorder="1" applyAlignment="1" applyProtection="1">
      <alignment vertical="center"/>
      <protection locked="0"/>
    </xf>
    <xf numFmtId="4" fontId="41"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0" fontId="0" fillId="0" borderId="8" xfId="0" applyBorder="1" applyAlignment="1" applyProtection="1">
      <alignment horizontal="center"/>
      <protection locked="0"/>
    </xf>
    <xf numFmtId="3" fontId="24" fillId="0" borderId="46" xfId="0" applyNumberFormat="1" applyFont="1" applyFill="1" applyBorder="1" applyAlignment="1" applyProtection="1">
      <alignment horizontal="right" vertical="center" wrapText="1"/>
      <protection locked="0"/>
    </xf>
    <xf numFmtId="0" fontId="1" fillId="0" borderId="48" xfId="0" applyFont="1" applyFill="1" applyBorder="1" applyAlignment="1" applyProtection="1">
      <alignment horizontal="justify" vertical="center" wrapText="1"/>
    </xf>
    <xf numFmtId="0" fontId="1" fillId="0" borderId="47" xfId="0" applyFont="1" applyFill="1" applyBorder="1" applyAlignment="1" applyProtection="1">
      <alignment horizontal="justify" vertical="center" wrapText="1"/>
    </xf>
    <xf numFmtId="0" fontId="62" fillId="0" borderId="0" xfId="0" applyFont="1"/>
    <xf numFmtId="3" fontId="24" fillId="0" borderId="16" xfId="0" applyNumberFormat="1" applyFont="1" applyFill="1" applyBorder="1" applyAlignment="1" applyProtection="1">
      <alignment horizontal="right" vertical="center" wrapText="1"/>
      <protection locked="0"/>
    </xf>
    <xf numFmtId="3" fontId="24" fillId="0" borderId="16" xfId="0" applyNumberFormat="1" applyFont="1" applyFill="1" applyBorder="1" applyAlignment="1" applyProtection="1">
      <alignment horizontal="right" vertical="center" wrapText="1"/>
    </xf>
    <xf numFmtId="3" fontId="24" fillId="0" borderId="18" xfId="0" applyNumberFormat="1" applyFont="1" applyFill="1" applyBorder="1" applyAlignment="1" applyProtection="1">
      <alignment horizontal="right" vertical="center" wrapText="1"/>
    </xf>
    <xf numFmtId="3" fontId="12" fillId="0" borderId="16" xfId="0" applyNumberFormat="1" applyFont="1" applyFill="1" applyBorder="1" applyAlignment="1" applyProtection="1">
      <alignment horizontal="right" vertical="center" wrapText="1"/>
    </xf>
    <xf numFmtId="3" fontId="39" fillId="0" borderId="16" xfId="0" applyNumberFormat="1" applyFont="1" applyFill="1" applyBorder="1" applyAlignment="1" applyProtection="1">
      <alignment horizontal="right" vertical="center" wrapText="1"/>
    </xf>
    <xf numFmtId="3" fontId="12"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7"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7" fillId="0" borderId="8" xfId="0" applyFont="1" applyFill="1" applyBorder="1" applyAlignment="1" applyProtection="1">
      <alignment vertical="center" wrapText="1"/>
      <protection locked="0"/>
    </xf>
    <xf numFmtId="43" fontId="7" fillId="2" borderId="0" xfId="13" applyFont="1" applyFill="1" applyBorder="1" applyAlignment="1" applyProtection="1">
      <alignment horizontal="right" vertical="top"/>
    </xf>
    <xf numFmtId="43" fontId="7" fillId="2" borderId="6" xfId="13" applyFont="1" applyFill="1" applyBorder="1" applyAlignment="1" applyProtection="1">
      <alignment horizontal="right" vertical="top"/>
    </xf>
    <xf numFmtId="43" fontId="5" fillId="0" borderId="0" xfId="13" applyFont="1" applyBorder="1" applyAlignment="1" applyProtection="1">
      <alignment horizontal="right" vertical="top"/>
      <protection locked="0"/>
    </xf>
    <xf numFmtId="43" fontId="5" fillId="0" borderId="6" xfId="13" applyFont="1" applyBorder="1" applyAlignment="1" applyProtection="1">
      <alignment horizontal="right" vertical="top"/>
      <protection locked="0"/>
    </xf>
    <xf numFmtId="43" fontId="8" fillId="2" borderId="0" xfId="13" applyFont="1" applyFill="1" applyBorder="1" applyAlignment="1" applyProtection="1">
      <alignment horizontal="right" vertical="top"/>
    </xf>
    <xf numFmtId="43" fontId="8" fillId="2" borderId="6" xfId="13" applyFont="1" applyFill="1" applyBorder="1" applyAlignment="1" applyProtection="1">
      <alignment horizontal="right" vertical="top"/>
    </xf>
    <xf numFmtId="0" fontId="29" fillId="0" borderId="47" xfId="0" applyFont="1" applyFill="1" applyBorder="1" applyAlignment="1" applyProtection="1">
      <alignment horizontal="justify" vertical="center" wrapText="1"/>
      <protection locked="0"/>
    </xf>
    <xf numFmtId="0" fontId="30" fillId="0" borderId="17" xfId="0" applyFont="1" applyFill="1" applyBorder="1" applyAlignment="1" applyProtection="1">
      <alignment horizontal="justify" vertical="center" wrapText="1"/>
      <protection locked="0"/>
    </xf>
    <xf numFmtId="0" fontId="30" fillId="0" borderId="46" xfId="0" applyFont="1" applyFill="1" applyBorder="1" applyAlignment="1" applyProtection="1">
      <alignment horizontal="justify" vertical="center" wrapText="1"/>
      <protection locked="0"/>
    </xf>
    <xf numFmtId="0" fontId="31" fillId="0" borderId="47" xfId="0" applyFont="1" applyFill="1" applyBorder="1" applyAlignment="1" applyProtection="1">
      <alignment horizontal="justify" vertical="center" wrapText="1"/>
      <protection locked="0"/>
    </xf>
    <xf numFmtId="0" fontId="32" fillId="0" borderId="17" xfId="0" applyFont="1" applyFill="1" applyBorder="1" applyAlignment="1" applyProtection="1">
      <alignment horizontal="justify" vertical="center" wrapText="1"/>
      <protection locked="0"/>
    </xf>
    <xf numFmtId="4" fontId="32" fillId="0" borderId="17" xfId="0" applyNumberFormat="1" applyFont="1" applyFill="1" applyBorder="1" applyAlignment="1" applyProtection="1">
      <alignment horizontal="right" vertical="center" wrapText="1"/>
      <protection locked="0"/>
    </xf>
    <xf numFmtId="0" fontId="32" fillId="0" borderId="46" xfId="0" applyFont="1" applyFill="1" applyBorder="1" applyAlignment="1" applyProtection="1">
      <alignment horizontal="justify" vertical="center" wrapText="1"/>
      <protection locked="0"/>
    </xf>
    <xf numFmtId="4" fontId="31" fillId="0" borderId="17" xfId="0" applyNumberFormat="1" applyFont="1" applyFill="1" applyBorder="1" applyAlignment="1" applyProtection="1">
      <alignment horizontal="right" vertical="center" wrapText="1"/>
    </xf>
    <xf numFmtId="0" fontId="32" fillId="0" borderId="47" xfId="0" applyFont="1" applyFill="1" applyBorder="1" applyAlignment="1" applyProtection="1">
      <alignment horizontal="justify" vertical="center" wrapText="1"/>
      <protection locked="0"/>
    </xf>
    <xf numFmtId="4" fontId="35" fillId="0" borderId="46" xfId="0" applyNumberFormat="1" applyFont="1" applyFill="1" applyBorder="1" applyAlignment="1" applyProtection="1">
      <alignment horizontal="right" vertical="center" wrapText="1"/>
      <protection locked="0"/>
    </xf>
    <xf numFmtId="4" fontId="34" fillId="0" borderId="46" xfId="0" applyNumberFormat="1" applyFont="1" applyFill="1" applyBorder="1" applyAlignment="1" applyProtection="1">
      <alignment horizontal="right" vertical="center" wrapText="1"/>
    </xf>
    <xf numFmtId="4" fontId="35" fillId="0" borderId="46" xfId="0" applyNumberFormat="1" applyFont="1" applyFill="1" applyBorder="1" applyAlignment="1" applyProtection="1">
      <alignment horizontal="right" vertical="center" wrapText="1"/>
    </xf>
    <xf numFmtId="4" fontId="34" fillId="0" borderId="17" xfId="0" applyNumberFormat="1" applyFont="1" applyFill="1" applyBorder="1" applyAlignment="1" applyProtection="1">
      <alignment horizontal="right" vertical="center" wrapText="1"/>
    </xf>
    <xf numFmtId="4" fontId="31" fillId="0" borderId="17" xfId="0" applyNumberFormat="1" applyFont="1" applyFill="1" applyBorder="1" applyAlignment="1" applyProtection="1">
      <alignment horizontal="right" vertical="center" wrapText="1"/>
      <protection locked="0"/>
    </xf>
    <xf numFmtId="4" fontId="34" fillId="0" borderId="46" xfId="0" applyNumberFormat="1" applyFont="1" applyFill="1" applyBorder="1" applyAlignment="1" applyProtection="1">
      <alignment horizontal="right" vertical="center" wrapText="1"/>
      <protection locked="0"/>
    </xf>
    <xf numFmtId="0" fontId="30" fillId="0" borderId="48" xfId="0" applyFont="1" applyFill="1" applyBorder="1" applyAlignment="1" applyProtection="1">
      <alignment horizontal="justify" vertical="center" wrapText="1"/>
      <protection locked="0"/>
    </xf>
    <xf numFmtId="0" fontId="30" fillId="0" borderId="16" xfId="0" applyFont="1" applyFill="1" applyBorder="1" applyAlignment="1" applyProtection="1">
      <alignment horizontal="justify" vertical="center" wrapText="1"/>
      <protection locked="0"/>
    </xf>
    <xf numFmtId="0" fontId="30" fillId="0" borderId="18"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top"/>
      <protection locked="0"/>
    </xf>
    <xf numFmtId="4" fontId="16" fillId="0" borderId="0" xfId="0" applyNumberFormat="1" applyFont="1" applyFill="1" applyBorder="1" applyAlignment="1" applyProtection="1">
      <alignment horizontal="right" vertical="top"/>
    </xf>
    <xf numFmtId="4" fontId="16" fillId="0" borderId="6" xfId="0" applyNumberFormat="1" applyFont="1" applyFill="1" applyBorder="1" applyAlignment="1" applyProtection="1">
      <alignment horizontal="right" vertical="top"/>
    </xf>
    <xf numFmtId="0" fontId="8"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4" fillId="0" borderId="5" xfId="0" applyFont="1" applyFill="1" applyBorder="1" applyAlignment="1" applyProtection="1">
      <alignment horizontal="justify" vertical="top"/>
      <protection locked="0"/>
    </xf>
    <xf numFmtId="4" fontId="24" fillId="0" borderId="0" xfId="0" applyNumberFormat="1" applyFont="1" applyFill="1" applyBorder="1" applyAlignment="1" applyProtection="1">
      <alignment horizontal="right" vertical="top"/>
      <protection locked="0"/>
    </xf>
    <xf numFmtId="4" fontId="24"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9"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4" fillId="0" borderId="7" xfId="0" applyFont="1" applyFill="1" applyBorder="1" applyAlignment="1" applyProtection="1">
      <alignment horizontal="justify" vertical="top"/>
      <protection locked="0"/>
    </xf>
    <xf numFmtId="4" fontId="24" fillId="0" borderId="8" xfId="0" applyNumberFormat="1" applyFont="1" applyFill="1" applyBorder="1" applyAlignment="1" applyProtection="1">
      <alignment horizontal="right" vertical="top"/>
      <protection locked="0"/>
    </xf>
    <xf numFmtId="4" fontId="24" fillId="0" borderId="9" xfId="0" applyNumberFormat="1" applyFont="1" applyFill="1" applyBorder="1" applyAlignment="1" applyProtection="1">
      <alignment horizontal="right" vertical="top"/>
      <protection locked="0"/>
    </xf>
    <xf numFmtId="0" fontId="24"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3" fillId="0" borderId="1" xfId="0" applyFont="1" applyFill="1" applyBorder="1" applyAlignment="1" applyProtection="1">
      <alignment vertical="center"/>
      <protection locked="0"/>
    </xf>
    <xf numFmtId="0" fontId="23" fillId="0" borderId="27" xfId="0" applyFont="1" applyFill="1" applyBorder="1" applyAlignment="1" applyProtection="1">
      <alignment vertical="center"/>
      <protection locked="0"/>
    </xf>
    <xf numFmtId="4" fontId="17" fillId="0" borderId="17" xfId="0" applyNumberFormat="1" applyFont="1" applyFill="1" applyBorder="1" applyAlignment="1" applyProtection="1">
      <alignment horizontal="justify" vertical="center"/>
      <protection locked="0"/>
    </xf>
    <xf numFmtId="4" fontId="17" fillId="0" borderId="46" xfId="0" applyNumberFormat="1" applyFont="1" applyFill="1" applyBorder="1" applyAlignment="1" applyProtection="1">
      <alignment horizontal="justify" vertical="center"/>
      <protection locked="0"/>
    </xf>
    <xf numFmtId="0" fontId="23" fillId="0" borderId="5" xfId="0" applyFont="1" applyFill="1" applyBorder="1" applyAlignment="1" applyProtection="1">
      <alignment vertical="center"/>
      <protection locked="0"/>
    </xf>
    <xf numFmtId="0" fontId="23" fillId="0" borderId="14" xfId="0" applyFont="1" applyFill="1" applyBorder="1" applyAlignment="1" applyProtection="1">
      <alignment vertical="center"/>
      <protection locked="0"/>
    </xf>
    <xf numFmtId="4" fontId="21" fillId="0" borderId="17" xfId="0" applyNumberFormat="1" applyFont="1" applyFill="1" applyBorder="1" applyAlignment="1" applyProtection="1">
      <alignment horizontal="right" vertical="center"/>
    </xf>
    <xf numFmtId="4" fontId="38" fillId="0" borderId="17" xfId="0" applyNumberFormat="1" applyFont="1" applyFill="1" applyBorder="1" applyAlignment="1" applyProtection="1">
      <alignment horizontal="right" vertical="center"/>
    </xf>
    <xf numFmtId="4" fontId="38" fillId="0" borderId="46" xfId="0" applyNumberFormat="1" applyFont="1" applyFill="1" applyBorder="1" applyAlignment="1" applyProtection="1">
      <alignment horizontal="right" vertical="center"/>
    </xf>
    <xf numFmtId="0" fontId="23" fillId="0" borderId="5" xfId="0" applyFont="1" applyFill="1" applyBorder="1" applyAlignment="1" applyProtection="1">
      <alignment horizontal="justify" vertical="center"/>
      <protection locked="0"/>
    </xf>
    <xf numFmtId="0" fontId="37"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46" xfId="0" applyNumberFormat="1" applyFont="1" applyFill="1" applyBorder="1" applyAlignment="1" applyProtection="1">
      <alignment horizontal="right" vertical="center"/>
      <protection locked="0"/>
    </xf>
    <xf numFmtId="0" fontId="17"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46" xfId="0" applyNumberFormat="1" applyFont="1" applyFill="1" applyBorder="1" applyAlignment="1" applyProtection="1">
      <alignment horizontal="right" vertical="center"/>
    </xf>
    <xf numFmtId="0" fontId="17" fillId="0" borderId="7" xfId="0" applyFont="1" applyFill="1" applyBorder="1" applyAlignment="1" applyProtection="1">
      <alignment horizontal="justify" vertical="center"/>
      <protection locked="0"/>
    </xf>
    <xf numFmtId="0" fontId="17" fillId="0" borderId="28"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4" fontId="25"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horizontal="right" vertical="center" wrapText="1"/>
      <protection locked="0"/>
    </xf>
    <xf numFmtId="4" fontId="12" fillId="0" borderId="0" xfId="0" applyNumberFormat="1" applyFont="1" applyBorder="1" applyAlignment="1" applyProtection="1">
      <alignment vertical="center"/>
      <protection locked="0"/>
    </xf>
    <xf numFmtId="3" fontId="12" fillId="0" borderId="0" xfId="0" applyNumberFormat="1" applyFont="1" applyFill="1" applyBorder="1" applyAlignment="1" applyProtection="1">
      <alignment horizontal="right" vertical="center" wrapText="1"/>
    </xf>
    <xf numFmtId="3" fontId="39"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49" xfId="0" applyNumberFormat="1" applyFont="1" applyBorder="1" applyAlignment="1" applyProtection="1">
      <alignment horizontal="left" vertical="top"/>
      <protection locked="0"/>
    </xf>
    <xf numFmtId="4" fontId="32" fillId="0" borderId="46" xfId="0" applyNumberFormat="1" applyFont="1" applyFill="1" applyBorder="1" applyAlignment="1" applyProtection="1">
      <alignment horizontal="right" vertical="center" wrapText="1"/>
      <protection locked="0"/>
    </xf>
    <xf numFmtId="4" fontId="31" fillId="0" borderId="46" xfId="0" applyNumberFormat="1" applyFont="1" applyFill="1" applyBorder="1" applyAlignment="1" applyProtection="1">
      <alignment horizontal="right" vertical="center" wrapText="1"/>
    </xf>
    <xf numFmtId="0" fontId="63" fillId="0" borderId="0" xfId="0" applyFont="1" applyFill="1" applyBorder="1" applyAlignment="1" applyProtection="1">
      <alignment horizontal="left"/>
    </xf>
    <xf numFmtId="0" fontId="13" fillId="0" borderId="0" xfId="0" applyFont="1" applyFill="1" applyAlignment="1" applyProtection="1">
      <alignment vertical="center"/>
      <protection locked="0"/>
    </xf>
    <xf numFmtId="4" fontId="1" fillId="0" borderId="0" xfId="0" applyNumberFormat="1" applyFont="1" applyProtection="1">
      <protection locked="0"/>
    </xf>
    <xf numFmtId="4" fontId="41" fillId="0" borderId="23" xfId="0" applyNumberFormat="1" applyFont="1" applyBorder="1" applyAlignment="1" applyProtection="1">
      <alignment horizontal="right" vertical="center"/>
    </xf>
    <xf numFmtId="0" fontId="41" fillId="0" borderId="19" xfId="0" applyFont="1" applyFill="1" applyBorder="1" applyAlignment="1">
      <alignment horizontal="center" vertical="center"/>
    </xf>
    <xf numFmtId="0" fontId="41" fillId="0" borderId="32" xfId="0" applyFont="1" applyFill="1" applyBorder="1" applyAlignment="1">
      <alignment horizontal="center" vertical="center"/>
    </xf>
    <xf numFmtId="0" fontId="41" fillId="0" borderId="34" xfId="0" applyFont="1" applyFill="1" applyBorder="1" applyAlignment="1">
      <alignment horizontal="center" vertical="center"/>
    </xf>
    <xf numFmtId="0" fontId="41" fillId="0" borderId="36" xfId="0" applyFont="1" applyFill="1" applyBorder="1" applyAlignment="1">
      <alignment horizontal="center" vertical="center"/>
    </xf>
    <xf numFmtId="0" fontId="41" fillId="0" borderId="33" xfId="0" applyFont="1" applyFill="1" applyBorder="1" applyAlignment="1">
      <alignment horizontal="right" vertical="center"/>
    </xf>
    <xf numFmtId="0" fontId="27" fillId="0" borderId="4" xfId="0" applyFont="1" applyBorder="1" applyAlignment="1">
      <alignment horizontal="justify" vertical="center" wrapText="1"/>
    </xf>
    <xf numFmtId="0" fontId="13" fillId="0" borderId="4" xfId="0" applyFont="1" applyBorder="1" applyAlignment="1">
      <alignment horizontal="left" vertical="center" wrapText="1"/>
    </xf>
    <xf numFmtId="0" fontId="26" fillId="0" borderId="6" xfId="0" applyFont="1" applyBorder="1" applyAlignment="1">
      <alignment horizontal="justify" vertical="center" wrapText="1"/>
    </xf>
    <xf numFmtId="0" fontId="71" fillId="6" borderId="6" xfId="0" applyFont="1" applyFill="1" applyBorder="1" applyAlignment="1">
      <alignment horizontal="center" vertical="center" wrapText="1"/>
    </xf>
    <xf numFmtId="0" fontId="71" fillId="6" borderId="9" xfId="0" applyFont="1" applyFill="1" applyBorder="1" applyAlignment="1">
      <alignment horizontal="center" vertical="center" wrapText="1"/>
    </xf>
    <xf numFmtId="0" fontId="72" fillId="0" borderId="6" xfId="0" applyFont="1" applyBorder="1" applyAlignment="1">
      <alignment horizontal="justify" vertical="center" wrapText="1"/>
    </xf>
    <xf numFmtId="0" fontId="67" fillId="4" borderId="6"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0" borderId="4" xfId="0" applyFont="1" applyBorder="1" applyAlignment="1">
      <alignment horizontal="left" vertical="center" wrapText="1"/>
    </xf>
    <xf numFmtId="0" fontId="13" fillId="0" borderId="4" xfId="0" applyFont="1" applyBorder="1" applyAlignment="1">
      <alignment horizontal="left" vertical="center" wrapText="1" indent="1"/>
    </xf>
    <xf numFmtId="0" fontId="13" fillId="0" borderId="13" xfId="0" applyFont="1" applyBorder="1" applyAlignment="1">
      <alignment horizontal="justify" vertical="center" wrapText="1"/>
    </xf>
    <xf numFmtId="0" fontId="27" fillId="0" borderId="9" xfId="0" applyFont="1" applyBorder="1" applyAlignment="1">
      <alignment horizontal="justify" vertical="center" wrapText="1"/>
    </xf>
    <xf numFmtId="0" fontId="71" fillId="6" borderId="3" xfId="0" applyFont="1" applyFill="1" applyBorder="1" applyAlignment="1">
      <alignment horizontal="center" vertical="center" wrapText="1"/>
    </xf>
    <xf numFmtId="0" fontId="73" fillId="6" borderId="9" xfId="0" applyFont="1" applyFill="1" applyBorder="1" applyAlignment="1">
      <alignment vertical="center" wrapText="1"/>
    </xf>
    <xf numFmtId="0" fontId="71" fillId="0" borderId="4" xfId="0" applyFont="1" applyBorder="1" applyAlignment="1">
      <alignment horizontal="left" vertical="center" wrapText="1"/>
    </xf>
    <xf numFmtId="0" fontId="72" fillId="0" borderId="4" xfId="0" applyFont="1" applyBorder="1" applyAlignment="1">
      <alignment horizontal="justify" vertical="center" wrapText="1"/>
    </xf>
    <xf numFmtId="0" fontId="72" fillId="0" borderId="13" xfId="0" applyFont="1" applyBorder="1" applyAlignment="1">
      <alignment horizontal="justify" vertical="center" wrapText="1"/>
    </xf>
    <xf numFmtId="0" fontId="65" fillId="0" borderId="0" xfId="0" applyFont="1" applyAlignment="1">
      <alignment horizontal="center" vertical="center"/>
    </xf>
    <xf numFmtId="0" fontId="65" fillId="0" borderId="9" xfId="0" applyFont="1" applyBorder="1" applyAlignment="1">
      <alignment vertical="center" wrapText="1"/>
    </xf>
    <xf numFmtId="0" fontId="65" fillId="0" borderId="7" xfId="0" applyFont="1" applyBorder="1" applyAlignment="1">
      <alignment vertical="center" wrapText="1"/>
    </xf>
    <xf numFmtId="0" fontId="67" fillId="6" borderId="9" xfId="0" applyFont="1" applyFill="1" applyBorder="1" applyAlignment="1">
      <alignment horizontal="center" vertical="center" wrapText="1"/>
    </xf>
    <xf numFmtId="0" fontId="68" fillId="0" borderId="6" xfId="0" applyFont="1" applyBorder="1" applyAlignment="1">
      <alignment vertical="center" wrapText="1"/>
    </xf>
    <xf numFmtId="0" fontId="67" fillId="0" borderId="6" xfId="0" applyFont="1" applyBorder="1" applyAlignment="1">
      <alignment vertical="center" wrapText="1"/>
    </xf>
    <xf numFmtId="0" fontId="68" fillId="0" borderId="6" xfId="0" applyFont="1" applyBorder="1" applyAlignment="1">
      <alignment horizontal="left" vertical="center" wrapText="1" indent="5"/>
    </xf>
    <xf numFmtId="0" fontId="68" fillId="0" borderId="7" xfId="0" applyFont="1" applyBorder="1" applyAlignment="1">
      <alignment vertical="center" wrapText="1"/>
    </xf>
    <xf numFmtId="0" fontId="67" fillId="0" borderId="9" xfId="0" applyFont="1" applyBorder="1" applyAlignment="1">
      <alignment vertical="center" wrapText="1"/>
    </xf>
    <xf numFmtId="0" fontId="68" fillId="0" borderId="9" xfId="0" applyFont="1" applyBorder="1" applyAlignment="1">
      <alignment vertical="center" wrapText="1"/>
    </xf>
    <xf numFmtId="0" fontId="74" fillId="0" borderId="7" xfId="0" applyFont="1" applyBorder="1" applyAlignment="1">
      <alignment horizontal="left" vertical="center"/>
    </xf>
    <xf numFmtId="0" fontId="68" fillId="0" borderId="7" xfId="0" applyFont="1" applyBorder="1" applyAlignment="1">
      <alignment horizontal="left" vertical="center"/>
    </xf>
    <xf numFmtId="0" fontId="67" fillId="6" borderId="3" xfId="0" applyFont="1" applyFill="1" applyBorder="1" applyAlignment="1">
      <alignment horizontal="center" vertical="center"/>
    </xf>
    <xf numFmtId="0" fontId="67" fillId="6" borderId="9" xfId="0" applyFont="1" applyFill="1" applyBorder="1" applyAlignment="1">
      <alignment horizontal="center" vertical="center"/>
    </xf>
    <xf numFmtId="0" fontId="68" fillId="0" borderId="6" xfId="0" applyFont="1" applyBorder="1" applyAlignment="1">
      <alignment vertical="center"/>
    </xf>
    <xf numFmtId="0" fontId="68" fillId="0" borderId="6" xfId="0" applyFont="1" applyBorder="1" applyAlignment="1">
      <alignment horizontal="left" vertical="center" indent="5"/>
    </xf>
    <xf numFmtId="0" fontId="68" fillId="0" borderId="6" xfId="0" applyFont="1" applyBorder="1" applyAlignment="1">
      <alignment horizontal="justify" vertical="center"/>
    </xf>
    <xf numFmtId="0" fontId="67" fillId="0" borderId="6" xfId="0" applyFont="1" applyBorder="1" applyAlignment="1">
      <alignment horizontal="left" vertical="center" indent="1"/>
    </xf>
    <xf numFmtId="0" fontId="68" fillId="0" borderId="9" xfId="0" applyFont="1" applyBorder="1" applyAlignment="1">
      <alignment horizontal="left" vertical="center" indent="1"/>
    </xf>
    <xf numFmtId="0" fontId="67" fillId="0" borderId="0" xfId="0" applyFont="1" applyBorder="1" applyAlignment="1">
      <alignment vertical="center"/>
    </xf>
    <xf numFmtId="0" fontId="67" fillId="0" borderId="5" xfId="0" applyFont="1" applyBorder="1" applyAlignment="1">
      <alignment horizontal="left" vertical="center" wrapText="1"/>
    </xf>
    <xf numFmtId="0" fontId="68" fillId="0" borderId="5" xfId="0" applyFont="1" applyBorder="1" applyAlignment="1">
      <alignment horizontal="left" vertical="center" wrapText="1"/>
    </xf>
    <xf numFmtId="0" fontId="68" fillId="0" borderId="5" xfId="0" applyFont="1" applyBorder="1" applyAlignment="1">
      <alignment horizontal="left" vertical="center" wrapText="1" indent="1"/>
    </xf>
    <xf numFmtId="0" fontId="67" fillId="0" borderId="7" xfId="0" applyFont="1" applyBorder="1" applyAlignment="1">
      <alignment horizontal="left" vertical="center" wrapText="1"/>
    </xf>
    <xf numFmtId="0" fontId="67" fillId="0" borderId="13" xfId="0" applyFont="1" applyBorder="1" applyAlignment="1">
      <alignment horizontal="center" vertical="center" wrapText="1"/>
    </xf>
    <xf numFmtId="0" fontId="67" fillId="0" borderId="9" xfId="0" applyFont="1" applyBorder="1" applyAlignment="1">
      <alignment horizontal="center" vertical="center" wrapText="1"/>
    </xf>
    <xf numFmtId="0" fontId="11" fillId="0" borderId="0" xfId="0" applyFont="1" applyFill="1" applyBorder="1" applyAlignment="1" applyProtection="1">
      <protection locked="0"/>
    </xf>
    <xf numFmtId="0" fontId="11" fillId="0" borderId="0" xfId="0" applyFont="1" applyFill="1" applyBorder="1" applyAlignment="1" applyProtection="1">
      <alignment vertical="top"/>
      <protection locked="0"/>
    </xf>
    <xf numFmtId="0" fontId="46" fillId="4" borderId="0" xfId="0" applyFont="1" applyFill="1" applyBorder="1" applyAlignment="1">
      <alignment vertical="center" wrapText="1"/>
    </xf>
    <xf numFmtId="0" fontId="66" fillId="4" borderId="0" xfId="0" applyFont="1" applyFill="1" applyBorder="1" applyAlignment="1">
      <alignment vertical="center" wrapText="1"/>
    </xf>
    <xf numFmtId="0" fontId="47" fillId="0" borderId="0" xfId="0" applyFont="1"/>
    <xf numFmtId="0" fontId="68" fillId="0" borderId="6" xfId="0" applyFont="1" applyBorder="1" applyAlignment="1">
      <alignment horizontal="right" vertical="center"/>
    </xf>
    <xf numFmtId="0" fontId="68" fillId="0" borderId="13" xfId="0" applyFont="1" applyBorder="1" applyAlignment="1">
      <alignment horizontal="right" vertical="center"/>
    </xf>
    <xf numFmtId="0" fontId="68" fillId="0" borderId="9" xfId="0" applyFont="1" applyBorder="1" applyAlignment="1">
      <alignment horizontal="right" vertical="center"/>
    </xf>
    <xf numFmtId="43" fontId="67" fillId="0" borderId="6" xfId="0" applyNumberFormat="1" applyFont="1" applyBorder="1" applyAlignment="1">
      <alignment horizontal="right" vertical="center" wrapText="1"/>
    </xf>
    <xf numFmtId="43" fontId="68" fillId="0" borderId="6" xfId="0" applyNumberFormat="1" applyFont="1" applyBorder="1" applyAlignment="1">
      <alignment horizontal="right" vertical="center" wrapText="1"/>
    </xf>
    <xf numFmtId="43" fontId="68" fillId="0" borderId="9" xfId="0" applyNumberFormat="1" applyFont="1" applyBorder="1" applyAlignment="1">
      <alignment horizontal="right" vertical="center" wrapText="1"/>
    </xf>
    <xf numFmtId="0" fontId="69" fillId="0" borderId="9" xfId="0" applyFont="1" applyBorder="1" applyAlignment="1">
      <alignment horizontal="right" vertical="center" wrapText="1"/>
    </xf>
    <xf numFmtId="43" fontId="27" fillId="0" borderId="6" xfId="0" applyNumberFormat="1" applyFont="1" applyBorder="1" applyAlignment="1">
      <alignment horizontal="right" vertical="center" wrapText="1"/>
    </xf>
    <xf numFmtId="0" fontId="67" fillId="0" borderId="51" xfId="0" applyFont="1" applyBorder="1" applyAlignment="1">
      <alignment vertical="center"/>
    </xf>
    <xf numFmtId="43" fontId="68" fillId="0" borderId="6" xfId="0" applyNumberFormat="1" applyFont="1" applyBorder="1" applyAlignment="1">
      <alignment horizontal="right" vertical="center"/>
    </xf>
    <xf numFmtId="43" fontId="68" fillId="0" borderId="9" xfId="0" applyNumberFormat="1" applyFont="1" applyBorder="1" applyAlignment="1">
      <alignment horizontal="right" vertical="center"/>
    </xf>
    <xf numFmtId="43" fontId="67" fillId="0" borderId="6" xfId="0" applyNumberFormat="1" applyFont="1" applyBorder="1" applyAlignment="1">
      <alignment horizontal="right" vertical="center"/>
    </xf>
    <xf numFmtId="0" fontId="68" fillId="0" borderId="6" xfId="0" applyFont="1" applyBorder="1" applyAlignment="1" applyProtection="1">
      <alignment horizontal="right" vertical="center"/>
    </xf>
    <xf numFmtId="43" fontId="68" fillId="0" borderId="6" xfId="0" applyNumberFormat="1" applyFont="1" applyBorder="1" applyAlignment="1" applyProtection="1">
      <alignment horizontal="right" vertical="center"/>
    </xf>
    <xf numFmtId="43" fontId="68" fillId="0" borderId="6" xfId="0" applyNumberFormat="1" applyFont="1" applyBorder="1" applyAlignment="1" applyProtection="1">
      <alignment horizontal="right" vertical="center"/>
      <protection locked="0"/>
    </xf>
    <xf numFmtId="43" fontId="68" fillId="0" borderId="9" xfId="0" applyNumberFormat="1" applyFont="1" applyBorder="1" applyAlignment="1" applyProtection="1">
      <alignment horizontal="right" vertical="center"/>
      <protection locked="0"/>
    </xf>
    <xf numFmtId="43" fontId="68" fillId="6" borderId="6" xfId="0" applyNumberFormat="1" applyFont="1" applyFill="1" applyBorder="1" applyAlignment="1" applyProtection="1">
      <alignment horizontal="right" vertical="center"/>
    </xf>
    <xf numFmtId="43" fontId="68" fillId="0" borderId="6" xfId="0" applyNumberFormat="1" applyFont="1" applyFill="1" applyBorder="1" applyAlignment="1" applyProtection="1">
      <alignment horizontal="right" vertical="center"/>
    </xf>
    <xf numFmtId="43" fontId="27" fillId="0" borderId="6" xfId="0" applyNumberFormat="1" applyFont="1" applyBorder="1" applyAlignment="1" applyProtection="1">
      <alignment horizontal="right" vertical="center" wrapText="1"/>
      <protection locked="0"/>
    </xf>
    <xf numFmtId="43" fontId="27" fillId="0" borderId="6" xfId="0" applyNumberFormat="1" applyFont="1" applyBorder="1" applyAlignment="1" applyProtection="1">
      <alignment horizontal="right" vertical="center" wrapText="1"/>
    </xf>
    <xf numFmtId="0" fontId="0" fillId="0" borderId="0" xfId="0" applyFill="1"/>
    <xf numFmtId="0" fontId="78" fillId="0" borderId="8" xfId="0" applyFont="1" applyBorder="1" applyAlignment="1">
      <alignment horizontal="left" vertical="center"/>
    </xf>
    <xf numFmtId="0" fontId="78" fillId="0" borderId="13" xfId="0" applyFont="1" applyBorder="1" applyAlignment="1">
      <alignment horizontal="center" vertical="center"/>
    </xf>
    <xf numFmtId="0" fontId="78" fillId="0" borderId="9" xfId="0" applyFont="1" applyBorder="1" applyAlignment="1">
      <alignment horizontal="center" vertical="center"/>
    </xf>
    <xf numFmtId="0" fontId="25" fillId="0" borderId="13" xfId="0" applyFont="1" applyBorder="1" applyAlignment="1">
      <alignment horizontal="justify" vertical="center" wrapText="1"/>
    </xf>
    <xf numFmtId="0" fontId="67" fillId="6" borderId="3" xfId="0" applyFont="1" applyFill="1" applyBorder="1" applyAlignment="1">
      <alignment horizontal="center" vertical="center" wrapText="1"/>
    </xf>
    <xf numFmtId="43" fontId="25" fillId="0" borderId="9" xfId="0" applyNumberFormat="1" applyFont="1" applyBorder="1" applyAlignment="1">
      <alignment horizontal="right" vertical="center" wrapText="1"/>
    </xf>
    <xf numFmtId="43" fontId="68" fillId="0" borderId="6" xfId="0" applyNumberFormat="1" applyFont="1" applyBorder="1" applyAlignment="1" applyProtection="1">
      <alignment horizontal="right" vertical="center" wrapText="1"/>
      <protection locked="0"/>
    </xf>
    <xf numFmtId="0" fontId="27" fillId="0" borderId="13" xfId="0" applyFont="1" applyBorder="1" applyAlignment="1">
      <alignment horizontal="left" vertical="center" wrapText="1"/>
    </xf>
    <xf numFmtId="0" fontId="27" fillId="0" borderId="8" xfId="0" applyFont="1" applyBorder="1" applyAlignment="1">
      <alignment horizontal="justify" vertical="center" wrapText="1"/>
    </xf>
    <xf numFmtId="0" fontId="27" fillId="0" borderId="9" xfId="0" applyFont="1" applyBorder="1" applyAlignment="1">
      <alignment horizontal="left" vertical="center" wrapText="1"/>
    </xf>
    <xf numFmtId="43" fontId="13" fillId="0" borderId="9" xfId="0" applyNumberFormat="1" applyFont="1" applyBorder="1" applyAlignment="1">
      <alignment horizontal="justify" vertical="center" wrapText="1"/>
    </xf>
    <xf numFmtId="0" fontId="13" fillId="0" borderId="8" xfId="0" applyFont="1" applyBorder="1" applyAlignment="1">
      <alignment horizontal="justify" vertical="center" wrapText="1"/>
    </xf>
    <xf numFmtId="0" fontId="13" fillId="0" borderId="9" xfId="0" applyFont="1" applyBorder="1" applyAlignment="1">
      <alignment horizontal="justify" vertical="center" wrapText="1"/>
    </xf>
    <xf numFmtId="0" fontId="27" fillId="0" borderId="6" xfId="0" applyFont="1" applyBorder="1" applyAlignment="1">
      <alignment horizontal="justify" vertical="center" wrapText="1"/>
    </xf>
    <xf numFmtId="0" fontId="13" fillId="0" borderId="0" xfId="0" applyFont="1" applyAlignment="1">
      <alignment horizontal="justify" vertical="center" wrapText="1"/>
    </xf>
    <xf numFmtId="0" fontId="13" fillId="0" borderId="6" xfId="0" applyFont="1" applyBorder="1" applyAlignment="1">
      <alignment horizontal="justify" vertical="center" wrapText="1"/>
    </xf>
    <xf numFmtId="0" fontId="27" fillId="0" borderId="0" xfId="0" applyFont="1" applyAlignment="1">
      <alignment horizontal="justify" vertical="center" wrapText="1"/>
    </xf>
    <xf numFmtId="0" fontId="13" fillId="0" borderId="4" xfId="0" applyFont="1" applyBorder="1" applyAlignment="1">
      <alignment horizontal="left" vertical="top" wrapText="1"/>
    </xf>
    <xf numFmtId="43" fontId="13" fillId="0" borderId="6" xfId="0" applyNumberFormat="1" applyFont="1" applyBorder="1" applyAlignment="1" applyProtection="1">
      <alignment horizontal="right" vertical="center" wrapText="1"/>
      <protection locked="0"/>
    </xf>
    <xf numFmtId="0" fontId="13" fillId="0" borderId="4" xfId="0" applyFont="1" applyBorder="1" applyAlignment="1">
      <alignment horizontal="justify" vertical="center" wrapText="1"/>
    </xf>
    <xf numFmtId="43" fontId="13" fillId="0" borderId="6" xfId="0" applyNumberFormat="1" applyFont="1" applyBorder="1" applyAlignment="1">
      <alignment horizontal="right" vertical="center" wrapText="1"/>
    </xf>
    <xf numFmtId="43" fontId="13" fillId="0" borderId="9" xfId="0" applyNumberFormat="1" applyFont="1" applyBorder="1" applyAlignment="1" applyProtection="1">
      <alignment horizontal="right" vertical="center" wrapText="1"/>
      <protection locked="0"/>
    </xf>
    <xf numFmtId="0" fontId="13" fillId="0" borderId="0" xfId="0" applyFont="1" applyBorder="1" applyAlignment="1">
      <alignment horizontal="justify" vertical="center" wrapText="1"/>
    </xf>
    <xf numFmtId="43" fontId="13" fillId="0" borderId="6" xfId="0" applyNumberFormat="1" applyFont="1" applyBorder="1" applyAlignment="1">
      <alignment horizontal="justify" vertical="center" wrapText="1"/>
    </xf>
    <xf numFmtId="43" fontId="27" fillId="0" borderId="9" xfId="0" applyNumberFormat="1" applyFont="1" applyBorder="1" applyAlignment="1">
      <alignment horizontal="right" vertical="center" wrapText="1"/>
    </xf>
    <xf numFmtId="43" fontId="67" fillId="6" borderId="6" xfId="0" applyNumberFormat="1" applyFont="1" applyFill="1" applyBorder="1" applyAlignment="1">
      <alignment horizontal="right" vertical="center" wrapText="1"/>
    </xf>
    <xf numFmtId="43" fontId="77" fillId="0" borderId="4" xfId="0" applyNumberFormat="1" applyFont="1" applyBorder="1" applyAlignment="1">
      <alignment vertical="center"/>
    </xf>
    <xf numFmtId="43" fontId="78" fillId="0" borderId="4" xfId="0" applyNumberFormat="1" applyFont="1" applyBorder="1" applyAlignment="1">
      <alignment vertical="center"/>
    </xf>
    <xf numFmtId="43" fontId="78" fillId="0" borderId="6" xfId="0" applyNumberFormat="1" applyFont="1" applyBorder="1" applyAlignment="1">
      <alignment vertical="center"/>
    </xf>
    <xf numFmtId="43" fontId="78" fillId="0" borderId="4" xfId="0" applyNumberFormat="1" applyFont="1" applyBorder="1" applyAlignment="1" applyProtection="1">
      <alignment vertical="center"/>
      <protection locked="0"/>
    </xf>
    <xf numFmtId="43" fontId="78" fillId="0" borderId="4" xfId="0" applyNumberFormat="1" applyFont="1" applyBorder="1" applyAlignment="1" applyProtection="1">
      <alignment vertical="center"/>
    </xf>
    <xf numFmtId="43" fontId="77" fillId="0" borderId="4" xfId="0" applyNumberFormat="1" applyFont="1" applyBorder="1" applyAlignment="1" applyProtection="1">
      <alignment vertical="center"/>
    </xf>
    <xf numFmtId="0" fontId="77" fillId="0" borderId="9" xfId="0" applyFont="1" applyFill="1" applyBorder="1" applyAlignment="1">
      <alignment horizontal="center" vertical="center" wrapText="1"/>
    </xf>
    <xf numFmtId="43" fontId="67" fillId="0" borderId="4" xfId="0" applyNumberFormat="1" applyFont="1" applyBorder="1" applyAlignment="1">
      <alignment horizontal="right" wrapText="1"/>
    </xf>
    <xf numFmtId="43" fontId="67" fillId="0" borderId="6" xfId="0" applyNumberFormat="1" applyFont="1" applyBorder="1" applyAlignment="1">
      <alignment horizontal="right" wrapText="1"/>
    </xf>
    <xf numFmtId="43" fontId="67" fillId="0" borderId="4" xfId="0" applyNumberFormat="1" applyFont="1" applyBorder="1" applyAlignment="1" applyProtection="1">
      <alignment horizontal="right" wrapText="1"/>
      <protection locked="0"/>
    </xf>
    <xf numFmtId="43" fontId="67" fillId="0" borderId="6" xfId="0" applyNumberFormat="1" applyFont="1" applyBorder="1" applyAlignment="1" applyProtection="1">
      <alignment horizontal="right" wrapText="1"/>
      <protection locked="0"/>
    </xf>
    <xf numFmtId="0" fontId="27" fillId="0" borderId="50" xfId="0" applyFont="1" applyBorder="1" applyAlignment="1">
      <alignment horizontal="justify" vertical="center" wrapText="1"/>
    </xf>
    <xf numFmtId="43" fontId="27" fillId="0" borderId="3" xfId="0" applyNumberFormat="1" applyFont="1" applyBorder="1" applyAlignment="1">
      <alignment horizontal="right" vertical="center" wrapText="1"/>
    </xf>
    <xf numFmtId="0" fontId="13" fillId="0" borderId="2" xfId="0" applyFont="1" applyBorder="1" applyAlignment="1">
      <alignment horizontal="justify" vertical="center" wrapText="1"/>
    </xf>
    <xf numFmtId="0" fontId="27" fillId="0" borderId="3" xfId="0" applyFont="1" applyBorder="1" applyAlignment="1">
      <alignment horizontal="justify" vertical="center" wrapText="1"/>
    </xf>
    <xf numFmtId="0" fontId="68" fillId="0" borderId="8" xfId="0" applyFont="1" applyBorder="1" applyAlignment="1">
      <alignment horizontal="left" vertical="center"/>
    </xf>
    <xf numFmtId="0" fontId="68" fillId="0" borderId="52" xfId="0" applyFont="1" applyBorder="1" applyAlignment="1">
      <alignment horizontal="left" vertical="justify"/>
    </xf>
    <xf numFmtId="43" fontId="78" fillId="0" borderId="13" xfId="0" applyNumberFormat="1" applyFont="1" applyBorder="1" applyAlignment="1" applyProtection="1">
      <alignment vertical="center"/>
      <protection locked="0"/>
    </xf>
    <xf numFmtId="43" fontId="78" fillId="0" borderId="13" xfId="0" applyNumberFormat="1" applyFont="1" applyBorder="1" applyAlignment="1" applyProtection="1">
      <alignment vertical="center"/>
    </xf>
    <xf numFmtId="43" fontId="78" fillId="0" borderId="9" xfId="0" applyNumberFormat="1" applyFont="1" applyBorder="1" applyAlignment="1">
      <alignment vertical="center"/>
    </xf>
    <xf numFmtId="0" fontId="13" fillId="0" borderId="6" xfId="0" applyFont="1" applyBorder="1" applyAlignment="1">
      <alignment horizontal="center" vertical="center" wrapText="1"/>
    </xf>
    <xf numFmtId="0" fontId="27" fillId="0" borderId="0" xfId="0" applyFont="1" applyFill="1" applyAlignment="1" applyProtection="1">
      <alignment vertical="center"/>
    </xf>
    <xf numFmtId="0" fontId="62" fillId="0" borderId="0" xfId="0" applyFont="1" applyFill="1"/>
    <xf numFmtId="43" fontId="13" fillId="0" borderId="6" xfId="0" applyNumberFormat="1" applyFont="1" applyBorder="1" applyAlignment="1">
      <alignmen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43" fontId="13" fillId="0" borderId="6" xfId="0" applyNumberFormat="1" applyFont="1" applyBorder="1" applyAlignment="1" applyProtection="1">
      <alignment vertical="center"/>
      <protection locked="0"/>
    </xf>
    <xf numFmtId="0" fontId="27" fillId="0" borderId="5" xfId="0" applyFont="1" applyBorder="1" applyAlignment="1">
      <alignment horizontal="justify" vertical="center"/>
    </xf>
    <xf numFmtId="0" fontId="27" fillId="0" borderId="6" xfId="0" applyFont="1" applyBorder="1" applyAlignment="1">
      <alignment horizontal="justify" vertical="center"/>
    </xf>
    <xf numFmtId="43" fontId="27" fillId="0" borderId="6" xfId="0" applyNumberFormat="1" applyFont="1" applyBorder="1" applyAlignment="1" applyProtection="1">
      <alignment vertical="center"/>
    </xf>
    <xf numFmtId="43" fontId="13" fillId="0" borderId="6" xfId="0" applyNumberFormat="1" applyFont="1" applyBorder="1" applyAlignment="1" applyProtection="1">
      <alignment vertical="center"/>
    </xf>
    <xf numFmtId="43" fontId="27" fillId="0" borderId="6" xfId="0" applyNumberFormat="1" applyFont="1" applyBorder="1" applyAlignment="1" applyProtection="1">
      <alignment vertical="center"/>
      <protection locked="0"/>
    </xf>
    <xf numFmtId="0" fontId="13" fillId="0" borderId="7" xfId="0" applyFont="1" applyBorder="1" applyAlignment="1">
      <alignment horizontal="left" vertical="center"/>
    </xf>
    <xf numFmtId="0" fontId="13" fillId="0" borderId="9" xfId="0" applyFont="1" applyBorder="1" applyAlignment="1">
      <alignment horizontal="left" vertical="center"/>
    </xf>
    <xf numFmtId="43" fontId="13" fillId="0" borderId="9" xfId="0" applyNumberFormat="1" applyFont="1" applyBorder="1" applyAlignment="1" applyProtection="1">
      <alignment vertical="center"/>
      <protection locked="0"/>
    </xf>
    <xf numFmtId="43" fontId="13" fillId="0" borderId="9" xfId="0" applyNumberFormat="1" applyFont="1" applyBorder="1" applyAlignment="1">
      <alignment vertical="center"/>
    </xf>
    <xf numFmtId="0" fontId="13" fillId="0" borderId="0" xfId="0" applyFont="1" applyBorder="1" applyAlignment="1">
      <alignment horizontal="left" vertical="center"/>
    </xf>
    <xf numFmtId="43" fontId="13" fillId="0" borderId="0" xfId="0" applyNumberFormat="1" applyFont="1" applyBorder="1" applyAlignment="1" applyProtection="1">
      <alignment vertical="center"/>
      <protection locked="0"/>
    </xf>
    <xf numFmtId="43" fontId="13" fillId="0" borderId="0" xfId="0" applyNumberFormat="1" applyFont="1" applyBorder="1" applyAlignment="1">
      <alignment vertical="center"/>
    </xf>
    <xf numFmtId="0" fontId="78" fillId="0" borderId="7" xfId="0" applyFont="1" applyBorder="1" applyAlignment="1">
      <alignment horizontal="left" vertical="center"/>
    </xf>
    <xf numFmtId="0" fontId="78" fillId="0" borderId="0" xfId="0" applyFont="1" applyBorder="1" applyAlignment="1">
      <alignment horizontal="left" vertical="center"/>
    </xf>
    <xf numFmtId="41" fontId="68" fillId="0" borderId="6" xfId="0" applyNumberFormat="1" applyFont="1" applyBorder="1" applyAlignment="1" applyProtection="1">
      <alignment vertical="center" wrapText="1"/>
      <protection locked="0"/>
    </xf>
    <xf numFmtId="0" fontId="48" fillId="0" borderId="0" xfId="0" applyFont="1" applyFill="1" applyAlignment="1" applyProtection="1">
      <alignment wrapText="1"/>
    </xf>
    <xf numFmtId="43" fontId="68" fillId="0" borderId="9" xfId="0" applyNumberFormat="1" applyFont="1" applyBorder="1" applyAlignment="1" applyProtection="1">
      <alignment horizontal="right" vertical="center"/>
    </xf>
    <xf numFmtId="43" fontId="67" fillId="0" borderId="6" xfId="0" applyNumberFormat="1" applyFont="1" applyBorder="1" applyAlignment="1" applyProtection="1">
      <alignment horizontal="right" vertical="center"/>
    </xf>
    <xf numFmtId="43" fontId="67" fillId="0" borderId="6" xfId="0" applyNumberFormat="1" applyFont="1" applyFill="1" applyBorder="1" applyAlignment="1">
      <alignment horizontal="right" vertical="center" wrapText="1"/>
    </xf>
    <xf numFmtId="43" fontId="27" fillId="0" borderId="9" xfId="0" applyNumberFormat="1" applyFont="1" applyFill="1" applyBorder="1" applyAlignment="1">
      <alignment horizontal="right" vertical="center" wrapText="1"/>
    </xf>
    <xf numFmtId="43" fontId="13" fillId="0" borderId="9" xfId="0" applyNumberFormat="1" applyFont="1" applyBorder="1" applyAlignment="1" applyProtection="1">
      <alignment vertical="center"/>
    </xf>
    <xf numFmtId="41" fontId="68" fillId="0" borderId="6" xfId="0" applyNumberFormat="1" applyFont="1" applyBorder="1" applyAlignment="1">
      <alignment vertical="center" wrapText="1"/>
    </xf>
    <xf numFmtId="41" fontId="68" fillId="0" borderId="6" xfId="0" applyNumberFormat="1" applyFont="1" applyBorder="1" applyAlignment="1">
      <alignment horizontal="right" vertical="center"/>
    </xf>
    <xf numFmtId="41" fontId="68" fillId="6" borderId="6" xfId="0" applyNumberFormat="1" applyFont="1" applyFill="1" applyBorder="1" applyAlignment="1">
      <alignment horizontal="right" vertical="center" wrapText="1"/>
    </xf>
    <xf numFmtId="41" fontId="67" fillId="0" borderId="6" xfId="0" applyNumberFormat="1" applyFont="1" applyBorder="1" applyAlignment="1">
      <alignment horizontal="right" vertical="center" wrapText="1"/>
    </xf>
    <xf numFmtId="41" fontId="67" fillId="0" borderId="6" xfId="0" applyNumberFormat="1" applyFont="1" applyBorder="1" applyAlignment="1">
      <alignment horizontal="right" vertical="center"/>
    </xf>
    <xf numFmtId="41" fontId="67" fillId="0" borderId="6" xfId="0" applyNumberFormat="1" applyFont="1" applyBorder="1" applyAlignment="1">
      <alignment vertical="center" wrapText="1"/>
    </xf>
    <xf numFmtId="41" fontId="67" fillId="0" borderId="6" xfId="0" applyNumberFormat="1" applyFont="1" applyBorder="1" applyAlignment="1" applyProtection="1">
      <alignment vertical="center" wrapText="1"/>
      <protection locked="0"/>
    </xf>
    <xf numFmtId="41" fontId="68" fillId="2" borderId="6" xfId="0" applyNumberFormat="1" applyFont="1" applyFill="1" applyBorder="1" applyAlignment="1" applyProtection="1">
      <alignment vertical="center" wrapText="1"/>
    </xf>
    <xf numFmtId="41" fontId="68" fillId="0" borderId="6" xfId="0" applyNumberFormat="1" applyFont="1" applyFill="1" applyBorder="1" applyAlignment="1">
      <alignment horizontal="right" vertical="center" wrapText="1"/>
    </xf>
    <xf numFmtId="0" fontId="77" fillId="0" borderId="6" xfId="0" applyFont="1" applyFill="1" applyBorder="1" applyAlignment="1">
      <alignment horizontal="center" vertical="center"/>
    </xf>
    <xf numFmtId="0" fontId="77" fillId="0" borderId="6" xfId="0" applyFont="1" applyFill="1" applyBorder="1" applyAlignment="1">
      <alignment horizontal="center" vertical="center" wrapText="1"/>
    </xf>
    <xf numFmtId="0" fontId="77" fillId="0" borderId="4" xfId="0" applyFont="1" applyFill="1" applyBorder="1" applyAlignment="1">
      <alignment horizontal="center" vertical="center"/>
    </xf>
    <xf numFmtId="43" fontId="67" fillId="0" borderId="6" xfId="0" applyNumberFormat="1" applyFont="1" applyFill="1" applyBorder="1" applyAlignment="1" applyProtection="1">
      <alignment horizontal="right" vertical="center" wrapText="1"/>
      <protection locked="0"/>
    </xf>
    <xf numFmtId="0" fontId="79" fillId="0" borderId="0" xfId="0" applyFont="1" applyAlignment="1" applyProtection="1">
      <protection locked="0"/>
    </xf>
    <xf numFmtId="0" fontId="80" fillId="0" borderId="0" xfId="0" applyFont="1" applyAlignment="1" applyProtection="1">
      <protection locked="0"/>
    </xf>
    <xf numFmtId="0" fontId="43" fillId="0" borderId="0" xfId="0" applyFont="1" applyFill="1" applyBorder="1" applyAlignment="1" applyProtection="1">
      <alignment horizontal="right" vertical="top"/>
      <protection locked="0"/>
    </xf>
    <xf numFmtId="0" fontId="79" fillId="0" borderId="0" xfId="0" applyFont="1" applyProtection="1">
      <protection locked="0"/>
    </xf>
    <xf numFmtId="0" fontId="81" fillId="0" borderId="0" xfId="0" applyFont="1" applyFill="1" applyProtection="1">
      <protection locked="0"/>
    </xf>
    <xf numFmtId="0" fontId="80" fillId="0" borderId="0" xfId="0" applyFont="1" applyProtection="1">
      <protection locked="0"/>
    </xf>
    <xf numFmtId="0" fontId="74" fillId="0" borderId="3" xfId="0" applyFont="1" applyBorder="1" applyAlignment="1">
      <alignment horizontal="center" vertical="center"/>
    </xf>
    <xf numFmtId="43" fontId="68" fillId="0" borderId="4" xfId="0" applyNumberFormat="1" applyFont="1" applyBorder="1" applyAlignment="1" applyProtection="1">
      <alignment horizontal="right" vertical="center"/>
      <protection locked="0"/>
    </xf>
    <xf numFmtId="43" fontId="68" fillId="0" borderId="4" xfId="0" applyNumberFormat="1" applyFont="1" applyBorder="1" applyAlignment="1" applyProtection="1">
      <alignment horizontal="right" vertical="center"/>
    </xf>
    <xf numFmtId="0" fontId="68" fillId="0" borderId="52" xfId="0" applyFont="1" applyBorder="1" applyAlignment="1">
      <alignment horizontal="left" vertical="center"/>
    </xf>
    <xf numFmtId="0" fontId="13" fillId="0" borderId="3" xfId="0" applyFont="1" applyBorder="1" applyAlignment="1">
      <alignment horizontal="center" vertical="center" wrapText="1"/>
    </xf>
    <xf numFmtId="0" fontId="40" fillId="0" borderId="0" xfId="0" applyFont="1" applyProtection="1">
      <protection locked="0"/>
    </xf>
    <xf numFmtId="0" fontId="31" fillId="0" borderId="55" xfId="0" applyFont="1" applyFill="1" applyBorder="1" applyAlignment="1" applyProtection="1">
      <alignment horizontal="justify" vertical="center" wrapText="1"/>
      <protection locked="0"/>
    </xf>
    <xf numFmtId="4" fontId="31" fillId="0" borderId="20" xfId="0" applyNumberFormat="1" applyFont="1" applyFill="1" applyBorder="1" applyAlignment="1" applyProtection="1">
      <alignment horizontal="right" vertical="center" wrapText="1"/>
    </xf>
    <xf numFmtId="4" fontId="31" fillId="0" borderId="20" xfId="0" applyNumberFormat="1" applyFont="1" applyFill="1" applyBorder="1" applyAlignment="1" applyProtection="1">
      <alignment horizontal="right" vertical="center" wrapText="1"/>
      <protection locked="0"/>
    </xf>
    <xf numFmtId="4" fontId="31" fillId="0" borderId="56" xfId="0" applyNumberFormat="1" applyFont="1" applyFill="1" applyBorder="1" applyAlignment="1" applyProtection="1">
      <alignment horizontal="right" vertical="center" wrapText="1"/>
    </xf>
    <xf numFmtId="4" fontId="34" fillId="0" borderId="20" xfId="0" applyNumberFormat="1" applyFont="1" applyFill="1" applyBorder="1" applyAlignment="1" applyProtection="1">
      <alignment horizontal="right" vertical="center" wrapText="1"/>
    </xf>
    <xf numFmtId="4" fontId="5" fillId="0" borderId="0" xfId="0" applyNumberFormat="1" applyFont="1" applyFill="1" applyBorder="1" applyProtection="1">
      <protection locked="0"/>
    </xf>
    <xf numFmtId="0" fontId="7" fillId="0" borderId="8"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67" fillId="0" borderId="5" xfId="0" applyFont="1" applyBorder="1" applyAlignment="1">
      <alignment horizontal="justify" vertical="center" wrapText="1"/>
    </xf>
    <xf numFmtId="0" fontId="67" fillId="0" borderId="6" xfId="0" applyFont="1" applyBorder="1" applyAlignment="1">
      <alignment horizontal="justify" vertical="center" wrapText="1"/>
    </xf>
    <xf numFmtId="0" fontId="67" fillId="4" borderId="9" xfId="0" applyFont="1" applyFill="1" applyBorder="1" applyAlignment="1">
      <alignment horizontal="center" vertical="center" wrapText="1"/>
    </xf>
    <xf numFmtId="0" fontId="68" fillId="0" borderId="5" xfId="0" applyFont="1" applyBorder="1" applyAlignment="1">
      <alignment horizontal="justify" vertical="center" wrapText="1"/>
    </xf>
    <xf numFmtId="0" fontId="68" fillId="0" borderId="6" xfId="0" applyFont="1" applyBorder="1" applyAlignment="1">
      <alignment horizontal="justify" vertical="center" wrapText="1"/>
    </xf>
    <xf numFmtId="0" fontId="68" fillId="0" borderId="0" xfId="0" applyFont="1" applyBorder="1" applyAlignment="1">
      <alignment horizontal="left" vertical="center"/>
    </xf>
    <xf numFmtId="0" fontId="68" fillId="0" borderId="51" xfId="0" applyFont="1" applyBorder="1" applyAlignment="1">
      <alignment horizontal="left" vertical="center"/>
    </xf>
    <xf numFmtId="0" fontId="68" fillId="0" borderId="5" xfId="0" applyFont="1" applyBorder="1" applyAlignment="1">
      <alignment horizontal="left" vertical="center"/>
    </xf>
    <xf numFmtId="0" fontId="68" fillId="0" borderId="0" xfId="0" applyFont="1" applyBorder="1" applyAlignment="1">
      <alignment vertical="center"/>
    </xf>
    <xf numFmtId="0" fontId="68" fillId="0" borderId="51" xfId="0" applyFont="1" applyBorder="1" applyAlignment="1">
      <alignment vertical="center"/>
    </xf>
    <xf numFmtId="0" fontId="68" fillId="0" borderId="51" xfId="0" applyFont="1" applyBorder="1" applyAlignment="1">
      <alignment horizontal="left" vertical="justify"/>
    </xf>
    <xf numFmtId="0" fontId="3" fillId="0" borderId="48" xfId="0" applyFont="1" applyFill="1" applyBorder="1" applyAlignment="1" applyProtection="1">
      <alignment horizontal="center" vertical="center" wrapText="1"/>
      <protection locked="0"/>
    </xf>
    <xf numFmtId="0" fontId="27" fillId="0" borderId="9" xfId="0" applyFont="1" applyFill="1" applyBorder="1" applyAlignment="1">
      <alignment horizontal="center" vertical="center" wrapText="1"/>
    </xf>
    <xf numFmtId="0" fontId="67" fillId="6" borderId="12" xfId="0" applyFont="1" applyFill="1" applyBorder="1" applyAlignment="1">
      <alignment horizontal="center" vertical="center" wrapText="1"/>
    </xf>
    <xf numFmtId="0" fontId="67" fillId="6" borderId="50" xfId="0" applyFont="1" applyFill="1" applyBorder="1" applyAlignment="1">
      <alignment horizontal="center" vertical="center" wrapText="1"/>
    </xf>
    <xf numFmtId="0" fontId="67" fillId="6" borderId="13" xfId="0" applyFont="1" applyFill="1" applyBorder="1" applyAlignment="1">
      <alignment horizontal="center" vertical="center" wrapText="1"/>
    </xf>
    <xf numFmtId="0" fontId="40" fillId="0" borderId="0" xfId="0" applyFont="1" applyAlignment="1" applyProtection="1">
      <alignment horizontal="center"/>
      <protection locked="0"/>
    </xf>
    <xf numFmtId="0" fontId="41" fillId="0" borderId="7"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0" fillId="0" borderId="0" xfId="0" applyFont="1" applyAlignment="1" applyProtection="1">
      <alignment horizontal="left"/>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23"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0" fillId="0" borderId="0" xfId="0" applyFont="1" applyFill="1" applyAlignment="1">
      <alignment horizontal="center"/>
    </xf>
    <xf numFmtId="0" fontId="41" fillId="0" borderId="2" xfId="0" applyFont="1" applyFill="1" applyBorder="1" applyAlignment="1">
      <alignment horizontal="center" vertical="center"/>
    </xf>
    <xf numFmtId="0" fontId="67" fillId="0" borderId="5" xfId="0" applyFont="1" applyBorder="1" applyAlignment="1">
      <alignment vertical="center"/>
    </xf>
    <xf numFmtId="0" fontId="68" fillId="0" borderId="5" xfId="0" applyFont="1" applyBorder="1" applyAlignment="1">
      <alignment vertical="center"/>
    </xf>
    <xf numFmtId="0" fontId="68" fillId="0" borderId="6" xfId="0" applyFont="1" applyBorder="1" applyAlignment="1">
      <alignment horizontal="left" vertical="center" indent="1"/>
    </xf>
    <xf numFmtId="0" fontId="67" fillId="0" borderId="6" xfId="0" applyFont="1" applyBorder="1" applyAlignment="1">
      <alignment vertical="center"/>
    </xf>
    <xf numFmtId="0" fontId="67" fillId="0" borderId="5" xfId="0" applyFont="1" applyBorder="1" applyAlignment="1">
      <alignment vertical="center" wrapText="1"/>
    </xf>
    <xf numFmtId="0" fontId="66" fillId="4" borderId="0" xfId="0" applyFont="1" applyFill="1" applyBorder="1" applyAlignment="1">
      <alignment horizontal="center" vertical="center" wrapText="1"/>
    </xf>
    <xf numFmtId="0" fontId="68" fillId="0" borderId="5" xfId="0" applyFont="1" applyBorder="1" applyAlignment="1">
      <alignment vertical="center" wrapText="1"/>
    </xf>
    <xf numFmtId="0" fontId="17" fillId="0" borderId="15" xfId="0" applyFont="1" applyFill="1" applyBorder="1" applyAlignment="1" applyProtection="1">
      <alignment vertical="center"/>
      <protection locked="0"/>
    </xf>
    <xf numFmtId="0" fontId="1" fillId="0" borderId="5" xfId="0" applyFont="1" applyBorder="1" applyAlignment="1" applyProtection="1">
      <alignment horizontal="left" vertical="center" wrapText="1" indent="1"/>
      <protection locked="0"/>
    </xf>
    <xf numFmtId="3" fontId="3" fillId="0" borderId="9" xfId="0" applyNumberFormat="1" applyFont="1" applyBorder="1" applyAlignment="1" applyProtection="1">
      <alignment horizontal="right" vertical="center" wrapText="1"/>
    </xf>
    <xf numFmtId="0" fontId="12" fillId="0" borderId="10" xfId="0" applyFont="1" applyBorder="1" applyAlignment="1" applyProtection="1">
      <alignment vertical="center" wrapText="1"/>
      <protection locked="0"/>
    </xf>
    <xf numFmtId="0" fontId="12" fillId="0" borderId="12" xfId="0" applyFont="1" applyBorder="1" applyAlignment="1" applyProtection="1">
      <alignment vertical="center" wrapText="1"/>
      <protection locked="0"/>
    </xf>
    <xf numFmtId="4" fontId="12" fillId="0" borderId="10" xfId="0" applyNumberFormat="1" applyFont="1" applyBorder="1" applyAlignment="1" applyProtection="1">
      <alignment vertical="center"/>
      <protection locked="0"/>
    </xf>
    <xf numFmtId="4" fontId="12" fillId="0" borderId="12" xfId="0" applyNumberFormat="1" applyFont="1" applyBorder="1" applyAlignment="1" applyProtection="1">
      <alignment vertical="center"/>
      <protection locked="0"/>
    </xf>
    <xf numFmtId="0" fontId="7" fillId="0" borderId="0" xfId="0" applyFont="1" applyAlignment="1">
      <alignment horizontal="center"/>
    </xf>
    <xf numFmtId="0" fontId="83" fillId="0" borderId="13" xfId="0" applyFont="1" applyBorder="1" applyAlignment="1">
      <alignment horizontal="justify" vertical="center" wrapText="1"/>
    </xf>
    <xf numFmtId="0" fontId="83" fillId="0" borderId="9" xfId="0" applyFont="1" applyBorder="1" applyAlignment="1">
      <alignment horizontal="justify" vertical="center" wrapText="1"/>
    </xf>
    <xf numFmtId="0" fontId="83" fillId="6" borderId="13" xfId="0" applyFont="1" applyFill="1" applyBorder="1" applyAlignment="1">
      <alignment horizontal="justify" vertical="center" wrapText="1"/>
    </xf>
    <xf numFmtId="0" fontId="83" fillId="6" borderId="9" xfId="0" applyFont="1" applyFill="1" applyBorder="1" applyAlignment="1">
      <alignment horizontal="justify" vertical="center" wrapText="1"/>
    </xf>
    <xf numFmtId="0" fontId="83" fillId="6" borderId="6" xfId="0" applyFont="1" applyFill="1" applyBorder="1" applyAlignment="1">
      <alignment horizontal="justify" vertical="center" wrapText="1"/>
    </xf>
    <xf numFmtId="0" fontId="83" fillId="0" borderId="6" xfId="0" applyFont="1" applyBorder="1" applyAlignment="1">
      <alignment horizontal="justify" vertical="center" wrapText="1"/>
    </xf>
    <xf numFmtId="0" fontId="3" fillId="0" borderId="0" xfId="0" applyFont="1" applyFill="1" applyBorder="1" applyAlignment="1" applyProtection="1">
      <alignment horizontal="center" vertical="center"/>
      <protection locked="0"/>
    </xf>
    <xf numFmtId="0" fontId="1" fillId="0" borderId="0"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3" fillId="0" borderId="2" xfId="0" applyFont="1" applyFill="1" applyBorder="1" applyAlignment="1" applyProtection="1">
      <alignment horizontal="center" vertical="center" wrapText="1"/>
      <protection locked="0"/>
    </xf>
    <xf numFmtId="49" fontId="3" fillId="0" borderId="8" xfId="0" applyNumberFormat="1"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4" borderId="50" xfId="0" applyFont="1" applyFill="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4" fontId="3" fillId="0" borderId="4" xfId="0" applyNumberFormat="1" applyFont="1" applyFill="1" applyBorder="1" applyAlignment="1" applyProtection="1">
      <alignment horizontal="right" vertical="center" wrapText="1"/>
      <protection locked="0"/>
    </xf>
    <xf numFmtId="4" fontId="3" fillId="0" borderId="4" xfId="0" applyNumberFormat="1" applyFont="1" applyFill="1" applyBorder="1" applyAlignment="1" applyProtection="1">
      <alignment horizontal="right" vertical="center" wrapText="1"/>
    </xf>
    <xf numFmtId="3" fontId="1"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xf>
    <xf numFmtId="3" fontId="1" fillId="0" borderId="4" xfId="0" applyNumberFormat="1" applyFont="1" applyBorder="1" applyAlignment="1" applyProtection="1">
      <alignment horizontal="right" vertical="center"/>
      <protection locked="0"/>
    </xf>
    <xf numFmtId="3" fontId="1" fillId="0" borderId="13" xfId="0" applyNumberFormat="1" applyFont="1" applyBorder="1" applyAlignment="1" applyProtection="1">
      <alignment horizontal="right" vertical="center" wrapText="1"/>
      <protection locked="0"/>
    </xf>
    <xf numFmtId="3" fontId="1" fillId="0" borderId="13" xfId="0" applyNumberFormat="1" applyFont="1" applyBorder="1" applyAlignment="1" applyProtection="1">
      <alignment horizontal="right" vertical="center" wrapText="1"/>
    </xf>
    <xf numFmtId="3" fontId="3" fillId="0" borderId="13" xfId="0" applyNumberFormat="1" applyFont="1" applyBorder="1" applyAlignment="1" applyProtection="1">
      <alignment horizontal="right" vertical="center" wrapText="1"/>
    </xf>
    <xf numFmtId="0" fontId="78" fillId="0" borderId="5" xfId="0" applyFont="1" applyBorder="1" applyAlignment="1">
      <alignment horizontal="left" vertical="center"/>
    </xf>
    <xf numFmtId="0" fontId="77" fillId="0" borderId="9" xfId="0" applyFont="1" applyFill="1" applyBorder="1" applyAlignment="1">
      <alignment horizontal="center" vertical="center"/>
    </xf>
    <xf numFmtId="0" fontId="77" fillId="0" borderId="5" xfId="0" applyFont="1" applyFill="1" applyBorder="1" applyAlignment="1">
      <alignment horizontal="center" vertical="center"/>
    </xf>
    <xf numFmtId="0" fontId="27" fillId="0" borderId="9" xfId="0" applyFont="1" applyFill="1" applyBorder="1" applyAlignment="1">
      <alignment horizontal="center" vertical="center" wrapText="1"/>
    </xf>
    <xf numFmtId="0" fontId="84" fillId="0" borderId="9" xfId="0" applyFont="1" applyFill="1" applyBorder="1" applyAlignment="1">
      <alignment horizontal="center" vertical="center" wrapText="1"/>
    </xf>
    <xf numFmtId="0" fontId="23" fillId="0" borderId="40" xfId="0" applyFont="1" applyFill="1" applyBorder="1" applyAlignment="1" applyProtection="1">
      <alignment horizontal="center" vertical="center" wrapText="1"/>
      <protection locked="0"/>
    </xf>
    <xf numFmtId="4" fontId="34" fillId="0" borderId="56" xfId="0" applyNumberFormat="1" applyFont="1" applyFill="1" applyBorder="1" applyAlignment="1" applyProtection="1">
      <alignment horizontal="right" vertical="center" wrapText="1"/>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33" fillId="0" borderId="40" xfId="0" applyFont="1" applyFill="1" applyBorder="1" applyAlignment="1" applyProtection="1">
      <alignment horizontal="center" vertical="center" wrapText="1"/>
      <protection locked="0"/>
    </xf>
    <xf numFmtId="0" fontId="33" fillId="0" borderId="39" xfId="0" applyFont="1" applyFill="1" applyBorder="1" applyAlignment="1" applyProtection="1">
      <alignment horizontal="center" vertical="center" wrapText="1"/>
      <protection locked="0"/>
    </xf>
    <xf numFmtId="0" fontId="55" fillId="0" borderId="0" xfId="0" applyFont="1" applyAlignment="1" applyProtection="1">
      <alignment horizontal="left"/>
      <protection locked="0"/>
    </xf>
    <xf numFmtId="43" fontId="5" fillId="0" borderId="17" xfId="13" applyFont="1" applyFill="1" applyBorder="1" applyAlignment="1" applyProtection="1">
      <alignment horizontal="right" vertical="center"/>
      <protection locked="0"/>
    </xf>
    <xf numFmtId="43" fontId="5" fillId="0" borderId="16" xfId="13" applyFont="1" applyFill="1" applyBorder="1" applyAlignment="1" applyProtection="1">
      <alignment horizontal="right" vertical="center"/>
      <protection locked="0"/>
    </xf>
    <xf numFmtId="43" fontId="17" fillId="0" borderId="15" xfId="13" applyFont="1" applyFill="1" applyBorder="1" applyAlignment="1" applyProtection="1">
      <alignment horizontal="justify" vertical="center"/>
      <protection locked="0"/>
    </xf>
    <xf numFmtId="43" fontId="17" fillId="0" borderId="16" xfId="13" applyFont="1" applyFill="1" applyBorder="1" applyAlignment="1" applyProtection="1">
      <alignment horizontal="justify" vertical="center"/>
      <protection locked="0"/>
    </xf>
    <xf numFmtId="43" fontId="17" fillId="0" borderId="22" xfId="13" applyFont="1" applyFill="1" applyBorder="1" applyAlignment="1" applyProtection="1">
      <alignment horizontal="justify" vertical="center"/>
      <protection locked="0"/>
    </xf>
    <xf numFmtId="4" fontId="21" fillId="0" borderId="46" xfId="0" applyNumberFormat="1" applyFont="1" applyFill="1" applyBorder="1" applyAlignment="1" applyProtection="1">
      <alignment horizontal="right" vertical="center"/>
    </xf>
    <xf numFmtId="43" fontId="27" fillId="7" borderId="6" xfId="0" applyNumberFormat="1" applyFont="1" applyFill="1" applyBorder="1" applyAlignment="1">
      <alignment horizontal="right" vertical="center" wrapText="1"/>
    </xf>
    <xf numFmtId="0" fontId="85" fillId="2" borderId="59" xfId="0" applyFont="1" applyFill="1" applyBorder="1" applyAlignment="1">
      <alignment horizontal="left" vertical="center" wrapText="1" indent="2"/>
    </xf>
    <xf numFmtId="0" fontId="86" fillId="2" borderId="59" xfId="0" applyFont="1" applyFill="1" applyBorder="1" applyAlignment="1">
      <alignment vertical="center"/>
    </xf>
    <xf numFmtId="4" fontId="86" fillId="2" borderId="59" xfId="8" applyNumberFormat="1" applyFont="1" applyFill="1" applyBorder="1" applyAlignment="1">
      <alignment horizontal="right" vertical="center"/>
    </xf>
    <xf numFmtId="4" fontId="86" fillId="2" borderId="59" xfId="13" applyNumberFormat="1" applyFont="1" applyFill="1" applyBorder="1" applyAlignment="1">
      <alignment horizontal="right" vertical="center"/>
    </xf>
    <xf numFmtId="4" fontId="27" fillId="2" borderId="17" xfId="0" applyNumberFormat="1" applyFont="1" applyFill="1" applyBorder="1" applyAlignment="1">
      <alignment horizontal="justify" vertical="center" wrapText="1"/>
    </xf>
    <xf numFmtId="165" fontId="13" fillId="2" borderId="46" xfId="0" applyNumberFormat="1" applyFont="1" applyFill="1" applyBorder="1" applyAlignment="1">
      <alignment horizontal="justify" vertical="center" wrapText="1"/>
    </xf>
    <xf numFmtId="0" fontId="85" fillId="2" borderId="17" xfId="0" applyFont="1" applyFill="1" applyBorder="1" applyAlignment="1">
      <alignment horizontal="left" vertical="center" wrapText="1" indent="2"/>
    </xf>
    <xf numFmtId="0" fontId="86" fillId="2" borderId="17" xfId="0" applyFont="1" applyFill="1" applyBorder="1" applyAlignment="1">
      <alignment vertical="center"/>
    </xf>
    <xf numFmtId="4" fontId="86" fillId="2" borderId="17" xfId="8" applyNumberFormat="1" applyFont="1" applyFill="1" applyBorder="1" applyAlignment="1">
      <alignment horizontal="right" vertical="center"/>
    </xf>
    <xf numFmtId="4" fontId="86" fillId="2" borderId="17" xfId="13" applyNumberFormat="1" applyFont="1" applyFill="1" applyBorder="1" applyAlignment="1">
      <alignment horizontal="right" vertical="center"/>
    </xf>
    <xf numFmtId="2" fontId="25" fillId="2" borderId="46" xfId="0" applyNumberFormat="1" applyFont="1" applyFill="1" applyBorder="1" applyAlignment="1">
      <alignment horizontal="justify" vertical="center" wrapText="1"/>
    </xf>
    <xf numFmtId="0" fontId="87" fillId="0" borderId="17" xfId="0" applyFont="1" applyBorder="1" applyAlignment="1">
      <alignment horizontal="left" vertical="center" wrapText="1" indent="2"/>
    </xf>
    <xf numFmtId="0" fontId="88" fillId="0" borderId="17" xfId="0" applyFont="1" applyBorder="1" applyAlignment="1">
      <alignment vertical="center"/>
    </xf>
    <xf numFmtId="4" fontId="88" fillId="0" borderId="17" xfId="0" applyNumberFormat="1" applyFont="1" applyBorder="1" applyAlignment="1">
      <alignment horizontal="right" vertical="center"/>
    </xf>
    <xf numFmtId="4" fontId="89" fillId="0" borderId="17" xfId="8" applyNumberFormat="1" applyFont="1" applyBorder="1" applyAlignment="1">
      <alignment horizontal="right" vertical="center" wrapText="1"/>
    </xf>
    <xf numFmtId="4" fontId="90" fillId="0" borderId="17" xfId="13" applyNumberFormat="1" applyFont="1" applyBorder="1" applyAlignment="1">
      <alignment horizontal="right" vertical="center"/>
    </xf>
    <xf numFmtId="4" fontId="13" fillId="0" borderId="17" xfId="0" applyNumberFormat="1" applyFont="1" applyBorder="1" applyAlignment="1">
      <alignment horizontal="justify" vertical="center" wrapText="1"/>
    </xf>
    <xf numFmtId="165" fontId="13" fillId="0" borderId="46" xfId="0" applyNumberFormat="1" applyFont="1" applyFill="1" applyBorder="1" applyAlignment="1">
      <alignment horizontal="justify" vertical="center" wrapText="1"/>
    </xf>
    <xf numFmtId="4" fontId="66" fillId="2" borderId="17" xfId="8" applyNumberFormat="1" applyFont="1" applyFill="1" applyBorder="1" applyAlignment="1">
      <alignment horizontal="right" vertical="center" wrapText="1"/>
    </xf>
    <xf numFmtId="0" fontId="87" fillId="0" borderId="17" xfId="0" applyFont="1" applyFill="1" applyBorder="1" applyAlignment="1">
      <alignment horizontal="center" vertical="center" wrapText="1"/>
    </xf>
    <xf numFmtId="0" fontId="87" fillId="0" borderId="17" xfId="0" applyFont="1" applyBorder="1" applyAlignment="1">
      <alignment vertical="center" wrapText="1"/>
    </xf>
    <xf numFmtId="4" fontId="88" fillId="0" borderId="17" xfId="13" applyNumberFormat="1" applyFont="1" applyBorder="1" applyAlignment="1">
      <alignment horizontal="right" vertical="center"/>
    </xf>
    <xf numFmtId="0" fontId="85" fillId="2" borderId="17" xfId="0" applyFont="1" applyFill="1" applyBorder="1" applyAlignment="1">
      <alignment horizontal="center" vertical="center" wrapText="1"/>
    </xf>
    <xf numFmtId="4" fontId="88" fillId="0" borderId="17" xfId="8" applyNumberFormat="1" applyFont="1" applyBorder="1" applyAlignment="1">
      <alignment horizontal="right" vertical="center"/>
    </xf>
    <xf numFmtId="0" fontId="88" fillId="0" borderId="17" xfId="0" applyFont="1" applyBorder="1" applyAlignment="1">
      <alignment vertical="center" wrapText="1"/>
    </xf>
    <xf numFmtId="0" fontId="87" fillId="0" borderId="17" xfId="0" applyFont="1" applyFill="1" applyBorder="1" applyAlignment="1">
      <alignment horizontal="left" vertical="center" wrapText="1" indent="2"/>
    </xf>
    <xf numFmtId="0" fontId="86" fillId="2" borderId="17" xfId="0" applyFont="1" applyFill="1" applyBorder="1" applyAlignment="1">
      <alignment vertical="center" wrapText="1"/>
    </xf>
    <xf numFmtId="165" fontId="27" fillId="2" borderId="46" xfId="0" applyNumberFormat="1" applyFont="1" applyFill="1" applyBorder="1" applyAlignment="1">
      <alignment horizontal="justify" vertical="center" wrapText="1"/>
    </xf>
    <xf numFmtId="0" fontId="87" fillId="0" borderId="17" xfId="0" applyFont="1" applyBorder="1" applyAlignment="1">
      <alignment horizontal="right" wrapText="1"/>
    </xf>
    <xf numFmtId="0" fontId="87" fillId="0" borderId="17" xfId="0" applyFont="1" applyBorder="1" applyAlignment="1">
      <alignment wrapText="1"/>
    </xf>
    <xf numFmtId="4" fontId="87" fillId="0" borderId="17" xfId="0" applyNumberFormat="1" applyFont="1" applyBorder="1" applyAlignment="1">
      <alignment wrapText="1"/>
    </xf>
    <xf numFmtId="4" fontId="86" fillId="0" borderId="17" xfId="8" applyNumberFormat="1" applyFont="1" applyBorder="1" applyAlignment="1">
      <alignment horizontal="right" vertical="center"/>
    </xf>
    <xf numFmtId="4" fontId="88" fillId="2" borderId="17" xfId="8" applyNumberFormat="1" applyFont="1" applyFill="1" applyBorder="1" applyAlignment="1">
      <alignment horizontal="right" vertical="center"/>
    </xf>
    <xf numFmtId="4" fontId="5" fillId="0" borderId="0" xfId="0" applyNumberFormat="1" applyFont="1"/>
    <xf numFmtId="0" fontId="88" fillId="0" borderId="17" xfId="0" applyFont="1" applyFill="1" applyBorder="1" applyAlignment="1">
      <alignment vertical="center" wrapText="1"/>
    </xf>
    <xf numFmtId="4" fontId="88" fillId="0" borderId="17" xfId="8" applyNumberFormat="1" applyFont="1" applyFill="1" applyBorder="1" applyAlignment="1">
      <alignment horizontal="right" vertical="center"/>
    </xf>
    <xf numFmtId="4" fontId="90" fillId="0" borderId="17" xfId="13" applyNumberFormat="1" applyFont="1" applyFill="1" applyBorder="1" applyAlignment="1">
      <alignment horizontal="right" vertical="center"/>
    </xf>
    <xf numFmtId="4" fontId="13" fillId="0" borderId="17" xfId="0" applyNumberFormat="1" applyFont="1" applyFill="1" applyBorder="1" applyAlignment="1">
      <alignment horizontal="justify" vertical="center" wrapText="1"/>
    </xf>
    <xf numFmtId="4" fontId="13" fillId="2" borderId="17" xfId="0" applyNumberFormat="1" applyFont="1" applyFill="1" applyBorder="1" applyAlignment="1">
      <alignment horizontal="justify" vertical="center" wrapText="1"/>
    </xf>
    <xf numFmtId="4" fontId="86" fillId="0" borderId="17" xfId="13" applyNumberFormat="1" applyFont="1" applyBorder="1" applyAlignment="1">
      <alignment horizontal="right" vertical="center"/>
    </xf>
    <xf numFmtId="0" fontId="89" fillId="0" borderId="17" xfId="0" applyFont="1" applyBorder="1" applyAlignment="1">
      <alignment vertical="center" wrapText="1"/>
    </xf>
    <xf numFmtId="43" fontId="5" fillId="0" borderId="0" xfId="13" applyFont="1"/>
    <xf numFmtId="0" fontId="89" fillId="0" borderId="0" xfId="0" applyFont="1" applyBorder="1" applyAlignment="1">
      <alignment vertical="center" wrapText="1"/>
    </xf>
    <xf numFmtId="0" fontId="89" fillId="0" borderId="0" xfId="0" applyFont="1"/>
    <xf numFmtId="4" fontId="66" fillId="2" borderId="17" xfId="0" applyNumberFormat="1" applyFont="1" applyFill="1" applyBorder="1" applyAlignment="1">
      <alignment vertical="center"/>
    </xf>
    <xf numFmtId="4" fontId="89" fillId="0" borderId="17" xfId="13" applyNumberFormat="1" applyFont="1" applyBorder="1" applyAlignment="1">
      <alignment vertical="center"/>
    </xf>
    <xf numFmtId="4" fontId="89" fillId="0" borderId="17" xfId="0" applyNumberFormat="1" applyFont="1" applyBorder="1" applyAlignment="1">
      <alignment vertical="center"/>
    </xf>
    <xf numFmtId="4" fontId="91" fillId="0" borderId="17" xfId="0" applyNumberFormat="1" applyFont="1" applyFill="1" applyBorder="1" applyAlignment="1">
      <alignment horizontal="right" vertical="center"/>
    </xf>
    <xf numFmtId="0" fontId="12" fillId="8" borderId="48" xfId="0" applyFont="1" applyFill="1" applyBorder="1" applyAlignment="1">
      <alignment horizontal="center" vertical="center" wrapText="1"/>
    </xf>
    <xf numFmtId="0" fontId="12" fillId="8" borderId="16" xfId="0" applyFont="1" applyFill="1" applyBorder="1" applyAlignment="1">
      <alignment horizontal="center" vertical="center" wrapText="1"/>
    </xf>
    <xf numFmtId="4" fontId="12" fillId="8" borderId="16" xfId="0" applyNumberFormat="1" applyFont="1" applyFill="1" applyBorder="1" applyAlignment="1">
      <alignment horizontal="center" vertical="center" wrapText="1"/>
    </xf>
    <xf numFmtId="0" fontId="12" fillId="8" borderId="18" xfId="0" applyFont="1" applyFill="1" applyBorder="1" applyAlignment="1">
      <alignment horizontal="center" vertical="center" wrapText="1"/>
    </xf>
    <xf numFmtId="4" fontId="5" fillId="0" borderId="0" xfId="0" applyNumberFormat="1" applyFont="1" applyAlignment="1">
      <alignment vertical="center"/>
    </xf>
    <xf numFmtId="2" fontId="88" fillId="0" borderId="17" xfId="0" applyNumberFormat="1" applyFont="1" applyBorder="1" applyAlignment="1">
      <alignment vertical="center" wrapText="1"/>
    </xf>
    <xf numFmtId="2" fontId="88" fillId="0" borderId="17" xfId="8" applyNumberFormat="1" applyFont="1" applyBorder="1" applyAlignment="1">
      <alignment horizontal="right" vertical="center" wrapText="1"/>
    </xf>
    <xf numFmtId="2" fontId="13" fillId="0" borderId="17" xfId="0" applyNumberFormat="1" applyFont="1" applyBorder="1" applyAlignment="1">
      <alignment horizontal="justify" vertical="center" wrapText="1"/>
    </xf>
    <xf numFmtId="2" fontId="13" fillId="0" borderId="46" xfId="0" applyNumberFormat="1" applyFont="1" applyFill="1" applyBorder="1" applyAlignment="1">
      <alignment horizontal="justify" vertical="center" wrapText="1"/>
    </xf>
    <xf numFmtId="2" fontId="5" fillId="0" borderId="0" xfId="0" applyNumberFormat="1" applyFont="1" applyAlignment="1">
      <alignment wrapText="1"/>
    </xf>
    <xf numFmtId="0" fontId="87" fillId="0" borderId="17" xfId="13" applyNumberFormat="1" applyFont="1" applyBorder="1" applyAlignment="1">
      <alignment horizontal="center" vertical="center" wrapText="1"/>
    </xf>
    <xf numFmtId="4" fontId="1" fillId="0" borderId="0" xfId="0" applyNumberFormat="1" applyFont="1"/>
    <xf numFmtId="166" fontId="92" fillId="0" borderId="17" xfId="0" applyNumberFormat="1" applyFont="1" applyFill="1" applyBorder="1" applyAlignment="1">
      <alignment horizontal="right" vertical="center"/>
    </xf>
    <xf numFmtId="166" fontId="93" fillId="0" borderId="17" xfId="0" applyNumberFormat="1" applyFont="1" applyFill="1" applyBorder="1" applyAlignment="1">
      <alignment horizontal="right" vertical="center"/>
    </xf>
    <xf numFmtId="4" fontId="30" fillId="0" borderId="16" xfId="0" applyNumberFormat="1" applyFont="1" applyFill="1" applyBorder="1" applyAlignment="1" applyProtection="1">
      <alignment horizontal="justify" vertical="center" wrapText="1"/>
      <protection locked="0"/>
    </xf>
    <xf numFmtId="0" fontId="94" fillId="0" borderId="60" xfId="0" applyNumberFormat="1" applyFont="1" applyFill="1" applyBorder="1" applyAlignment="1">
      <alignment horizontal="center" vertical="top" wrapText="1"/>
    </xf>
    <xf numFmtId="167" fontId="94" fillId="0" borderId="61" xfId="0" applyNumberFormat="1" applyFont="1" applyFill="1" applyBorder="1" applyAlignment="1">
      <alignment horizontal="justify" vertical="top" wrapText="1"/>
    </xf>
    <xf numFmtId="44" fontId="94" fillId="0" borderId="61" xfId="8" applyFont="1" applyFill="1" applyBorder="1" applyAlignment="1">
      <alignment horizontal="justify" vertical="top" wrapText="1"/>
    </xf>
    <xf numFmtId="167" fontId="94" fillId="0" borderId="62" xfId="0" applyNumberFormat="1" applyFont="1" applyFill="1" applyBorder="1" applyAlignment="1">
      <alignment horizontal="left" vertical="top" wrapText="1"/>
    </xf>
    <xf numFmtId="0" fontId="94" fillId="0" borderId="63" xfId="0" applyNumberFormat="1" applyFont="1" applyFill="1" applyBorder="1" applyAlignment="1">
      <alignment horizontal="center" vertical="top" wrapText="1"/>
    </xf>
    <xf numFmtId="167" fontId="94" fillId="0" borderId="64" xfId="0" applyNumberFormat="1" applyFont="1" applyFill="1" applyBorder="1" applyAlignment="1">
      <alignment horizontal="justify" vertical="top" wrapText="1"/>
    </xf>
    <xf numFmtId="44" fontId="94" fillId="0" borderId="64" xfId="8" applyFont="1" applyFill="1" applyBorder="1" applyAlignment="1">
      <alignment horizontal="justify" vertical="top" wrapText="1"/>
    </xf>
    <xf numFmtId="167" fontId="94" fillId="0" borderId="65" xfId="0" applyNumberFormat="1" applyFont="1" applyFill="1" applyBorder="1" applyAlignment="1">
      <alignment horizontal="left" vertical="top" wrapText="1"/>
    </xf>
    <xf numFmtId="0" fontId="83" fillId="6" borderId="50" xfId="0" applyFont="1" applyFill="1" applyBorder="1" applyAlignment="1">
      <alignment horizontal="justify" vertical="center" wrapText="1"/>
    </xf>
    <xf numFmtId="0" fontId="83" fillId="6" borderId="13" xfId="0" applyFont="1" applyFill="1" applyBorder="1" applyAlignment="1">
      <alignment horizontal="justify" vertical="center" wrapText="1"/>
    </xf>
    <xf numFmtId="0" fontId="82" fillId="0" borderId="10" xfId="0" applyFont="1" applyBorder="1" applyAlignment="1">
      <alignment horizontal="justify" vertical="center" wrapText="1"/>
    </xf>
    <xf numFmtId="0" fontId="82" fillId="0" borderId="11" xfId="0" applyFont="1" applyBorder="1" applyAlignment="1">
      <alignment horizontal="justify" vertical="center" wrapText="1"/>
    </xf>
    <xf numFmtId="0" fontId="82" fillId="0" borderId="12" xfId="0" applyFont="1" applyBorder="1" applyAlignment="1">
      <alignment horizontal="justify" vertical="center" wrapText="1"/>
    </xf>
    <xf numFmtId="0" fontId="83" fillId="0" borderId="50" xfId="0" applyFont="1" applyBorder="1" applyAlignment="1">
      <alignment horizontal="justify" vertical="center" wrapText="1"/>
    </xf>
    <xf numFmtId="0" fontId="83" fillId="0" borderId="13" xfId="0" applyFont="1" applyBorder="1" applyAlignment="1">
      <alignment horizontal="justify" vertical="center" wrapText="1"/>
    </xf>
    <xf numFmtId="0" fontId="7" fillId="0" borderId="8" xfId="0" applyFont="1" applyFill="1" applyBorder="1" applyAlignment="1" applyProtection="1">
      <alignment horizontal="center" vertical="top"/>
      <protection locked="0"/>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12" fillId="0" borderId="8" xfId="0" applyFont="1" applyFill="1" applyBorder="1" applyAlignment="1" applyProtection="1">
      <alignment horizontal="left" vertical="top"/>
      <protection locked="0"/>
    </xf>
    <xf numFmtId="0" fontId="3" fillId="4" borderId="0" xfId="0" applyFont="1" applyFill="1" applyBorder="1" applyAlignment="1" applyProtection="1">
      <alignment horizontal="center" vertical="center" wrapText="1"/>
      <protection locked="0"/>
    </xf>
    <xf numFmtId="0" fontId="76" fillId="4" borderId="8" xfId="0" applyFont="1" applyFill="1" applyBorder="1" applyAlignment="1">
      <alignment horizontal="center" vertical="center" wrapText="1"/>
    </xf>
    <xf numFmtId="0" fontId="17" fillId="0" borderId="37"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0" fontId="11" fillId="0" borderId="0" xfId="0" applyFont="1" applyFill="1" applyBorder="1" applyAlignment="1" applyProtection="1">
      <alignment horizontal="center" vertical="top"/>
    </xf>
    <xf numFmtId="0" fontId="12" fillId="0" borderId="8"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xf>
    <xf numFmtId="0" fontId="27" fillId="0" borderId="5" xfId="0" applyFont="1" applyFill="1" applyBorder="1" applyAlignment="1" applyProtection="1">
      <alignment horizontal="justify" vertical="top"/>
      <protection locked="0"/>
    </xf>
    <xf numFmtId="0" fontId="27" fillId="0" borderId="0" xfId="0" applyFont="1" applyFill="1" applyBorder="1" applyAlignment="1" applyProtection="1">
      <alignment horizontal="justify" vertical="top"/>
      <protection locked="0"/>
    </xf>
    <xf numFmtId="0" fontId="3" fillId="0" borderId="41"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2" fillId="0" borderId="8" xfId="0" applyFont="1" applyFill="1" applyBorder="1" applyAlignment="1" applyProtection="1">
      <alignment horizontal="center" vertical="center"/>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8" fillId="0" borderId="7" xfId="0" applyFont="1" applyBorder="1" applyAlignment="1" applyProtection="1">
      <alignment horizontal="justify" vertical="top" wrapText="1"/>
      <protection locked="0"/>
    </xf>
    <xf numFmtId="0" fontId="8" fillId="0" borderId="8" xfId="0" applyFont="1" applyBorder="1" applyAlignment="1" applyProtection="1">
      <alignment horizontal="justify" vertical="top" wrapText="1"/>
      <protection locked="0"/>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8" fillId="0" borderId="5" xfId="0" applyFont="1" applyBorder="1" applyAlignment="1" applyProtection="1">
      <alignment horizontal="justify" vertical="top" wrapText="1"/>
      <protection locked="0"/>
    </xf>
    <xf numFmtId="0" fontId="8" fillId="0" borderId="0" xfId="0" applyFont="1" applyBorder="1" applyAlignment="1" applyProtection="1">
      <alignment horizontal="justify" vertical="top" wrapText="1"/>
      <protection locked="0"/>
    </xf>
    <xf numFmtId="0" fontId="7" fillId="0" borderId="5" xfId="0" applyFont="1" applyBorder="1" applyAlignment="1" applyProtection="1">
      <alignment horizontal="left" vertical="top" wrapText="1" indent="5"/>
      <protection locked="0"/>
    </xf>
    <xf numFmtId="0" fontId="7" fillId="0" borderId="0" xfId="0" applyFont="1" applyBorder="1" applyAlignment="1" applyProtection="1">
      <alignment horizontal="left" vertical="top" wrapText="1" indent="5"/>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67" fillId="0" borderId="5" xfId="0" applyFont="1" applyBorder="1" applyAlignment="1">
      <alignment horizontal="justify" vertical="center" wrapText="1"/>
    </xf>
    <xf numFmtId="0" fontId="67" fillId="0" borderId="6" xfId="0" applyFont="1" applyBorder="1" applyAlignment="1">
      <alignment horizontal="justify" vertical="center" wrapText="1"/>
    </xf>
    <xf numFmtId="0" fontId="46" fillId="4" borderId="0"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67" fillId="4" borderId="1" xfId="0" applyFont="1" applyFill="1" applyBorder="1" applyAlignment="1">
      <alignment horizontal="center" vertical="center" wrapText="1"/>
    </xf>
    <xf numFmtId="0" fontId="67" fillId="4" borderId="3" xfId="0" applyFont="1" applyFill="1" applyBorder="1" applyAlignment="1">
      <alignment horizontal="center" vertical="center" wrapText="1"/>
    </xf>
    <xf numFmtId="0" fontId="67" fillId="4" borderId="7" xfId="0" applyFont="1" applyFill="1" applyBorder="1" applyAlignment="1">
      <alignment horizontal="center" vertical="center" wrapText="1"/>
    </xf>
    <xf numFmtId="0" fontId="67" fillId="4" borderId="9" xfId="0" applyFont="1" applyFill="1" applyBorder="1" applyAlignment="1">
      <alignment horizontal="center" vertical="center" wrapText="1"/>
    </xf>
    <xf numFmtId="0" fontId="67" fillId="4" borderId="50" xfId="0" applyFont="1" applyFill="1" applyBorder="1" applyAlignment="1">
      <alignment horizontal="center" vertical="center" wrapText="1"/>
    </xf>
    <xf numFmtId="0" fontId="67" fillId="4" borderId="13" xfId="0" applyFont="1" applyFill="1" applyBorder="1" applyAlignment="1">
      <alignment horizontal="center" vertical="center" wrapText="1"/>
    </xf>
    <xf numFmtId="0" fontId="67" fillId="0" borderId="1" xfId="0" applyFont="1" applyBorder="1" applyAlignment="1">
      <alignment horizontal="justify" vertical="center" wrapText="1"/>
    </xf>
    <xf numFmtId="0" fontId="67" fillId="0" borderId="3" xfId="0" applyFont="1" applyBorder="1" applyAlignment="1">
      <alignment horizontal="justify" vertical="center" wrapText="1"/>
    </xf>
    <xf numFmtId="0" fontId="70" fillId="0" borderId="0" xfId="0" applyFont="1" applyAlignment="1">
      <alignment horizontal="center" vertical="justify"/>
    </xf>
    <xf numFmtId="0" fontId="71" fillId="6" borderId="50" xfId="0" applyFont="1" applyFill="1" applyBorder="1" applyAlignment="1">
      <alignment horizontal="center" vertical="center"/>
    </xf>
    <xf numFmtId="0" fontId="71" fillId="6" borderId="4" xfId="0" applyFont="1" applyFill="1" applyBorder="1" applyAlignment="1">
      <alignment horizontal="center" vertical="center"/>
    </xf>
    <xf numFmtId="0" fontId="71" fillId="6" borderId="13" xfId="0" applyFont="1" applyFill="1" applyBorder="1" applyAlignment="1">
      <alignment horizontal="center" vertical="center"/>
    </xf>
    <xf numFmtId="0" fontId="71" fillId="6" borderId="50" xfId="0" applyFont="1" applyFill="1" applyBorder="1" applyAlignment="1">
      <alignment horizontal="center" vertical="center" wrapText="1"/>
    </xf>
    <xf numFmtId="0" fontId="71" fillId="6" borderId="4" xfId="0" applyFont="1" applyFill="1" applyBorder="1" applyAlignment="1">
      <alignment horizontal="center" vertical="center" wrapText="1"/>
    </xf>
    <xf numFmtId="0" fontId="71" fillId="6" borderId="13" xfId="0" applyFont="1" applyFill="1" applyBorder="1" applyAlignment="1">
      <alignment horizontal="center" vertical="center" wrapText="1"/>
    </xf>
    <xf numFmtId="0" fontId="68" fillId="0" borderId="5" xfId="0" applyFont="1" applyBorder="1" applyAlignment="1">
      <alignment horizontal="justify" vertical="center" wrapText="1"/>
    </xf>
    <xf numFmtId="0" fontId="68" fillId="0" borderId="6" xfId="0" applyFont="1" applyBorder="1" applyAlignment="1">
      <alignment horizontal="justify" vertical="center" wrapText="1"/>
    </xf>
    <xf numFmtId="0" fontId="69" fillId="0" borderId="7" xfId="0" applyFont="1" applyBorder="1" applyAlignment="1">
      <alignment horizontal="justify" vertical="center" wrapText="1"/>
    </xf>
    <xf numFmtId="0" fontId="69" fillId="0" borderId="9" xfId="0" applyFont="1" applyBorder="1" applyAlignment="1">
      <alignment horizontal="justify" vertical="center" wrapText="1"/>
    </xf>
    <xf numFmtId="0" fontId="3" fillId="0" borderId="1" xfId="0" applyFont="1" applyBorder="1" applyAlignment="1">
      <alignment horizontal="center" vertical="justify"/>
    </xf>
    <xf numFmtId="0" fontId="3" fillId="0" borderId="2" xfId="0" applyFont="1" applyBorder="1" applyAlignment="1">
      <alignment horizontal="center" vertical="justify"/>
    </xf>
    <xf numFmtId="0" fontId="3" fillId="0" borderId="3" xfId="0" applyFont="1" applyBorder="1" applyAlignment="1">
      <alignment horizontal="center" vertical="justify"/>
    </xf>
    <xf numFmtId="0" fontId="3" fillId="0" borderId="5" xfId="0" applyFont="1" applyBorder="1" applyAlignment="1">
      <alignment horizontal="center" vertical="justify"/>
    </xf>
    <xf numFmtId="0" fontId="3" fillId="0" borderId="0" xfId="0" applyFont="1" applyBorder="1" applyAlignment="1">
      <alignment horizontal="center" vertical="justify"/>
    </xf>
    <xf numFmtId="0" fontId="3" fillId="0" borderId="6" xfId="0" applyFont="1" applyBorder="1" applyAlignment="1">
      <alignment horizontal="center" vertical="justify"/>
    </xf>
    <xf numFmtId="0" fontId="3" fillId="0" borderId="7" xfId="0" applyFont="1" applyBorder="1" applyAlignment="1">
      <alignment horizontal="center" vertical="justify"/>
    </xf>
    <xf numFmtId="0" fontId="3" fillId="0" borderId="8" xfId="0" applyFont="1" applyBorder="1" applyAlignment="1">
      <alignment horizontal="center" vertical="justify"/>
    </xf>
    <xf numFmtId="0" fontId="3" fillId="0" borderId="9" xfId="0" applyFont="1" applyBorder="1" applyAlignment="1">
      <alignment horizontal="center" vertical="justify"/>
    </xf>
    <xf numFmtId="0" fontId="11" fillId="0" borderId="0" xfId="0" applyFont="1" applyFill="1" applyBorder="1" applyAlignment="1">
      <alignment horizontal="center"/>
    </xf>
    <xf numFmtId="0" fontId="7" fillId="0" borderId="0" xfId="0" applyFont="1" applyFill="1" applyBorder="1" applyAlignment="1">
      <alignment horizontal="center" vertical="top"/>
    </xf>
    <xf numFmtId="0" fontId="11" fillId="0" borderId="0" xfId="0" applyFont="1" applyFill="1" applyBorder="1" applyAlignment="1">
      <alignment horizontal="center" vertical="top"/>
    </xf>
    <xf numFmtId="0" fontId="12" fillId="0" borderId="8" xfId="0" applyFont="1" applyFill="1" applyBorder="1" applyAlignment="1">
      <alignment horizontal="center"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2" fillId="0" borderId="8" xfId="0" applyFont="1" applyFill="1" applyBorder="1" applyAlignment="1">
      <alignment horizontal="left" vertical="top"/>
    </xf>
    <xf numFmtId="0" fontId="27" fillId="0" borderId="10"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57" xfId="0" applyFont="1" applyFill="1" applyBorder="1" applyAlignment="1" applyProtection="1">
      <alignment horizontal="center" vertical="center"/>
      <protection locked="0"/>
    </xf>
    <xf numFmtId="0" fontId="3" fillId="0" borderId="43" xfId="0" applyFont="1" applyBorder="1" applyAlignment="1" applyProtection="1">
      <alignment horizontal="center" vertical="center"/>
    </xf>
    <xf numFmtId="0" fontId="3" fillId="0" borderId="58" xfId="0" applyFont="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46" fillId="4" borderId="0" xfId="0" applyFont="1" applyFill="1" applyBorder="1" applyAlignment="1" applyProtection="1">
      <alignment horizontal="center" vertical="center" wrapText="1"/>
      <protection locked="0"/>
    </xf>
    <xf numFmtId="0" fontId="67" fillId="4" borderId="1" xfId="0" applyFont="1" applyFill="1" applyBorder="1" applyAlignment="1">
      <alignment horizontal="center" vertical="center"/>
    </xf>
    <xf numFmtId="0" fontId="67" fillId="4" borderId="2" xfId="0" applyFont="1" applyFill="1" applyBorder="1" applyAlignment="1">
      <alignment horizontal="center" vertical="center"/>
    </xf>
    <xf numFmtId="0" fontId="67" fillId="4" borderId="3" xfId="0" applyFont="1" applyFill="1" applyBorder="1" applyAlignment="1">
      <alignment horizontal="center" vertical="center"/>
    </xf>
    <xf numFmtId="0" fontId="67" fillId="4" borderId="10" xfId="0" applyFont="1" applyFill="1" applyBorder="1" applyAlignment="1">
      <alignment horizontal="center" vertical="center"/>
    </xf>
    <xf numFmtId="0" fontId="67" fillId="4" borderId="11" xfId="0" applyFont="1" applyFill="1" applyBorder="1" applyAlignment="1">
      <alignment horizontal="center" vertical="center"/>
    </xf>
    <xf numFmtId="0" fontId="67" fillId="4" borderId="12" xfId="0" applyFont="1" applyFill="1" applyBorder="1" applyAlignment="1">
      <alignment horizontal="center" vertical="center"/>
    </xf>
    <xf numFmtId="0" fontId="67" fillId="4" borderId="50" xfId="0" applyFont="1" applyFill="1" applyBorder="1" applyAlignment="1">
      <alignment horizontal="center" vertical="center"/>
    </xf>
    <xf numFmtId="0" fontId="67" fillId="4" borderId="4" xfId="0" applyFont="1" applyFill="1" applyBorder="1" applyAlignment="1">
      <alignment horizontal="center" vertical="center"/>
    </xf>
    <xf numFmtId="0" fontId="67" fillId="4" borderId="13" xfId="0" applyFont="1" applyFill="1" applyBorder="1" applyAlignment="1">
      <alignment horizontal="center" vertical="center"/>
    </xf>
    <xf numFmtId="0" fontId="67" fillId="4" borderId="5" xfId="0" applyFont="1" applyFill="1" applyBorder="1" applyAlignment="1">
      <alignment horizontal="center" vertical="center"/>
    </xf>
    <xf numFmtId="0" fontId="67" fillId="4" borderId="0" xfId="0" applyFont="1" applyFill="1" applyBorder="1" applyAlignment="1">
      <alignment horizontal="center" vertical="center"/>
    </xf>
    <xf numFmtId="0" fontId="67" fillId="4" borderId="6" xfId="0" applyFont="1" applyFill="1" applyBorder="1" applyAlignment="1">
      <alignment horizontal="center" vertical="center"/>
    </xf>
    <xf numFmtId="0" fontId="67" fillId="4" borderId="7" xfId="0" applyFont="1" applyFill="1" applyBorder="1" applyAlignment="1">
      <alignment horizontal="center" vertical="center"/>
    </xf>
    <xf numFmtId="0" fontId="67" fillId="4" borderId="8" xfId="0" applyFont="1" applyFill="1" applyBorder="1" applyAlignment="1">
      <alignment horizontal="center" vertical="center"/>
    </xf>
    <xf numFmtId="0" fontId="67" fillId="4" borderId="9" xfId="0" applyFont="1" applyFill="1" applyBorder="1" applyAlignment="1">
      <alignment horizontal="center" vertical="center"/>
    </xf>
    <xf numFmtId="0" fontId="67" fillId="4" borderId="50" xfId="0" applyFont="1" applyFill="1" applyBorder="1" applyAlignment="1">
      <alignment horizontal="center" vertical="justify"/>
    </xf>
    <xf numFmtId="0" fontId="67" fillId="4" borderId="13" xfId="0" applyFont="1" applyFill="1" applyBorder="1" applyAlignment="1">
      <alignment horizontal="center" vertical="justify"/>
    </xf>
    <xf numFmtId="0" fontId="68" fillId="0" borderId="1" xfId="0" applyFont="1" applyBorder="1" applyAlignment="1">
      <alignment horizontal="justify" vertical="center"/>
    </xf>
    <xf numFmtId="0" fontId="68" fillId="0" borderId="2" xfId="0" applyFont="1" applyBorder="1" applyAlignment="1">
      <alignment horizontal="justify" vertical="center"/>
    </xf>
    <xf numFmtId="0" fontId="68" fillId="0" borderId="3" xfId="0" applyFont="1" applyBorder="1" applyAlignment="1">
      <alignment horizontal="justify" vertical="center"/>
    </xf>
    <xf numFmtId="0" fontId="68" fillId="0" borderId="0" xfId="0" applyFont="1" applyBorder="1" applyAlignment="1">
      <alignment horizontal="left" vertical="center"/>
    </xf>
    <xf numFmtId="0" fontId="68" fillId="0" borderId="51" xfId="0" applyFont="1" applyBorder="1" applyAlignment="1">
      <alignment horizontal="left" vertical="center"/>
    </xf>
    <xf numFmtId="0" fontId="68" fillId="0" borderId="5" xfId="0" applyFont="1" applyBorder="1" applyAlignment="1">
      <alignment horizontal="left" vertical="center"/>
    </xf>
    <xf numFmtId="0" fontId="67" fillId="0" borderId="5" xfId="0" applyFont="1" applyBorder="1" applyAlignment="1">
      <alignment horizontal="left" vertical="center"/>
    </xf>
    <xf numFmtId="0" fontId="67" fillId="0" borderId="0" xfId="0" applyFont="1" applyBorder="1" applyAlignment="1">
      <alignment horizontal="left" vertical="center"/>
    </xf>
    <xf numFmtId="0" fontId="67" fillId="0" borderId="6" xfId="0" applyFont="1" applyBorder="1" applyAlignment="1">
      <alignment horizontal="left" vertical="center"/>
    </xf>
    <xf numFmtId="43" fontId="67" fillId="0" borderId="53" xfId="0" applyNumberFormat="1" applyFont="1" applyBorder="1" applyAlignment="1">
      <alignment horizontal="right" vertical="center"/>
    </xf>
    <xf numFmtId="0" fontId="68" fillId="0" borderId="0" xfId="0" applyFont="1" applyBorder="1" applyAlignment="1">
      <alignment vertical="center"/>
    </xf>
    <xf numFmtId="0" fontId="68" fillId="0" borderId="51" xfId="0" applyFont="1" applyBorder="1" applyAlignment="1">
      <alignment vertical="center"/>
    </xf>
    <xf numFmtId="43" fontId="68" fillId="0" borderId="53" xfId="0" applyNumberFormat="1" applyFont="1" applyBorder="1" applyAlignment="1" applyProtection="1">
      <alignment horizontal="right" vertical="center"/>
    </xf>
    <xf numFmtId="0" fontId="67" fillId="0" borderId="51" xfId="0" applyFont="1" applyBorder="1" applyAlignment="1">
      <alignment horizontal="left" vertical="center"/>
    </xf>
    <xf numFmtId="0" fontId="68" fillId="0" borderId="0" xfId="0" applyFont="1" applyAlignment="1">
      <alignment horizontal="left" vertical="center"/>
    </xf>
    <xf numFmtId="0" fontId="76" fillId="0" borderId="5" xfId="0" applyFont="1" applyBorder="1" applyAlignment="1">
      <alignment horizontal="left" vertical="center"/>
    </xf>
    <xf numFmtId="0" fontId="76" fillId="0" borderId="0" xfId="0" applyFont="1" applyBorder="1" applyAlignment="1">
      <alignment horizontal="left" vertical="center"/>
    </xf>
    <xf numFmtId="0" fontId="76" fillId="0" borderId="51" xfId="0" applyFont="1" applyBorder="1" applyAlignment="1">
      <alignment horizontal="left" vertical="center"/>
    </xf>
    <xf numFmtId="0" fontId="74" fillId="0" borderId="8" xfId="0" applyFont="1" applyBorder="1" applyAlignment="1">
      <alignment horizontal="left" vertical="center"/>
    </xf>
    <xf numFmtId="0" fontId="74" fillId="0" borderId="52" xfId="0" applyFont="1" applyBorder="1" applyAlignment="1">
      <alignment horizontal="left" vertical="center"/>
    </xf>
    <xf numFmtId="0" fontId="67" fillId="0" borderId="0" xfId="0" applyFont="1" applyAlignment="1">
      <alignment horizontal="left" vertical="center"/>
    </xf>
    <xf numFmtId="0" fontId="68" fillId="0" borderId="0" xfId="0" applyFont="1" applyBorder="1" applyAlignment="1">
      <alignment horizontal="left" vertical="justify"/>
    </xf>
    <xf numFmtId="0" fontId="68" fillId="0" borderId="51" xfId="0" applyFont="1" applyBorder="1" applyAlignment="1">
      <alignment horizontal="left" vertical="justify"/>
    </xf>
    <xf numFmtId="0" fontId="7" fillId="2" borderId="43" xfId="0" applyFont="1" applyFill="1" applyBorder="1" applyAlignment="1" applyProtection="1">
      <alignment horizontal="left" vertical="center"/>
      <protection locked="0"/>
    </xf>
    <xf numFmtId="0" fontId="7" fillId="2" borderId="22" xfId="0" applyFont="1" applyFill="1" applyBorder="1" applyAlignment="1" applyProtection="1">
      <alignment horizontal="left" vertical="center"/>
      <protection locked="0"/>
    </xf>
    <xf numFmtId="0" fontId="3" fillId="0" borderId="45"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12" fillId="0" borderId="8" xfId="0" applyFont="1" applyFill="1" applyBorder="1" applyAlignment="1" applyProtection="1">
      <alignment horizontal="left" vertical="center"/>
      <protection locked="0"/>
    </xf>
    <xf numFmtId="0" fontId="77" fillId="0" borderId="5" xfId="0" applyFont="1" applyBorder="1" applyAlignment="1">
      <alignment horizontal="left" vertical="center"/>
    </xf>
    <xf numFmtId="0" fontId="77" fillId="0" borderId="6" xfId="0" applyFont="1" applyBorder="1" applyAlignment="1">
      <alignment horizontal="left" vertical="center"/>
    </xf>
    <xf numFmtId="0" fontId="78" fillId="0" borderId="5" xfId="0" applyFont="1" applyBorder="1" applyAlignment="1">
      <alignment horizontal="left" vertical="center"/>
    </xf>
    <xf numFmtId="0" fontId="78" fillId="0" borderId="6" xfId="0" applyFont="1" applyBorder="1" applyAlignment="1">
      <alignment horizontal="left" vertical="center"/>
    </xf>
    <xf numFmtId="0" fontId="77" fillId="0" borderId="1" xfId="0" applyFont="1" applyFill="1" applyBorder="1" applyAlignment="1">
      <alignment horizontal="center" vertical="center"/>
    </xf>
    <xf numFmtId="0" fontId="77" fillId="0" borderId="3" xfId="0" applyFont="1" applyFill="1" applyBorder="1" applyAlignment="1">
      <alignment horizontal="center" vertical="center"/>
    </xf>
    <xf numFmtId="0" fontId="77" fillId="0" borderId="7" xfId="0" applyFont="1" applyFill="1" applyBorder="1" applyAlignment="1">
      <alignment horizontal="center" vertical="center"/>
    </xf>
    <xf numFmtId="0" fontId="77" fillId="0" borderId="9"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11" xfId="0" applyFont="1" applyFill="1" applyBorder="1" applyAlignment="1">
      <alignment horizontal="center" vertical="center"/>
    </xf>
    <xf numFmtId="0" fontId="77" fillId="0" borderId="12" xfId="0" applyFont="1" applyFill="1" applyBorder="1" applyAlignment="1">
      <alignment horizontal="center" vertical="center"/>
    </xf>
    <xf numFmtId="0" fontId="77" fillId="0" borderId="50" xfId="0" applyFont="1" applyFill="1" applyBorder="1" applyAlignment="1">
      <alignment horizontal="center" vertical="center"/>
    </xf>
    <xf numFmtId="0" fontId="77" fillId="0" borderId="13" xfId="0" applyFont="1" applyFill="1" applyBorder="1" applyAlignment="1">
      <alignment horizontal="center" vertical="center"/>
    </xf>
    <xf numFmtId="0" fontId="77" fillId="0" borderId="8" xfId="0" applyFont="1" applyFill="1" applyBorder="1" applyAlignment="1">
      <alignment horizontal="center" vertical="center"/>
    </xf>
    <xf numFmtId="0" fontId="77" fillId="0" borderId="5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1" xfId="0" applyFont="1" applyFill="1" applyBorder="1" applyAlignment="1">
      <alignment horizontal="center" vertical="center"/>
    </xf>
    <xf numFmtId="0" fontId="77" fillId="0" borderId="5"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51" xfId="0" applyFont="1" applyFill="1" applyBorder="1" applyAlignment="1">
      <alignment horizontal="center" vertical="center"/>
    </xf>
    <xf numFmtId="0" fontId="53" fillId="0" borderId="0" xfId="0" applyFont="1" applyFill="1" applyAlignment="1" applyProtection="1">
      <alignment horizontal="left" vertical="justify" indent="3"/>
      <protection locked="0"/>
    </xf>
    <xf numFmtId="0" fontId="55" fillId="0" borderId="0" xfId="0" applyFont="1" applyFill="1" applyAlignment="1" applyProtection="1">
      <alignment horizontal="left"/>
      <protection locked="0"/>
    </xf>
    <xf numFmtId="0" fontId="53" fillId="0" borderId="0" xfId="0" applyFont="1" applyFill="1" applyAlignment="1" applyProtection="1">
      <alignment horizontal="left"/>
      <protection locked="0"/>
    </xf>
    <xf numFmtId="0" fontId="3" fillId="0" borderId="45"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27" fillId="0" borderId="5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0" borderId="45"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2" fillId="0" borderId="45" xfId="0" applyFont="1" applyFill="1" applyBorder="1" applyAlignment="1" applyProtection="1">
      <alignment horizontal="center" vertical="center"/>
      <protection locked="0"/>
    </xf>
    <xf numFmtId="0" fontId="12" fillId="0" borderId="48" xfId="0" applyFont="1" applyFill="1" applyBorder="1" applyAlignment="1" applyProtection="1">
      <alignment horizontal="center" vertical="center"/>
      <protection locked="0"/>
    </xf>
    <xf numFmtId="4" fontId="12" fillId="0" borderId="8" xfId="0" applyNumberFormat="1" applyFont="1" applyFill="1" applyBorder="1" applyAlignment="1" applyProtection="1">
      <alignment horizontal="left" vertical="center"/>
      <protection locked="0"/>
    </xf>
    <xf numFmtId="0" fontId="27" fillId="0" borderId="1" xfId="0" applyFont="1" applyBorder="1" applyAlignment="1">
      <alignment horizontal="justify" vertical="center" wrapText="1"/>
    </xf>
    <xf numFmtId="0" fontId="27" fillId="0" borderId="54" xfId="0" applyFont="1" applyBorder="1" applyAlignment="1">
      <alignment horizontal="justify" vertical="center" wrapText="1"/>
    </xf>
    <xf numFmtId="0" fontId="27" fillId="0" borderId="5" xfId="0" applyFont="1" applyBorder="1" applyAlignment="1">
      <alignment horizontal="left" vertical="center" wrapText="1"/>
    </xf>
    <xf numFmtId="0" fontId="27" fillId="0" borderId="51" xfId="0" applyFont="1" applyBorder="1" applyAlignment="1">
      <alignment horizontal="left" vertical="center" wrapText="1"/>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1"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5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5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7" fillId="0" borderId="0" xfId="0" applyFont="1" applyFill="1" applyBorder="1" applyAlignment="1">
      <alignment horizontal="center" vertical="center"/>
    </xf>
    <xf numFmtId="0" fontId="12" fillId="0" borderId="8" xfId="0" applyFont="1" applyFill="1" applyBorder="1" applyAlignment="1">
      <alignment horizontal="left" vertical="center"/>
    </xf>
    <xf numFmtId="0" fontId="5" fillId="0" borderId="8" xfId="0" applyFont="1" applyBorder="1" applyAlignment="1">
      <alignment horizontal="center" vertical="center"/>
    </xf>
    <xf numFmtId="0" fontId="67" fillId="6" borderId="50" xfId="0" applyFont="1" applyFill="1" applyBorder="1" applyAlignment="1">
      <alignment horizontal="center" vertical="center"/>
    </xf>
    <xf numFmtId="0" fontId="67" fillId="6" borderId="13" xfId="0" applyFont="1" applyFill="1" applyBorder="1" applyAlignment="1">
      <alignment horizontal="center" vertical="center"/>
    </xf>
    <xf numFmtId="0" fontId="67" fillId="6" borderId="10" xfId="0" applyFont="1" applyFill="1" applyBorder="1" applyAlignment="1">
      <alignment horizontal="center" vertical="center" wrapText="1"/>
    </xf>
    <xf numFmtId="0" fontId="67" fillId="6" borderId="11" xfId="0" applyFont="1" applyFill="1" applyBorder="1" applyAlignment="1">
      <alignment horizontal="center" vertical="center" wrapText="1"/>
    </xf>
    <xf numFmtId="0" fontId="67" fillId="6" borderId="12" xfId="0" applyFont="1" applyFill="1" applyBorder="1" applyAlignment="1">
      <alignment horizontal="center" vertical="center" wrapText="1"/>
    </xf>
    <xf numFmtId="0" fontId="67" fillId="6" borderId="50" xfId="0" applyFont="1" applyFill="1" applyBorder="1" applyAlignment="1">
      <alignment horizontal="center" vertical="center" wrapText="1"/>
    </xf>
    <xf numFmtId="0" fontId="67" fillId="6" borderId="13"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11" fillId="0" borderId="0" xfId="0" applyFont="1" applyAlignment="1" applyProtection="1">
      <alignment horizontal="center"/>
      <protection locked="0"/>
    </xf>
    <xf numFmtId="0" fontId="41" fillId="2" borderId="32" xfId="0" applyFont="1" applyFill="1" applyBorder="1" applyAlignment="1" applyProtection="1">
      <alignment horizontal="center" vertical="center"/>
      <protection locked="0"/>
    </xf>
    <xf numFmtId="0" fontId="41" fillId="2" borderId="33" xfId="0" applyFont="1" applyFill="1" applyBorder="1" applyAlignment="1" applyProtection="1">
      <alignment horizontal="center" vertical="center"/>
      <protection locked="0"/>
    </xf>
    <xf numFmtId="0" fontId="41" fillId="2" borderId="34" xfId="0" applyFont="1" applyFill="1" applyBorder="1" applyAlignment="1" applyProtection="1">
      <alignment horizontal="center" vertical="center"/>
      <protection locked="0"/>
    </xf>
    <xf numFmtId="0" fontId="40" fillId="0" borderId="0" xfId="0" applyFont="1" applyAlignment="1" applyProtection="1">
      <alignment horizontal="center"/>
      <protection locked="0"/>
    </xf>
    <xf numFmtId="0" fontId="41" fillId="0" borderId="1" xfId="0" applyFont="1" applyBorder="1" applyAlignment="1" applyProtection="1">
      <alignment horizontal="center" vertical="center"/>
      <protection locked="0"/>
    </xf>
    <xf numFmtId="0" fontId="41" fillId="0" borderId="27"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2" borderId="29" xfId="0" applyFont="1" applyFill="1" applyBorder="1" applyAlignment="1" applyProtection="1">
      <alignment horizontal="center" vertical="center"/>
      <protection locked="0"/>
    </xf>
    <xf numFmtId="0" fontId="41" fillId="2" borderId="30" xfId="0" applyFont="1" applyFill="1" applyBorder="1" applyAlignment="1" applyProtection="1">
      <alignment horizontal="center" vertical="center"/>
      <protection locked="0"/>
    </xf>
    <xf numFmtId="0" fontId="41" fillId="2" borderId="31" xfId="0" applyFont="1" applyFill="1" applyBorder="1" applyAlignment="1" applyProtection="1">
      <alignment horizontal="center" vertical="center"/>
      <protection locked="0"/>
    </xf>
    <xf numFmtId="0" fontId="40" fillId="0" borderId="0" xfId="0" applyFont="1" applyAlignment="1" applyProtection="1">
      <alignment horizontal="left"/>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23"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2" fillId="0" borderId="8" xfId="0" applyFont="1" applyFill="1" applyBorder="1" applyAlignment="1" applyProtection="1">
      <alignment horizontal="left" vertical="center"/>
    </xf>
    <xf numFmtId="0" fontId="11" fillId="0" borderId="0" xfId="0" applyFont="1" applyFill="1" applyAlignment="1">
      <alignment horizontal="center" vertical="center" wrapText="1"/>
    </xf>
    <xf numFmtId="0" fontId="40" fillId="0" borderId="0" xfId="0" applyFont="1" applyFill="1" applyAlignment="1">
      <alignment horizontal="center"/>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40" fillId="0" borderId="0" xfId="0" applyFont="1" applyAlignment="1" applyProtection="1">
      <alignment horizontal="center" vertical="center"/>
      <protection locked="0"/>
    </xf>
    <xf numFmtId="0" fontId="40" fillId="0" borderId="0" xfId="0" applyFont="1" applyFill="1" applyBorder="1" applyAlignment="1" applyProtection="1">
      <alignment horizontal="center" vertical="top"/>
    </xf>
    <xf numFmtId="0" fontId="43" fillId="0" borderId="0" xfId="0" applyFont="1" applyFill="1" applyBorder="1" applyAlignment="1" applyProtection="1">
      <alignment horizontal="center" vertical="top"/>
    </xf>
    <xf numFmtId="0" fontId="80" fillId="0" borderId="0" xfId="0" applyFont="1" applyAlignment="1" applyProtection="1">
      <alignment horizontal="justify" vertical="distributed" wrapText="1"/>
      <protection locked="0"/>
    </xf>
    <xf numFmtId="0" fontId="41" fillId="2" borderId="1" xfId="0" applyFont="1" applyFill="1" applyBorder="1" applyAlignment="1" applyProtection="1">
      <alignment horizontal="center" vertical="center"/>
      <protection locked="0"/>
    </xf>
    <xf numFmtId="0" fontId="41" fillId="2" borderId="27"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8" xfId="0" applyFont="1" applyFill="1" applyBorder="1" applyAlignment="1" applyProtection="1">
      <alignment horizontal="center" vertical="center"/>
      <protection locked="0"/>
    </xf>
    <xf numFmtId="0" fontId="41" fillId="2" borderId="15"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protection locked="0"/>
    </xf>
    <xf numFmtId="0" fontId="41" fillId="2" borderId="9"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67" fillId="0" borderId="5" xfId="0" applyFont="1" applyBorder="1" applyAlignment="1">
      <alignment vertical="center"/>
    </xf>
    <xf numFmtId="0" fontId="67" fillId="0" borderId="7" xfId="0" applyFont="1" applyBorder="1" applyAlignment="1">
      <alignment vertical="center"/>
    </xf>
    <xf numFmtId="41" fontId="68" fillId="0" borderId="4" xfId="0" applyNumberFormat="1" applyFont="1" applyBorder="1" applyAlignment="1">
      <alignment horizontal="right" vertical="center"/>
    </xf>
    <xf numFmtId="0" fontId="68" fillId="0" borderId="5" xfId="0" applyFont="1" applyBorder="1" applyAlignment="1">
      <alignment vertical="center"/>
    </xf>
    <xf numFmtId="0" fontId="68" fillId="0" borderId="1" xfId="0" applyFont="1" applyBorder="1" applyAlignment="1">
      <alignment vertical="center"/>
    </xf>
    <xf numFmtId="0" fontId="68" fillId="0" borderId="3" xfId="0" applyFont="1" applyBorder="1" applyAlignment="1">
      <alignment vertical="center"/>
    </xf>
    <xf numFmtId="0" fontId="68" fillId="0" borderId="6" xfId="0" applyFont="1" applyBorder="1" applyAlignment="1">
      <alignment horizontal="left" vertical="center" indent="1"/>
    </xf>
    <xf numFmtId="0" fontId="67" fillId="6" borderId="1" xfId="0" applyFont="1" applyFill="1" applyBorder="1" applyAlignment="1">
      <alignment vertical="center"/>
    </xf>
    <xf numFmtId="0" fontId="67" fillId="6" borderId="3" xfId="0" applyFont="1" applyFill="1" applyBorder="1" applyAlignment="1">
      <alignment vertical="center"/>
    </xf>
    <xf numFmtId="0" fontId="67" fillId="6" borderId="7" xfId="0" applyFont="1" applyFill="1" applyBorder="1" applyAlignment="1">
      <alignment vertical="center"/>
    </xf>
    <xf numFmtId="0" fontId="67" fillId="6" borderId="9" xfId="0" applyFont="1" applyFill="1" applyBorder="1" applyAlignment="1">
      <alignment vertical="center"/>
    </xf>
    <xf numFmtId="0" fontId="67" fillId="6" borderId="50" xfId="0" applyFont="1" applyFill="1" applyBorder="1" applyAlignment="1">
      <alignment horizontal="center" vertical="justify"/>
    </xf>
    <xf numFmtId="0" fontId="67" fillId="6" borderId="13" xfId="0" applyFont="1" applyFill="1" applyBorder="1" applyAlignment="1">
      <alignment horizontal="center" vertical="justify"/>
    </xf>
    <xf numFmtId="0" fontId="67" fillId="0" borderId="6" xfId="0" applyFont="1" applyBorder="1" applyAlignment="1">
      <alignment vertical="center"/>
    </xf>
    <xf numFmtId="0" fontId="67" fillId="0" borderId="9" xfId="0" applyFont="1" applyBorder="1" applyAlignment="1">
      <alignment vertical="center"/>
    </xf>
    <xf numFmtId="41" fontId="67" fillId="0" borderId="4" xfId="0" applyNumberFormat="1" applyFont="1" applyBorder="1" applyAlignment="1">
      <alignment horizontal="right" vertical="center"/>
    </xf>
    <xf numFmtId="41" fontId="67" fillId="0" borderId="13" xfId="0" applyNumberFormat="1" applyFont="1" applyBorder="1" applyAlignment="1">
      <alignment horizontal="right" vertical="center"/>
    </xf>
    <xf numFmtId="0" fontId="67" fillId="0" borderId="5" xfId="0" applyFont="1" applyBorder="1" applyAlignment="1">
      <alignment vertical="center" wrapText="1"/>
    </xf>
    <xf numFmtId="0" fontId="66" fillId="4" borderId="0" xfId="0" applyFont="1" applyFill="1" applyBorder="1" applyAlignment="1">
      <alignment horizontal="center" vertical="center" wrapText="1"/>
    </xf>
    <xf numFmtId="0" fontId="68" fillId="0" borderId="5" xfId="0" applyFont="1" applyBorder="1" applyAlignment="1">
      <alignment vertical="center" wrapText="1"/>
    </xf>
    <xf numFmtId="0" fontId="68" fillId="0" borderId="11" xfId="0" applyFont="1" applyBorder="1" applyAlignment="1">
      <alignment vertical="center"/>
    </xf>
    <xf numFmtId="0" fontId="67" fillId="6" borderId="10" xfId="0" applyFont="1" applyFill="1" applyBorder="1" applyAlignment="1">
      <alignment vertical="center"/>
    </xf>
    <xf numFmtId="0" fontId="67" fillId="6" borderId="12" xfId="0" applyFont="1" applyFill="1" applyBorder="1" applyAlignment="1">
      <alignment vertical="center"/>
    </xf>
    <xf numFmtId="0" fontId="41" fillId="0" borderId="30" xfId="0" applyFont="1" applyFill="1" applyBorder="1" applyAlignment="1" applyProtection="1">
      <alignment horizontal="center" vertical="center"/>
      <protection locked="0"/>
    </xf>
    <xf numFmtId="0" fontId="41" fillId="2" borderId="35" xfId="0" applyFont="1" applyFill="1" applyBorder="1" applyAlignment="1" applyProtection="1">
      <alignment horizontal="center" vertical="center"/>
      <protection locked="0"/>
    </xf>
    <xf numFmtId="0" fontId="7" fillId="0" borderId="0" xfId="0" applyFont="1" applyAlignment="1" applyProtection="1">
      <alignment horizontal="center"/>
    </xf>
    <xf numFmtId="0" fontId="40" fillId="0" borderId="0" xfId="0" applyFont="1" applyAlignment="1" applyProtection="1">
      <alignment horizontal="center"/>
    </xf>
  </cellXfs>
  <cellStyles count="14">
    <cellStyle name="20% - Accent6" xfId="10"/>
    <cellStyle name="Euro" xfId="2"/>
    <cellStyle name="Euro 2" xfId="3"/>
    <cellStyle name="Euro 3" xfId="4"/>
    <cellStyle name="Hipervínculo" xfId="12" builtinId="8"/>
    <cellStyle name="Millares" xfId="13" builtinId="3"/>
    <cellStyle name="Millares 3" xfId="9"/>
    <cellStyle name="Moneda" xfId="8" builtinId="4"/>
    <cellStyle name="Normal" xfId="0" builtinId="0"/>
    <cellStyle name="Normal 2" xfId="1"/>
    <cellStyle name="Normal 3" xfId="7"/>
    <cellStyle name="Normal 4 8" xfId="11"/>
    <cellStyle name="Porcentaje" xfId="6" builtinId="5"/>
    <cellStyle name="Porcentual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66676</xdr:colOff>
      <xdr:row>0</xdr:row>
      <xdr:rowOff>0</xdr:rowOff>
    </xdr:from>
    <xdr:ext cx="858825" cy="254557"/>
    <xdr:sp macro="" textlink="">
      <xdr:nvSpPr>
        <xdr:cNvPr id="2" name="3 CuadroTexto">
          <a:extLst>
            <a:ext uri="{FF2B5EF4-FFF2-40B4-BE49-F238E27FC236}">
              <a16:creationId xmlns:a16="http://schemas.microsoft.com/office/drawing/2014/main" xmlns="" id="{00000000-0008-0000-0100-000002000000}"/>
            </a:ext>
          </a:extLst>
        </xdr:cNvPr>
        <xdr:cNvSpPr txBox="1"/>
      </xdr:nvSpPr>
      <xdr:spPr>
        <a:xfrm>
          <a:off x="9877426"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a:t>
          </a:r>
        </a:p>
      </xdr:txBody>
    </xdr:sp>
    <xdr:clientData/>
  </xdr:oneCellAnchor>
  <xdr:oneCellAnchor>
    <xdr:from>
      <xdr:col>3</xdr:col>
      <xdr:colOff>2486025</xdr:colOff>
      <xdr:row>3</xdr:row>
      <xdr:rowOff>123825</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8010525" y="7524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381000</xdr:colOff>
      <xdr:row>54</xdr:row>
      <xdr:rowOff>190500</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381000" y="130968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t>
          </a:r>
        </a:p>
      </xdr:txBody>
    </xdr:sp>
    <xdr:clientData/>
  </xdr:oneCellAnchor>
  <xdr:oneCellAnchor>
    <xdr:from>
      <xdr:col>7</xdr:col>
      <xdr:colOff>190500</xdr:colOff>
      <xdr:row>3</xdr:row>
      <xdr:rowOff>85725</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63341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24</xdr:row>
      <xdr:rowOff>95250</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0" y="65722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71948</xdr:colOff>
      <xdr:row>0</xdr:row>
      <xdr:rowOff>76200</xdr:rowOff>
    </xdr:from>
    <xdr:ext cx="874535" cy="254557"/>
    <xdr:sp macro="" textlink="">
      <xdr:nvSpPr>
        <xdr:cNvPr id="4" name="3 CuadroTexto">
          <a:extLst>
            <a:ext uri="{FF2B5EF4-FFF2-40B4-BE49-F238E27FC236}">
              <a16:creationId xmlns:a16="http://schemas.microsoft.com/office/drawing/2014/main" xmlns="" id="{00000000-0008-0000-0B00-000004000000}"/>
            </a:ext>
          </a:extLst>
        </xdr:cNvPr>
        <xdr:cNvSpPr txBox="1"/>
      </xdr:nvSpPr>
      <xdr:spPr>
        <a:xfrm>
          <a:off x="6654781" y="7620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ETCA-I-11</a:t>
          </a:r>
        </a:p>
      </xdr:txBody>
    </xdr:sp>
    <xdr:clientData/>
  </xdr:oneCellAnchor>
  <xdr:oneCellAnchor>
    <xdr:from>
      <xdr:col>7</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455084</xdr:colOff>
      <xdr:row>3</xdr:row>
      <xdr:rowOff>158750</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4720167" y="7937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45</xdr:row>
      <xdr:rowOff>84667</xdr:rowOff>
    </xdr:from>
    <xdr:ext cx="6867526" cy="866775"/>
    <xdr:sp macro="" textlink="">
      <xdr:nvSpPr>
        <xdr:cNvPr id="10" name="CuadroTexto 5">
          <a:extLst>
            <a:ext uri="{FF2B5EF4-FFF2-40B4-BE49-F238E27FC236}">
              <a16:creationId xmlns:a16="http://schemas.microsoft.com/office/drawing/2014/main" xmlns="" id="{00000000-0008-0000-0100-000006000000}"/>
            </a:ext>
          </a:extLst>
        </xdr:cNvPr>
        <xdr:cNvSpPr txBox="1"/>
      </xdr:nvSpPr>
      <xdr:spPr>
        <a:xfrm>
          <a:off x="0" y="933450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0</xdr:rowOff>
    </xdr:from>
    <xdr:ext cx="858825" cy="254557"/>
    <xdr:sp macro="" textlink="">
      <xdr:nvSpPr>
        <xdr:cNvPr id="4" name="3 CuadroTexto">
          <a:extLst>
            <a:ext uri="{FF2B5EF4-FFF2-40B4-BE49-F238E27FC236}">
              <a16:creationId xmlns:a16="http://schemas.microsoft.com/office/drawing/2014/main" xmlns="" id="{00000000-0008-0000-0C00-000004000000}"/>
            </a:ext>
          </a:extLst>
        </xdr:cNvPr>
        <xdr:cNvSpPr txBox="1"/>
      </xdr:nvSpPr>
      <xdr:spPr>
        <a:xfrm>
          <a:off x="611698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ETCA-I-12</a:t>
          </a:r>
        </a:p>
      </xdr:txBody>
    </xdr:sp>
    <xdr:clientData/>
  </xdr:oneCellAnchor>
  <xdr:oneCellAnchor>
    <xdr:from>
      <xdr:col>8</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228600</xdr:colOff>
      <xdr:row>3</xdr:row>
      <xdr:rowOff>133350</xdr:rowOff>
    </xdr:from>
    <xdr:ext cx="2790824" cy="254557"/>
    <xdr:sp macro="" textlink="">
      <xdr:nvSpPr>
        <xdr:cNvPr id="5" name="4 CuadroTexto">
          <a:extLst>
            <a:ext uri="{FF2B5EF4-FFF2-40B4-BE49-F238E27FC236}">
              <a16:creationId xmlns:a16="http://schemas.microsoft.com/office/drawing/2014/main" xmlns="" id="{00000000-0008-0000-0100-000005000000}"/>
            </a:ext>
          </a:extLst>
        </xdr:cNvPr>
        <xdr:cNvSpPr txBox="1"/>
      </xdr:nvSpPr>
      <xdr:spPr>
        <a:xfrm>
          <a:off x="423862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TRIMESTRE:______________</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 xmlns:a16="http://schemas.microsoft.com/office/drawing/2014/main"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 xmlns:a16="http://schemas.microsoft.com/office/drawing/2014/main"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987260</xdr:colOff>
      <xdr:row>0</xdr:row>
      <xdr:rowOff>0</xdr:rowOff>
    </xdr:from>
    <xdr:ext cx="898002" cy="254557"/>
    <xdr:sp macro="" textlink="">
      <xdr:nvSpPr>
        <xdr:cNvPr id="4" name="3 CuadroTexto">
          <a:extLst>
            <a:ext uri="{FF2B5EF4-FFF2-40B4-BE49-F238E27FC236}">
              <a16:creationId xmlns="" xmlns:a16="http://schemas.microsoft.com/office/drawing/2014/main" id="{00000000-0008-0000-0D00-000006000000}"/>
            </a:ext>
          </a:extLst>
        </xdr:cNvPr>
        <xdr:cNvSpPr txBox="1"/>
      </xdr:nvSpPr>
      <xdr:spPr>
        <a:xfrm>
          <a:off x="6892760" y="0"/>
          <a:ext cx="89800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a:t>
          </a:r>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 xmlns:a16="http://schemas.microsoft.com/office/drawing/2014/main" id="{00000000-0008-0000-0D00-000008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2 CuadroTexto">
          <a:extLst>
            <a:ext uri="{FF2B5EF4-FFF2-40B4-BE49-F238E27FC236}">
              <a16:creationId xmlns="" xmlns:a16="http://schemas.microsoft.com/office/drawing/2014/main" id="{00000000-0008-0000-0D00-000009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3</xdr:row>
      <xdr:rowOff>142875</xdr:rowOff>
    </xdr:from>
    <xdr:ext cx="184731" cy="264560"/>
    <xdr:sp macro="" textlink="">
      <xdr:nvSpPr>
        <xdr:cNvPr id="7" name="4 CuadroTexto">
          <a:extLst>
            <a:ext uri="{FF2B5EF4-FFF2-40B4-BE49-F238E27FC236}">
              <a16:creationId xmlns="" xmlns:a16="http://schemas.microsoft.com/office/drawing/2014/main" id="{00000000-0008-0000-0D00-00000A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47625</xdr:colOff>
      <xdr:row>3</xdr:row>
      <xdr:rowOff>133350</xdr:rowOff>
    </xdr:from>
    <xdr:ext cx="2790824" cy="254557"/>
    <xdr:sp macro="" textlink="">
      <xdr:nvSpPr>
        <xdr:cNvPr id="11" name="10 CuadroTexto">
          <a:extLst>
            <a:ext uri="{FF2B5EF4-FFF2-40B4-BE49-F238E27FC236}">
              <a16:creationId xmlns:a16="http://schemas.microsoft.com/office/drawing/2014/main" xmlns="" id="{00000000-0008-0000-0100-000005000000}"/>
            </a:ext>
          </a:extLst>
        </xdr:cNvPr>
        <xdr:cNvSpPr txBox="1"/>
      </xdr:nvSpPr>
      <xdr:spPr>
        <a:xfrm>
          <a:off x="5019675" y="7429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52</xdr:row>
      <xdr:rowOff>9525</xdr:rowOff>
    </xdr:from>
    <xdr:ext cx="6867526" cy="866775"/>
    <xdr:sp macro="" textlink="">
      <xdr:nvSpPr>
        <xdr:cNvPr id="12" name="CuadroTexto 5">
          <a:extLst>
            <a:ext uri="{FF2B5EF4-FFF2-40B4-BE49-F238E27FC236}">
              <a16:creationId xmlns:a16="http://schemas.microsoft.com/office/drawing/2014/main" xmlns="" id="{00000000-0008-0000-0100-000006000000}"/>
            </a:ext>
          </a:extLst>
        </xdr:cNvPr>
        <xdr:cNvSpPr txBox="1"/>
      </xdr:nvSpPr>
      <xdr:spPr>
        <a:xfrm>
          <a:off x="0" y="1207770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xmlns=""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ETCA-II-02</a:t>
          </a:r>
        </a:p>
      </xdr:txBody>
    </xdr:sp>
    <xdr:clientData/>
  </xdr:oneCellAnchor>
  <xdr:oneCellAnchor>
    <xdr:from>
      <xdr:col>5</xdr:col>
      <xdr:colOff>190499</xdr:colOff>
      <xdr:row>3</xdr:row>
      <xdr:rowOff>103188</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5214937" y="70643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2</xdr:col>
      <xdr:colOff>0</xdr:colOff>
      <xdr:row>83</xdr:row>
      <xdr:rowOff>0</xdr:rowOff>
    </xdr:from>
    <xdr:ext cx="6867526" cy="866775"/>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182563" y="15613063"/>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xmlns=""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ETCA-II-03</a:t>
          </a:r>
        </a:p>
      </xdr:txBody>
    </xdr:sp>
    <xdr:clientData/>
  </xdr:oneCellAnchor>
  <xdr:oneCellAnchor>
    <xdr:from>
      <xdr:col>3</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609600</xdr:colOff>
      <xdr:row>3</xdr:row>
      <xdr:rowOff>104775</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3619500" y="7143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25</xdr:row>
      <xdr:rowOff>47625</xdr:rowOff>
    </xdr:from>
    <xdr:ext cx="6457950" cy="1028700"/>
    <xdr:sp macro="" textlink="">
      <xdr:nvSpPr>
        <xdr:cNvPr id="9" name="CuadroTexto 5">
          <a:extLst>
            <a:ext uri="{FF2B5EF4-FFF2-40B4-BE49-F238E27FC236}">
              <a16:creationId xmlns:a16="http://schemas.microsoft.com/office/drawing/2014/main" xmlns="" id="{00000000-0008-0000-0100-000006000000}"/>
            </a:ext>
          </a:extLst>
        </xdr:cNvPr>
        <xdr:cNvSpPr txBox="1"/>
      </xdr:nvSpPr>
      <xdr:spPr>
        <a:xfrm>
          <a:off x="0" y="6076950"/>
          <a:ext cx="6457950" cy="1028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2" name="21 CuadroTexto">
          <a:extLst>
            <a:ext uri="{FF2B5EF4-FFF2-40B4-BE49-F238E27FC236}">
              <a16:creationId xmlns:a16="http://schemas.microsoft.com/office/drawing/2014/main" xmlns="" id="{00000000-0008-0000-1000-000002000000}"/>
            </a:ext>
          </a:extLst>
        </xdr:cNvPr>
        <xdr:cNvSpPr txBox="1"/>
      </xdr:nvSpPr>
      <xdr:spPr>
        <a:xfrm>
          <a:off x="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853910</xdr:colOff>
      <xdr:row>0</xdr:row>
      <xdr:rowOff>38100</xdr:rowOff>
    </xdr:from>
    <xdr:ext cx="898002" cy="247649"/>
    <xdr:sp macro="" textlink="">
      <xdr:nvSpPr>
        <xdr:cNvPr id="23" name="22 CuadroTexto">
          <a:extLst>
            <a:ext uri="{FF2B5EF4-FFF2-40B4-BE49-F238E27FC236}">
              <a16:creationId xmlns:a16="http://schemas.microsoft.com/office/drawing/2014/main" xmlns="" id="{00000000-0008-0000-1000-000003000000}"/>
            </a:ext>
          </a:extLst>
        </xdr:cNvPr>
        <xdr:cNvSpPr txBox="1"/>
      </xdr:nvSpPr>
      <xdr:spPr>
        <a:xfrm>
          <a:off x="7997660" y="38100"/>
          <a:ext cx="898002"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ETCA-II-04</a:t>
          </a:r>
        </a:p>
      </xdr:txBody>
    </xdr:sp>
    <xdr:clientData/>
  </xdr:oneCellAnchor>
  <xdr:oneCellAnchor>
    <xdr:from>
      <xdr:col>3</xdr:col>
      <xdr:colOff>781050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0100-000005000000}"/>
            </a:ext>
          </a:extLst>
        </xdr:cNvPr>
        <xdr:cNvSpPr txBox="1"/>
      </xdr:nvSpPr>
      <xdr:spPr>
        <a:xfrm>
          <a:off x="60960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84</xdr:row>
      <xdr:rowOff>0</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0" y="165639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xmlns="" id="{00000000-0008-0000-1100-000002000000}"/>
            </a:ext>
          </a:extLst>
        </xdr:cNvPr>
        <xdr:cNvSpPr txBox="1"/>
      </xdr:nvSpPr>
      <xdr:spPr>
        <a:xfrm>
          <a:off x="725805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ETCA-II-05</a:t>
          </a:r>
        </a:p>
      </xdr:txBody>
    </xdr:sp>
    <xdr:clientData/>
  </xdr:oneCellAnchor>
  <xdr:oneCellAnchor>
    <xdr:from>
      <xdr:col>4</xdr:col>
      <xdr:colOff>161925</xdr:colOff>
      <xdr:row>4</xdr:row>
      <xdr:rowOff>28575</xdr:rowOff>
    </xdr:from>
    <xdr:ext cx="2790824" cy="254557"/>
    <xdr:sp macro="" textlink="">
      <xdr:nvSpPr>
        <xdr:cNvPr id="5" name="4 CuadroTexto">
          <a:extLst>
            <a:ext uri="{FF2B5EF4-FFF2-40B4-BE49-F238E27FC236}">
              <a16:creationId xmlns:a16="http://schemas.microsoft.com/office/drawing/2014/main" xmlns="" id="{00000000-0008-0000-0100-000005000000}"/>
            </a:ext>
          </a:extLst>
        </xdr:cNvPr>
        <xdr:cNvSpPr txBox="1"/>
      </xdr:nvSpPr>
      <xdr:spPr>
        <a:xfrm>
          <a:off x="540067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1</xdr:col>
      <xdr:colOff>0</xdr:colOff>
      <xdr:row>164</xdr:row>
      <xdr:rowOff>0</xdr:rowOff>
    </xdr:from>
    <xdr:ext cx="6867526" cy="866775"/>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409575" y="313753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xmlns=""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ETCA-II-06</a:t>
          </a:r>
        </a:p>
      </xdr:txBody>
    </xdr:sp>
    <xdr:clientData/>
  </xdr:oneCellAnchor>
  <xdr:oneCellAnchor>
    <xdr:from>
      <xdr:col>1</xdr:col>
      <xdr:colOff>0</xdr:colOff>
      <xdr:row>29</xdr:row>
      <xdr:rowOff>0</xdr:rowOff>
    </xdr:from>
    <xdr:ext cx="184731" cy="264560"/>
    <xdr:sp macro="" textlink="">
      <xdr:nvSpPr>
        <xdr:cNvPr id="5" name="4 CuadroTexto">
          <a:extLst>
            <a:ext uri="{FF2B5EF4-FFF2-40B4-BE49-F238E27FC236}">
              <a16:creationId xmlns:a16="http://schemas.microsoft.com/office/drawing/2014/main" xmlns=""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29</xdr:row>
      <xdr:rowOff>0</xdr:rowOff>
    </xdr:from>
    <xdr:ext cx="184731" cy="264560"/>
    <xdr:sp macro="" textlink="">
      <xdr:nvSpPr>
        <xdr:cNvPr id="8" name="7 CuadroTexto">
          <a:extLst>
            <a:ext uri="{FF2B5EF4-FFF2-40B4-BE49-F238E27FC236}">
              <a16:creationId xmlns:a16="http://schemas.microsoft.com/office/drawing/2014/main" xmlns=""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29</xdr:row>
      <xdr:rowOff>0</xdr:rowOff>
    </xdr:from>
    <xdr:ext cx="184731" cy="254557"/>
    <xdr:sp macro="" textlink="">
      <xdr:nvSpPr>
        <xdr:cNvPr id="10" name="9 CuadroTexto">
          <a:extLst>
            <a:ext uri="{FF2B5EF4-FFF2-40B4-BE49-F238E27FC236}">
              <a16:creationId xmlns:a16="http://schemas.microsoft.com/office/drawing/2014/main" xmlns=""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4</xdr:row>
      <xdr:rowOff>142875</xdr:rowOff>
    </xdr:from>
    <xdr:ext cx="184731" cy="264560"/>
    <xdr:sp macro="" textlink="">
      <xdr:nvSpPr>
        <xdr:cNvPr id="9" name="1 CuadroTexto">
          <a:extLst>
            <a:ext uri="{FF2B5EF4-FFF2-40B4-BE49-F238E27FC236}">
              <a16:creationId xmlns:a16="http://schemas.microsoft.com/office/drawing/2014/main" xmlns=""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2" name="4 CuadroTexto">
          <a:extLst>
            <a:ext uri="{FF2B5EF4-FFF2-40B4-BE49-F238E27FC236}">
              <a16:creationId xmlns:a16="http://schemas.microsoft.com/office/drawing/2014/main" xmlns=""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800100</xdr:colOff>
      <xdr:row>4</xdr:row>
      <xdr:rowOff>161925</xdr:rowOff>
    </xdr:from>
    <xdr:ext cx="2790824" cy="254557"/>
    <xdr:sp macro="" textlink="">
      <xdr:nvSpPr>
        <xdr:cNvPr id="13" name="12 CuadroTexto">
          <a:extLst>
            <a:ext uri="{FF2B5EF4-FFF2-40B4-BE49-F238E27FC236}">
              <a16:creationId xmlns:a16="http://schemas.microsoft.com/office/drawing/2014/main" xmlns="" id="{00000000-0008-0000-0100-000005000000}"/>
            </a:ext>
          </a:extLst>
        </xdr:cNvPr>
        <xdr:cNvSpPr txBox="1"/>
      </xdr:nvSpPr>
      <xdr:spPr>
        <a:xfrm>
          <a:off x="4962525" y="9715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18</xdr:row>
      <xdr:rowOff>104775</xdr:rowOff>
    </xdr:from>
    <xdr:ext cx="6867526" cy="866775"/>
    <xdr:sp macro="" textlink="">
      <xdr:nvSpPr>
        <xdr:cNvPr id="15" name="CuadroTexto 5">
          <a:extLst>
            <a:ext uri="{FF2B5EF4-FFF2-40B4-BE49-F238E27FC236}">
              <a16:creationId xmlns:a16="http://schemas.microsoft.com/office/drawing/2014/main" xmlns="" id="{00000000-0008-0000-0100-000006000000}"/>
            </a:ext>
          </a:extLst>
        </xdr:cNvPr>
        <xdr:cNvSpPr txBox="1"/>
      </xdr:nvSpPr>
      <xdr:spPr>
        <a:xfrm>
          <a:off x="0" y="44291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3" name="2 CuadroTexto">
          <a:extLst>
            <a:ext uri="{FF2B5EF4-FFF2-40B4-BE49-F238E27FC236}">
              <a16:creationId xmlns:a16="http://schemas.microsoft.com/office/drawing/2014/main" xmlns=""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6" name="5 CuadroTexto">
          <a:extLst>
            <a:ext uri="{FF2B5EF4-FFF2-40B4-BE49-F238E27FC236}">
              <a16:creationId xmlns:a16="http://schemas.microsoft.com/office/drawing/2014/main" xmlns=""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xmlns=""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ETCA-II-07</a:t>
          </a:r>
        </a:p>
      </xdr:txBody>
    </xdr:sp>
    <xdr:clientData/>
  </xdr:oneCellAnchor>
  <xdr:oneCellAnchor>
    <xdr:from>
      <xdr:col>0</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8" name="4 CuadroTexto">
          <a:extLst>
            <a:ext uri="{FF2B5EF4-FFF2-40B4-BE49-F238E27FC236}">
              <a16:creationId xmlns:a16="http://schemas.microsoft.com/office/drawing/2014/main" xmlns=""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0" name="1 CuadroTexto">
          <a:extLst>
            <a:ext uri="{FF2B5EF4-FFF2-40B4-BE49-F238E27FC236}">
              <a16:creationId xmlns:a16="http://schemas.microsoft.com/office/drawing/2014/main" xmlns=""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1" name="1 CuadroTexto">
          <a:extLst>
            <a:ext uri="{FF2B5EF4-FFF2-40B4-BE49-F238E27FC236}">
              <a16:creationId xmlns:a16="http://schemas.microsoft.com/office/drawing/2014/main" xmlns=""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2" name="1 CuadroTexto">
          <a:extLst>
            <a:ext uri="{FF2B5EF4-FFF2-40B4-BE49-F238E27FC236}">
              <a16:creationId xmlns:a16="http://schemas.microsoft.com/office/drawing/2014/main" xmlns=""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3" name="1 CuadroTexto">
          <a:extLst>
            <a:ext uri="{FF2B5EF4-FFF2-40B4-BE49-F238E27FC236}">
              <a16:creationId xmlns:a16="http://schemas.microsoft.com/office/drawing/2014/main" xmlns=""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4" name="4 CuadroTexto">
          <a:extLst>
            <a:ext uri="{FF2B5EF4-FFF2-40B4-BE49-F238E27FC236}">
              <a16:creationId xmlns:a16="http://schemas.microsoft.com/office/drawing/2014/main" xmlns=""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5" name="1 CuadroTexto">
          <a:extLst>
            <a:ext uri="{FF2B5EF4-FFF2-40B4-BE49-F238E27FC236}">
              <a16:creationId xmlns:a16="http://schemas.microsoft.com/office/drawing/2014/main" xmlns=""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6" name="1 CuadroTexto">
          <a:extLst>
            <a:ext uri="{FF2B5EF4-FFF2-40B4-BE49-F238E27FC236}">
              <a16:creationId xmlns:a16="http://schemas.microsoft.com/office/drawing/2014/main" xmlns=""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7" name="1 CuadroTexto">
          <a:extLst>
            <a:ext uri="{FF2B5EF4-FFF2-40B4-BE49-F238E27FC236}">
              <a16:creationId xmlns:a16="http://schemas.microsoft.com/office/drawing/2014/main" xmlns=""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8" name="1 CuadroTexto">
          <a:extLst>
            <a:ext uri="{FF2B5EF4-FFF2-40B4-BE49-F238E27FC236}">
              <a16:creationId xmlns:a16="http://schemas.microsoft.com/office/drawing/2014/main" xmlns=""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9" name="4 CuadroTexto">
          <a:extLst>
            <a:ext uri="{FF2B5EF4-FFF2-40B4-BE49-F238E27FC236}">
              <a16:creationId xmlns:a16="http://schemas.microsoft.com/office/drawing/2014/main" xmlns=""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803413</xdr:colOff>
      <xdr:row>4</xdr:row>
      <xdr:rowOff>182217</xdr:rowOff>
    </xdr:from>
    <xdr:ext cx="2790824" cy="254557"/>
    <xdr:sp macro="" textlink="">
      <xdr:nvSpPr>
        <xdr:cNvPr id="32" name="31 CuadroTexto">
          <a:extLst>
            <a:ext uri="{FF2B5EF4-FFF2-40B4-BE49-F238E27FC236}">
              <a16:creationId xmlns:a16="http://schemas.microsoft.com/office/drawing/2014/main" xmlns="" id="{00000000-0008-0000-0100-000005000000}"/>
            </a:ext>
          </a:extLst>
        </xdr:cNvPr>
        <xdr:cNvSpPr txBox="1"/>
      </xdr:nvSpPr>
      <xdr:spPr>
        <a:xfrm>
          <a:off x="5284304" y="101047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16565</xdr:colOff>
      <xdr:row>32</xdr:row>
      <xdr:rowOff>140805</xdr:rowOff>
    </xdr:from>
    <xdr:ext cx="6867526" cy="866775"/>
    <xdr:sp macro="" textlink="">
      <xdr:nvSpPr>
        <xdr:cNvPr id="33" name="CuadroTexto 5">
          <a:extLst>
            <a:ext uri="{FF2B5EF4-FFF2-40B4-BE49-F238E27FC236}">
              <a16:creationId xmlns:a16="http://schemas.microsoft.com/office/drawing/2014/main" xmlns="" id="{00000000-0008-0000-0100-000006000000}"/>
            </a:ext>
          </a:extLst>
        </xdr:cNvPr>
        <xdr:cNvSpPr txBox="1"/>
      </xdr:nvSpPr>
      <xdr:spPr>
        <a:xfrm>
          <a:off x="16565" y="8456544"/>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xmlns=""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ETCA-I-02</a:t>
          </a:r>
        </a:p>
      </xdr:txBody>
    </xdr:sp>
    <xdr:clientData/>
  </xdr:oneCellAnchor>
  <xdr:oneCellAnchor>
    <xdr:from>
      <xdr:col>4</xdr:col>
      <xdr:colOff>1695450</xdr:colOff>
      <xdr:row>3</xdr:row>
      <xdr:rowOff>9525</xdr:rowOff>
    </xdr:from>
    <xdr:ext cx="2790824" cy="254557"/>
    <xdr:sp macro="" textlink="">
      <xdr:nvSpPr>
        <xdr:cNvPr id="9" name="8 CuadroTexto">
          <a:extLst>
            <a:ext uri="{FF2B5EF4-FFF2-40B4-BE49-F238E27FC236}">
              <a16:creationId xmlns:a16="http://schemas.microsoft.com/office/drawing/2014/main" xmlns="" id="{00000000-0008-0000-0100-000005000000}"/>
            </a:ext>
          </a:extLst>
        </xdr:cNvPr>
        <xdr:cNvSpPr txBox="1"/>
      </xdr:nvSpPr>
      <xdr:spPr>
        <a:xfrm>
          <a:off x="6334125" y="571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a:t>
          </a:r>
          <a:endParaRPr lang="es-MX" sz="1100" b="1">
            <a:latin typeface="Arial" pitchFamily="34" charset="0"/>
            <a:cs typeface="Arial" pitchFamily="34" charset="0"/>
          </a:endParaRPr>
        </a:p>
      </xdr:txBody>
    </xdr:sp>
    <xdr:clientData/>
  </xdr:oneCellAnchor>
  <xdr:oneCellAnchor>
    <xdr:from>
      <xdr:col>0</xdr:col>
      <xdr:colOff>133350</xdr:colOff>
      <xdr:row>76</xdr:row>
      <xdr:rowOff>28575</xdr:rowOff>
    </xdr:from>
    <xdr:ext cx="6867526" cy="866775"/>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133350" y="168973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5</xdr:col>
      <xdr:colOff>685801</xdr:colOff>
      <xdr:row>0</xdr:row>
      <xdr:rowOff>19050</xdr:rowOff>
    </xdr:from>
    <xdr:ext cx="1228724" cy="266700"/>
    <xdr:sp macro="" textlink="">
      <xdr:nvSpPr>
        <xdr:cNvPr id="3" name="2 CuadroTexto">
          <a:extLst>
            <a:ext uri="{FF2B5EF4-FFF2-40B4-BE49-F238E27FC236}">
              <a16:creationId xmlns:a16="http://schemas.microsoft.com/office/drawing/2014/main" xmlns="" id="{00000000-0008-0000-1400-000003000000}"/>
            </a:ext>
          </a:extLst>
        </xdr:cNvPr>
        <xdr:cNvSpPr txBox="1"/>
      </xdr:nvSpPr>
      <xdr:spPr>
        <a:xfrm>
          <a:off x="6219826" y="19050"/>
          <a:ext cx="1228724"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ETCA-II-08</a:t>
          </a:r>
        </a:p>
      </xdr:txBody>
    </xdr:sp>
    <xdr:clientData/>
  </xdr:oneCellAnchor>
  <xdr:oneCellAnchor>
    <xdr:from>
      <xdr:col>3</xdr:col>
      <xdr:colOff>762000</xdr:colOff>
      <xdr:row>4</xdr:row>
      <xdr:rowOff>114300</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4610100" y="8382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34</xdr:row>
      <xdr:rowOff>114300</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0" y="67151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3" name="2 CuadroTexto">
          <a:extLst>
            <a:ext uri="{FF2B5EF4-FFF2-40B4-BE49-F238E27FC236}">
              <a16:creationId xmlns:a16="http://schemas.microsoft.com/office/drawing/2014/main" xmlns=""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4" name="5 CuadroTexto">
          <a:extLst>
            <a:ext uri="{FF2B5EF4-FFF2-40B4-BE49-F238E27FC236}">
              <a16:creationId xmlns:a16="http://schemas.microsoft.com/office/drawing/2014/main" xmlns=""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xmlns=""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t>
          </a:r>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2" name="1 CuadroTexto">
          <a:extLst>
            <a:ext uri="{FF2B5EF4-FFF2-40B4-BE49-F238E27FC236}">
              <a16:creationId xmlns:a16="http://schemas.microsoft.com/office/drawing/2014/main" xmlns=""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5" name="4 CuadroTexto">
          <a:extLst>
            <a:ext uri="{FF2B5EF4-FFF2-40B4-BE49-F238E27FC236}">
              <a16:creationId xmlns:a16="http://schemas.microsoft.com/office/drawing/2014/main" xmlns=""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6" name="1 CuadroTexto">
          <a:extLst>
            <a:ext uri="{FF2B5EF4-FFF2-40B4-BE49-F238E27FC236}">
              <a16:creationId xmlns:a16="http://schemas.microsoft.com/office/drawing/2014/main" xmlns=""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7" name="1 CuadroTexto">
          <a:extLst>
            <a:ext uri="{FF2B5EF4-FFF2-40B4-BE49-F238E27FC236}">
              <a16:creationId xmlns:a16="http://schemas.microsoft.com/office/drawing/2014/main" xmlns=""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8" name="1 CuadroTexto">
          <a:extLst>
            <a:ext uri="{FF2B5EF4-FFF2-40B4-BE49-F238E27FC236}">
              <a16:creationId xmlns:a16="http://schemas.microsoft.com/office/drawing/2014/main" xmlns=""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9" name="1 CuadroTexto">
          <a:extLst>
            <a:ext uri="{FF2B5EF4-FFF2-40B4-BE49-F238E27FC236}">
              <a16:creationId xmlns:a16="http://schemas.microsoft.com/office/drawing/2014/main" xmlns=""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20</xdr:row>
      <xdr:rowOff>0</xdr:rowOff>
    </xdr:from>
    <xdr:ext cx="184731" cy="264560"/>
    <xdr:sp macro="" textlink="">
      <xdr:nvSpPr>
        <xdr:cNvPr id="20" name="4 CuadroTexto">
          <a:extLst>
            <a:ext uri="{FF2B5EF4-FFF2-40B4-BE49-F238E27FC236}">
              <a16:creationId xmlns:a16="http://schemas.microsoft.com/office/drawing/2014/main" xmlns=""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809625</xdr:colOff>
      <xdr:row>4</xdr:row>
      <xdr:rowOff>95250</xdr:rowOff>
    </xdr:from>
    <xdr:ext cx="2790824" cy="254557"/>
    <xdr:sp macro="" textlink="">
      <xdr:nvSpPr>
        <xdr:cNvPr id="23" name="22 CuadroTexto">
          <a:extLst>
            <a:ext uri="{FF2B5EF4-FFF2-40B4-BE49-F238E27FC236}">
              <a16:creationId xmlns:a16="http://schemas.microsoft.com/office/drawing/2014/main" xmlns="" id="{00000000-0008-0000-0100-000005000000}"/>
            </a:ext>
          </a:extLst>
        </xdr:cNvPr>
        <xdr:cNvSpPr txBox="1"/>
      </xdr:nvSpPr>
      <xdr:spPr>
        <a:xfrm>
          <a:off x="52959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16</xdr:row>
      <xdr:rowOff>171450</xdr:rowOff>
    </xdr:from>
    <xdr:ext cx="6867526" cy="866775"/>
    <xdr:sp macro="" textlink="">
      <xdr:nvSpPr>
        <xdr:cNvPr id="25" name="CuadroTexto 5">
          <a:extLst>
            <a:ext uri="{FF2B5EF4-FFF2-40B4-BE49-F238E27FC236}">
              <a16:creationId xmlns:a16="http://schemas.microsoft.com/office/drawing/2014/main" xmlns="" id="{00000000-0008-0000-0100-000006000000}"/>
            </a:ext>
          </a:extLst>
        </xdr:cNvPr>
        <xdr:cNvSpPr txBox="1"/>
      </xdr:nvSpPr>
      <xdr:spPr>
        <a:xfrm>
          <a:off x="0" y="53625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4" name="5 CuadroTexto">
          <a:extLst>
            <a:ext uri="{FF2B5EF4-FFF2-40B4-BE49-F238E27FC236}">
              <a16:creationId xmlns:a16="http://schemas.microsoft.com/office/drawing/2014/main" xmlns=""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xmlns=""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xmlns=""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xmlns=""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xmlns=""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xmlns=""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8" name="1 CuadroTexto">
          <a:extLst>
            <a:ext uri="{FF2B5EF4-FFF2-40B4-BE49-F238E27FC236}">
              <a16:creationId xmlns:a16="http://schemas.microsoft.com/office/drawing/2014/main" xmlns=""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9" name="1 CuadroTexto">
          <a:extLst>
            <a:ext uri="{FF2B5EF4-FFF2-40B4-BE49-F238E27FC236}">
              <a16:creationId xmlns:a16="http://schemas.microsoft.com/office/drawing/2014/main" xmlns=""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20" name="4 CuadroTexto">
          <a:extLst>
            <a:ext uri="{FF2B5EF4-FFF2-40B4-BE49-F238E27FC236}">
              <a16:creationId xmlns:a16="http://schemas.microsoft.com/office/drawing/2014/main" xmlns=""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xmlns=""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a:t>
          </a:r>
        </a:p>
      </xdr:txBody>
    </xdr:sp>
    <xdr:clientData/>
  </xdr:oneCellAnchor>
  <xdr:oneCellAnchor>
    <xdr:from>
      <xdr:col>3</xdr:col>
      <xdr:colOff>838200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0100-000005000000}"/>
            </a:ext>
          </a:extLst>
        </xdr:cNvPr>
        <xdr:cNvSpPr txBox="1"/>
      </xdr:nvSpPr>
      <xdr:spPr>
        <a:xfrm>
          <a:off x="5324475" y="9620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24</xdr:row>
      <xdr:rowOff>57150</xdr:rowOff>
    </xdr:from>
    <xdr:ext cx="6867526" cy="866775"/>
    <xdr:sp macro="" textlink="">
      <xdr:nvSpPr>
        <xdr:cNvPr id="24" name="CuadroTexto 5">
          <a:extLst>
            <a:ext uri="{FF2B5EF4-FFF2-40B4-BE49-F238E27FC236}">
              <a16:creationId xmlns:a16="http://schemas.microsoft.com/office/drawing/2014/main" xmlns="" id="{00000000-0008-0000-0100-000006000000}"/>
            </a:ext>
          </a:extLst>
        </xdr:cNvPr>
        <xdr:cNvSpPr txBox="1"/>
      </xdr:nvSpPr>
      <xdr:spPr>
        <a:xfrm>
          <a:off x="0" y="56673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4</xdr:row>
      <xdr:rowOff>142875</xdr:rowOff>
    </xdr:from>
    <xdr:ext cx="838200" cy="264560"/>
    <xdr:sp macro="" textlink="">
      <xdr:nvSpPr>
        <xdr:cNvPr id="12" name="5 CuadroTexto">
          <a:extLst>
            <a:ext uri="{FF2B5EF4-FFF2-40B4-BE49-F238E27FC236}">
              <a16:creationId xmlns:a16="http://schemas.microsoft.com/office/drawing/2014/main" xmlns="" id="{00000000-0008-0000-1700-000002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MX" sz="1100"/>
            <a:t>(PESOS)</a:t>
          </a:r>
        </a:p>
      </xdr:txBody>
    </xdr:sp>
    <xdr:clientData/>
  </xdr:oneCellAnchor>
  <xdr:oneCellAnchor>
    <xdr:from>
      <xdr:col>1</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700-000003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700-000004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700-000005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700-000006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7" name="4 CuadroTexto">
          <a:extLst>
            <a:ext uri="{FF2B5EF4-FFF2-40B4-BE49-F238E27FC236}">
              <a16:creationId xmlns:a16="http://schemas.microsoft.com/office/drawing/2014/main" xmlns="" id="{00000000-0008-0000-1700-000007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18" name="11 CuadroTexto">
          <a:extLst>
            <a:ext uri="{FF2B5EF4-FFF2-40B4-BE49-F238E27FC236}">
              <a16:creationId xmlns:a16="http://schemas.microsoft.com/office/drawing/2014/main" xmlns="" id="{00000000-0008-0000-1700-000008000000}"/>
            </a:ext>
          </a:extLst>
        </xdr:cNvPr>
        <xdr:cNvSpPr txBox="1"/>
      </xdr:nvSpPr>
      <xdr:spPr>
        <a:xfrm>
          <a:off x="54801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a:t>
          </a:r>
        </a:p>
      </xdr:txBody>
    </xdr:sp>
    <xdr:clientData/>
  </xdr:oneCellAnchor>
  <xdr:oneCellAnchor>
    <xdr:from>
      <xdr:col>3</xdr:col>
      <xdr:colOff>219075</xdr:colOff>
      <xdr:row>4</xdr:row>
      <xdr:rowOff>152400</xdr:rowOff>
    </xdr:from>
    <xdr:ext cx="2790824" cy="254557"/>
    <xdr:sp macro="" textlink="">
      <xdr:nvSpPr>
        <xdr:cNvPr id="21" name="20 CuadroTexto">
          <a:extLst>
            <a:ext uri="{FF2B5EF4-FFF2-40B4-BE49-F238E27FC236}">
              <a16:creationId xmlns:a16="http://schemas.microsoft.com/office/drawing/2014/main" xmlns="" id="{00000000-0008-0000-0100-000005000000}"/>
            </a:ext>
          </a:extLst>
        </xdr:cNvPr>
        <xdr:cNvSpPr txBox="1"/>
      </xdr:nvSpPr>
      <xdr:spPr>
        <a:xfrm>
          <a:off x="4171950"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46</xdr:row>
      <xdr:rowOff>161925</xdr:rowOff>
    </xdr:from>
    <xdr:ext cx="6867526" cy="866775"/>
    <xdr:sp macro="" textlink="">
      <xdr:nvSpPr>
        <xdr:cNvPr id="22" name="CuadroTexto 5">
          <a:extLst>
            <a:ext uri="{FF2B5EF4-FFF2-40B4-BE49-F238E27FC236}">
              <a16:creationId xmlns:a16="http://schemas.microsoft.com/office/drawing/2014/main" xmlns="" id="{00000000-0008-0000-0100-000006000000}"/>
            </a:ext>
          </a:extLst>
        </xdr:cNvPr>
        <xdr:cNvSpPr txBox="1"/>
      </xdr:nvSpPr>
      <xdr:spPr>
        <a:xfrm>
          <a:off x="0" y="994410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0</xdr:row>
      <xdr:rowOff>0</xdr:rowOff>
    </xdr:from>
    <xdr:ext cx="923924" cy="333375"/>
    <xdr:sp macro="" textlink="">
      <xdr:nvSpPr>
        <xdr:cNvPr id="2" name="1 CuadroTexto">
          <a:extLst>
            <a:ext uri="{FF2B5EF4-FFF2-40B4-BE49-F238E27FC236}">
              <a16:creationId xmlns:a16="http://schemas.microsoft.com/office/drawing/2014/main" xmlns="" id="{00000000-0008-0000-1800-000002000000}"/>
            </a:ext>
          </a:extLst>
        </xdr:cNvPr>
        <xdr:cNvSpPr txBox="1"/>
      </xdr:nvSpPr>
      <xdr:spPr>
        <a:xfrm>
          <a:off x="7924800" y="0"/>
          <a:ext cx="923924" cy="3333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ETCA-II-12</a:t>
          </a:r>
        </a:p>
      </xdr:txBody>
    </xdr:sp>
    <xdr:clientData/>
  </xdr:oneCellAnchor>
  <xdr:oneCellAnchor>
    <xdr:from>
      <xdr:col>4</xdr:col>
      <xdr:colOff>171450</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60293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19050</xdr:colOff>
      <xdr:row>85</xdr:row>
      <xdr:rowOff>0</xdr:rowOff>
    </xdr:from>
    <xdr:ext cx="6867526" cy="866775"/>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19050" y="162401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xmlns=""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4" name="1 CuadroTexto">
          <a:extLst>
            <a:ext uri="{FF2B5EF4-FFF2-40B4-BE49-F238E27FC236}">
              <a16:creationId xmlns:a16="http://schemas.microsoft.com/office/drawing/2014/main" xmlns=""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5" name="4 CuadroTexto">
          <a:extLst>
            <a:ext uri="{FF2B5EF4-FFF2-40B4-BE49-F238E27FC236}">
              <a16:creationId xmlns:a16="http://schemas.microsoft.com/office/drawing/2014/main" xmlns=""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238125</xdr:colOff>
      <xdr:row>4</xdr:row>
      <xdr:rowOff>123825</xdr:rowOff>
    </xdr:from>
    <xdr:ext cx="2790824" cy="254557"/>
    <xdr:sp macro="" textlink="">
      <xdr:nvSpPr>
        <xdr:cNvPr id="10" name="9 CuadroTexto">
          <a:extLst>
            <a:ext uri="{FF2B5EF4-FFF2-40B4-BE49-F238E27FC236}">
              <a16:creationId xmlns:a16="http://schemas.microsoft.com/office/drawing/2014/main" xmlns="" id="{00000000-0008-0000-0100-000005000000}"/>
            </a:ext>
          </a:extLst>
        </xdr:cNvPr>
        <xdr:cNvSpPr txBox="1"/>
      </xdr:nvSpPr>
      <xdr:spPr>
        <a:xfrm>
          <a:off x="6124575"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2</xdr:col>
      <xdr:colOff>0</xdr:colOff>
      <xdr:row>4</xdr:row>
      <xdr:rowOff>142875</xdr:rowOff>
    </xdr:from>
    <xdr:ext cx="184731" cy="264560"/>
    <xdr:sp macro="" textlink="">
      <xdr:nvSpPr>
        <xdr:cNvPr id="11" name="10 CuadroTexto">
          <a:extLst>
            <a:ext uri="{FF2B5EF4-FFF2-40B4-BE49-F238E27FC236}">
              <a16:creationId xmlns="" xmlns:a16="http://schemas.microsoft.com/office/drawing/2014/main"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12" name="11 CuadroTexto">
          <a:extLst>
            <a:ext uri="{FF2B5EF4-FFF2-40B4-BE49-F238E27FC236}">
              <a16:creationId xmlns="" xmlns:a16="http://schemas.microsoft.com/office/drawing/2014/main"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13" name="1 CuadroTexto">
          <a:extLst>
            <a:ext uri="{FF2B5EF4-FFF2-40B4-BE49-F238E27FC236}">
              <a16:creationId xmlns="" xmlns:a16="http://schemas.microsoft.com/office/drawing/2014/main"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4" name="13 CuadroTexto">
          <a:extLst>
            <a:ext uri="{FF2B5EF4-FFF2-40B4-BE49-F238E27FC236}">
              <a16:creationId xmlns="" xmlns:a16="http://schemas.microsoft.com/office/drawing/2014/main"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xdr:row>
      <xdr:rowOff>142875</xdr:rowOff>
    </xdr:from>
    <xdr:ext cx="184731" cy="264560"/>
    <xdr:sp macro="" textlink="">
      <xdr:nvSpPr>
        <xdr:cNvPr id="16" name="15 CuadroTexto">
          <a:extLst>
            <a:ext uri="{FF2B5EF4-FFF2-40B4-BE49-F238E27FC236}">
              <a16:creationId xmlns="" xmlns:a16="http://schemas.microsoft.com/office/drawing/2014/main"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17" name="16 CuadroTexto">
          <a:extLst>
            <a:ext uri="{FF2B5EF4-FFF2-40B4-BE49-F238E27FC236}">
              <a16:creationId xmlns="" xmlns:a16="http://schemas.microsoft.com/office/drawing/2014/main"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18" name="1 CuadroTexto">
          <a:extLst>
            <a:ext uri="{FF2B5EF4-FFF2-40B4-BE49-F238E27FC236}">
              <a16:creationId xmlns="" xmlns:a16="http://schemas.microsoft.com/office/drawing/2014/main"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9" name="18 CuadroTexto">
          <a:extLst>
            <a:ext uri="{FF2B5EF4-FFF2-40B4-BE49-F238E27FC236}">
              <a16:creationId xmlns="" xmlns:a16="http://schemas.microsoft.com/office/drawing/2014/main"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181</xdr:row>
      <xdr:rowOff>0</xdr:rowOff>
    </xdr:from>
    <xdr:ext cx="6867526" cy="866775"/>
    <xdr:sp macro="" textlink="">
      <xdr:nvSpPr>
        <xdr:cNvPr id="20" name="CuadroTexto 5">
          <a:extLst>
            <a:ext uri="{FF2B5EF4-FFF2-40B4-BE49-F238E27FC236}">
              <a16:creationId xmlns="" xmlns:a16="http://schemas.microsoft.com/office/drawing/2014/main" id="{00000000-0008-0000-0100-000006000000}"/>
            </a:ext>
          </a:extLst>
        </xdr:cNvPr>
        <xdr:cNvSpPr txBox="1"/>
      </xdr:nvSpPr>
      <xdr:spPr>
        <a:xfrm>
          <a:off x="695325" y="427577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457201</xdr:colOff>
      <xdr:row>0</xdr:row>
      <xdr:rowOff>21668</xdr:rowOff>
    </xdr:from>
    <xdr:ext cx="1087426" cy="254557"/>
    <xdr:sp macro="" textlink="">
      <xdr:nvSpPr>
        <xdr:cNvPr id="2" name="3 CuadroTexto">
          <a:extLst>
            <a:ext uri="{FF2B5EF4-FFF2-40B4-BE49-F238E27FC236}">
              <a16:creationId xmlns:a16="http://schemas.microsoft.com/office/drawing/2014/main" xmlns="" id="{00000000-0008-0000-1A00-000002000000}"/>
            </a:ext>
          </a:extLst>
        </xdr:cNvPr>
        <xdr:cNvSpPr txBox="1"/>
      </xdr:nvSpPr>
      <xdr:spPr>
        <a:xfrm>
          <a:off x="5753101" y="21668"/>
          <a:ext cx="10874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ETCA-II-14</a:t>
          </a:r>
        </a:p>
      </xdr:txBody>
    </xdr:sp>
    <xdr:clientData/>
  </xdr:oneCellAnchor>
  <xdr:oneCellAnchor>
    <xdr:from>
      <xdr:col>3</xdr:col>
      <xdr:colOff>247650</xdr:colOff>
      <xdr:row>4</xdr:row>
      <xdr:rowOff>133350</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4019550"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36</xdr:row>
      <xdr:rowOff>9525</xdr:rowOff>
    </xdr:from>
    <xdr:ext cx="6867526" cy="866775"/>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0" y="73437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776459</xdr:colOff>
      <xdr:row>0</xdr:row>
      <xdr:rowOff>0</xdr:rowOff>
    </xdr:from>
    <xdr:ext cx="898003" cy="254557"/>
    <xdr:sp macro="" textlink="">
      <xdr:nvSpPr>
        <xdr:cNvPr id="4" name="3 CuadroTexto">
          <a:extLst>
            <a:ext uri="{FF2B5EF4-FFF2-40B4-BE49-F238E27FC236}">
              <a16:creationId xmlns:a16="http://schemas.microsoft.com/office/drawing/2014/main" xmlns="" id="{00000000-0008-0000-1B00-000004000000}"/>
            </a:ext>
          </a:extLst>
        </xdr:cNvPr>
        <xdr:cNvSpPr txBox="1"/>
      </xdr:nvSpPr>
      <xdr:spPr>
        <a:xfrm>
          <a:off x="6713709"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ETCA-II-15</a:t>
          </a:r>
        </a:p>
      </xdr:txBody>
    </xdr:sp>
    <xdr:clientData/>
  </xdr:oneCellAnchor>
  <xdr:oneCellAnchor>
    <xdr:from>
      <xdr:col>1</xdr:col>
      <xdr:colOff>0</xdr:colOff>
      <xdr:row>4</xdr:row>
      <xdr:rowOff>142875</xdr:rowOff>
    </xdr:from>
    <xdr:ext cx="184731" cy="264560"/>
    <xdr:sp macro="" textlink="">
      <xdr:nvSpPr>
        <xdr:cNvPr id="6" name="4 CuadroTexto">
          <a:extLst>
            <a:ext uri="{FF2B5EF4-FFF2-40B4-BE49-F238E27FC236}">
              <a16:creationId xmlns:a16="http://schemas.microsoft.com/office/drawing/2014/main" xmlns=""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3426892</xdr:colOff>
      <xdr:row>3</xdr:row>
      <xdr:rowOff>195723</xdr:rowOff>
    </xdr:from>
    <xdr:ext cx="647870" cy="239809"/>
    <xdr:sp macro="" textlink="">
      <xdr:nvSpPr>
        <xdr:cNvPr id="5" name="4 CuadroTexto">
          <a:extLst>
            <a:ext uri="{FF2B5EF4-FFF2-40B4-BE49-F238E27FC236}">
              <a16:creationId xmlns:a16="http://schemas.microsoft.com/office/drawing/2014/main" xmlns="" id="{00000000-0008-0000-1B00-000005000000}"/>
            </a:ext>
          </a:extLst>
        </xdr:cNvPr>
        <xdr:cNvSpPr txBox="1"/>
      </xdr:nvSpPr>
      <xdr:spPr>
        <a:xfrm>
          <a:off x="3426892" y="809556"/>
          <a:ext cx="64787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560917</xdr:colOff>
      <xdr:row>3</xdr:row>
      <xdr:rowOff>105834</xdr:rowOff>
    </xdr:from>
    <xdr:ext cx="2790824" cy="254557"/>
    <xdr:sp macro="" textlink="">
      <xdr:nvSpPr>
        <xdr:cNvPr id="10" name="9 CuadroTexto">
          <a:extLst>
            <a:ext uri="{FF2B5EF4-FFF2-40B4-BE49-F238E27FC236}">
              <a16:creationId xmlns:a16="http://schemas.microsoft.com/office/drawing/2014/main" xmlns="" id="{00000000-0008-0000-0100-000005000000}"/>
            </a:ext>
          </a:extLst>
        </xdr:cNvPr>
        <xdr:cNvSpPr txBox="1"/>
      </xdr:nvSpPr>
      <xdr:spPr>
        <a:xfrm>
          <a:off x="4783667" y="71966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40</xdr:row>
      <xdr:rowOff>0</xdr:rowOff>
    </xdr:from>
    <xdr:ext cx="6867526" cy="866775"/>
    <xdr:sp macro="" textlink="">
      <xdr:nvSpPr>
        <xdr:cNvPr id="11" name="CuadroTexto 5">
          <a:extLst>
            <a:ext uri="{FF2B5EF4-FFF2-40B4-BE49-F238E27FC236}">
              <a16:creationId xmlns:a16="http://schemas.microsoft.com/office/drawing/2014/main" xmlns="" id="{00000000-0008-0000-0100-000006000000}"/>
            </a:ext>
          </a:extLst>
        </xdr:cNvPr>
        <xdr:cNvSpPr txBox="1"/>
      </xdr:nvSpPr>
      <xdr:spPr>
        <a:xfrm>
          <a:off x="0" y="94964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115997</xdr:colOff>
      <xdr:row>0</xdr:row>
      <xdr:rowOff>0</xdr:rowOff>
    </xdr:from>
    <xdr:ext cx="913712" cy="254557"/>
    <xdr:sp macro="" textlink="">
      <xdr:nvSpPr>
        <xdr:cNvPr id="4" name="2 CuadroTexto">
          <a:extLst>
            <a:ext uri="{FF2B5EF4-FFF2-40B4-BE49-F238E27FC236}">
              <a16:creationId xmlns:a16="http://schemas.microsoft.com/office/drawing/2014/main" xmlns="" id="{00000000-0008-0000-1C00-000004000000}"/>
            </a:ext>
          </a:extLst>
        </xdr:cNvPr>
        <xdr:cNvSpPr txBox="1"/>
      </xdr:nvSpPr>
      <xdr:spPr>
        <a:xfrm>
          <a:off x="5411897"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ETCA-II-16</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514350</xdr:colOff>
      <xdr:row>3</xdr:row>
      <xdr:rowOff>152400</xdr:rowOff>
    </xdr:from>
    <xdr:ext cx="2790824" cy="254557"/>
    <xdr:sp macro="" textlink="">
      <xdr:nvSpPr>
        <xdr:cNvPr id="10" name="9 CuadroTexto">
          <a:extLst>
            <a:ext uri="{FF2B5EF4-FFF2-40B4-BE49-F238E27FC236}">
              <a16:creationId xmlns:a16="http://schemas.microsoft.com/office/drawing/2014/main" xmlns="" id="{00000000-0008-0000-0100-000005000000}"/>
            </a:ext>
          </a:extLst>
        </xdr:cNvPr>
        <xdr:cNvSpPr txBox="1"/>
      </xdr:nvSpPr>
      <xdr:spPr>
        <a:xfrm>
          <a:off x="3581400"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32</xdr:row>
      <xdr:rowOff>200025</xdr:rowOff>
    </xdr:from>
    <xdr:ext cx="6505575"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0" y="8839200"/>
          <a:ext cx="6505575"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752055</xdr:colOff>
      <xdr:row>0</xdr:row>
      <xdr:rowOff>0</xdr:rowOff>
    </xdr:from>
    <xdr:ext cx="913712" cy="254557"/>
    <xdr:sp macro="" textlink="">
      <xdr:nvSpPr>
        <xdr:cNvPr id="4" name="2 CuadroTexto">
          <a:extLst>
            <a:ext uri="{FF2B5EF4-FFF2-40B4-BE49-F238E27FC236}">
              <a16:creationId xmlns:a16="http://schemas.microsoft.com/office/drawing/2014/main" xmlns="" id="{00000000-0008-0000-1D00-000004000000}"/>
            </a:ext>
          </a:extLst>
        </xdr:cNvPr>
        <xdr:cNvSpPr txBox="1"/>
      </xdr:nvSpPr>
      <xdr:spPr>
        <a:xfrm>
          <a:off x="5525138"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ETCA-II-17</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582083</xdr:colOff>
      <xdr:row>3</xdr:row>
      <xdr:rowOff>201084</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364066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34</xdr:row>
      <xdr:rowOff>105833</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0" y="7884583"/>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245349</xdr:colOff>
      <xdr:row>0</xdr:row>
      <xdr:rowOff>63500</xdr:rowOff>
    </xdr:from>
    <xdr:ext cx="858825" cy="254557"/>
    <xdr:sp macro="" textlink="">
      <xdr:nvSpPr>
        <xdr:cNvPr id="8" name="3 CuadroTexto">
          <a:extLst>
            <a:ext uri="{FF2B5EF4-FFF2-40B4-BE49-F238E27FC236}">
              <a16:creationId xmlns:a16="http://schemas.microsoft.com/office/drawing/2014/main" xmlns="" id="{00000000-0008-0000-0300-000008000000}"/>
            </a:ext>
          </a:extLst>
        </xdr:cNvPr>
        <xdr:cNvSpPr txBox="1"/>
      </xdr:nvSpPr>
      <xdr:spPr>
        <a:xfrm>
          <a:off x="8362766" y="635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1</xdr:col>
      <xdr:colOff>6318250</xdr:colOff>
      <xdr:row>3</xdr:row>
      <xdr:rowOff>116416</xdr:rowOff>
    </xdr:from>
    <xdr:ext cx="2790824" cy="254557"/>
    <xdr:sp macro="" textlink="">
      <xdr:nvSpPr>
        <xdr:cNvPr id="9" name="8 CuadroTexto">
          <a:extLst>
            <a:ext uri="{FF2B5EF4-FFF2-40B4-BE49-F238E27FC236}">
              <a16:creationId xmlns:a16="http://schemas.microsoft.com/office/drawing/2014/main" xmlns="" id="{00000000-0008-0000-0100-000005000000}"/>
            </a:ext>
          </a:extLst>
        </xdr:cNvPr>
        <xdr:cNvSpPr txBox="1"/>
      </xdr:nvSpPr>
      <xdr:spPr>
        <a:xfrm>
          <a:off x="6434667" y="772583"/>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68</xdr:row>
      <xdr:rowOff>179916</xdr:rowOff>
    </xdr:from>
    <xdr:ext cx="6867526" cy="866775"/>
    <xdr:sp macro="" textlink="">
      <xdr:nvSpPr>
        <xdr:cNvPr id="12" name="CuadroTexto 5">
          <a:extLst>
            <a:ext uri="{FF2B5EF4-FFF2-40B4-BE49-F238E27FC236}">
              <a16:creationId xmlns:a16="http://schemas.microsoft.com/office/drawing/2014/main" xmlns="" id="{00000000-0008-0000-0100-000006000000}"/>
            </a:ext>
          </a:extLst>
        </xdr:cNvPr>
        <xdr:cNvSpPr txBox="1"/>
      </xdr:nvSpPr>
      <xdr:spPr>
        <a:xfrm>
          <a:off x="0" y="14869583"/>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7 CuadroTexto">
          <a:extLst>
            <a:ext uri="{FF2B5EF4-FFF2-40B4-BE49-F238E27FC236}">
              <a16:creationId xmlns:a16="http://schemas.microsoft.com/office/drawing/2014/main" xmlns=""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476250</xdr:colOff>
      <xdr:row>0</xdr:row>
      <xdr:rowOff>93592</xdr:rowOff>
    </xdr:from>
    <xdr:ext cx="1638301" cy="496957"/>
    <xdr:sp macro="" textlink="">
      <xdr:nvSpPr>
        <xdr:cNvPr id="3" name="11 CuadroTexto">
          <a:extLst>
            <a:ext uri="{FF2B5EF4-FFF2-40B4-BE49-F238E27FC236}">
              <a16:creationId xmlns:a16="http://schemas.microsoft.com/office/drawing/2014/main" xmlns="" id="{00000000-0008-0000-1E00-000003000000}"/>
            </a:ext>
          </a:extLst>
        </xdr:cNvPr>
        <xdr:cNvSpPr txBox="1"/>
      </xdr:nvSpPr>
      <xdr:spPr>
        <a:xfrm>
          <a:off x="5981700" y="93592"/>
          <a:ext cx="1638301" cy="4969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ETCA-III-01</a:t>
          </a:r>
        </a:p>
      </xdr:txBody>
    </xdr:sp>
    <xdr:clientData/>
  </xdr:oneCellAnchor>
  <xdr:oneCellAnchor>
    <xdr:from>
      <xdr:col>1</xdr:col>
      <xdr:colOff>0</xdr:colOff>
      <xdr:row>3</xdr:row>
      <xdr:rowOff>142875</xdr:rowOff>
    </xdr:from>
    <xdr:ext cx="184731" cy="264560"/>
    <xdr:sp macro="" textlink="">
      <xdr:nvSpPr>
        <xdr:cNvPr id="4" name="5 CuadroTexto">
          <a:extLst>
            <a:ext uri="{FF2B5EF4-FFF2-40B4-BE49-F238E27FC236}">
              <a16:creationId xmlns:a16="http://schemas.microsoft.com/office/drawing/2014/main" xmlns=""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8" name="1 CuadroTexto">
          <a:extLst>
            <a:ext uri="{FF2B5EF4-FFF2-40B4-BE49-F238E27FC236}">
              <a16:creationId xmlns:a16="http://schemas.microsoft.com/office/drawing/2014/main" xmlns=""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133350</xdr:colOff>
      <xdr:row>3</xdr:row>
      <xdr:rowOff>161925</xdr:rowOff>
    </xdr:from>
    <xdr:ext cx="2790824" cy="254557"/>
    <xdr:sp macro="" textlink="">
      <xdr:nvSpPr>
        <xdr:cNvPr id="12" name="11 CuadroTexto">
          <a:extLst>
            <a:ext uri="{FF2B5EF4-FFF2-40B4-BE49-F238E27FC236}">
              <a16:creationId xmlns:a16="http://schemas.microsoft.com/office/drawing/2014/main" xmlns="" id="{00000000-0008-0000-0100-000005000000}"/>
            </a:ext>
          </a:extLst>
        </xdr:cNvPr>
        <xdr:cNvSpPr txBox="1"/>
      </xdr:nvSpPr>
      <xdr:spPr>
        <a:xfrm>
          <a:off x="4886325"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41</xdr:row>
      <xdr:rowOff>0</xdr:rowOff>
    </xdr:from>
    <xdr:ext cx="6867526" cy="866775"/>
    <xdr:sp macro="" textlink="">
      <xdr:nvSpPr>
        <xdr:cNvPr id="13" name="CuadroTexto 5">
          <a:extLst>
            <a:ext uri="{FF2B5EF4-FFF2-40B4-BE49-F238E27FC236}">
              <a16:creationId xmlns:a16="http://schemas.microsoft.com/office/drawing/2014/main" xmlns="" id="{00000000-0008-0000-0100-000006000000}"/>
            </a:ext>
          </a:extLst>
        </xdr:cNvPr>
        <xdr:cNvSpPr txBox="1"/>
      </xdr:nvSpPr>
      <xdr:spPr>
        <a:xfrm>
          <a:off x="0" y="895350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xdr:col>
      <xdr:colOff>259911</xdr:colOff>
      <xdr:row>0</xdr:row>
      <xdr:rowOff>21167</xdr:rowOff>
    </xdr:from>
    <xdr:ext cx="952890" cy="254557"/>
    <xdr:sp macro="" textlink="">
      <xdr:nvSpPr>
        <xdr:cNvPr id="3" name="1 CuadroTexto">
          <a:extLst>
            <a:ext uri="{FF2B5EF4-FFF2-40B4-BE49-F238E27FC236}">
              <a16:creationId xmlns:a16="http://schemas.microsoft.com/office/drawing/2014/main" xmlns="" id="{00000000-0008-0000-2000-000003000000}"/>
            </a:ext>
          </a:extLst>
        </xdr:cNvPr>
        <xdr:cNvSpPr txBox="1"/>
      </xdr:nvSpPr>
      <xdr:spPr>
        <a:xfrm>
          <a:off x="5805578" y="21167"/>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ETCA-III-03</a:t>
          </a:r>
        </a:p>
      </xdr:txBody>
    </xdr:sp>
    <xdr:clientData/>
  </xdr:oneCellAnchor>
  <xdr:oneCellAnchor>
    <xdr:from>
      <xdr:col>3</xdr:col>
      <xdr:colOff>169333</xdr:colOff>
      <xdr:row>3</xdr:row>
      <xdr:rowOff>179917</xdr:rowOff>
    </xdr:from>
    <xdr:ext cx="2790824" cy="254557"/>
    <xdr:sp macro="" textlink="">
      <xdr:nvSpPr>
        <xdr:cNvPr id="6" name="5 CuadroTexto">
          <a:extLst>
            <a:ext uri="{FF2B5EF4-FFF2-40B4-BE49-F238E27FC236}">
              <a16:creationId xmlns:a16="http://schemas.microsoft.com/office/drawing/2014/main" xmlns="" id="{00000000-0008-0000-0100-000005000000}"/>
            </a:ext>
          </a:extLst>
        </xdr:cNvPr>
        <xdr:cNvSpPr txBox="1"/>
      </xdr:nvSpPr>
      <xdr:spPr>
        <a:xfrm>
          <a:off x="4000500" y="81491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1</xdr:col>
      <xdr:colOff>0</xdr:colOff>
      <xdr:row>306</xdr:row>
      <xdr:rowOff>0</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123825" y="2088832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11</xdr:col>
      <xdr:colOff>10</xdr:colOff>
      <xdr:row>19</xdr:row>
      <xdr:rowOff>7327</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9601209" cy="36268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oneCellAnchor>
    <xdr:from>
      <xdr:col>4</xdr:col>
      <xdr:colOff>89686</xdr:colOff>
      <xdr:row>0</xdr:row>
      <xdr:rowOff>0</xdr:rowOff>
    </xdr:from>
    <xdr:ext cx="968598" cy="254557"/>
    <xdr:sp macro="" textlink="">
      <xdr:nvSpPr>
        <xdr:cNvPr id="4" name="2 CuadroTexto">
          <a:extLst>
            <a:ext uri="{FF2B5EF4-FFF2-40B4-BE49-F238E27FC236}">
              <a16:creationId xmlns:a16="http://schemas.microsoft.com/office/drawing/2014/main" xmlns="" id="{00000000-0008-0000-2100-000004000000}"/>
            </a:ext>
          </a:extLst>
        </xdr:cNvPr>
        <xdr:cNvSpPr txBox="1"/>
      </xdr:nvSpPr>
      <xdr:spPr>
        <a:xfrm>
          <a:off x="5204611" y="0"/>
          <a:ext cx="968598"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ETCA-IV-01</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21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314325</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3333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28</xdr:row>
      <xdr:rowOff>142875</xdr:rowOff>
    </xdr:from>
    <xdr:ext cx="6867526" cy="866775"/>
    <xdr:sp macro="" textlink="">
      <xdr:nvSpPr>
        <xdr:cNvPr id="9" name="CuadroTexto 5">
          <a:extLst>
            <a:ext uri="{FF2B5EF4-FFF2-40B4-BE49-F238E27FC236}">
              <a16:creationId xmlns:a16="http://schemas.microsoft.com/office/drawing/2014/main" xmlns="" id="{00000000-0008-0000-0100-000006000000}"/>
            </a:ext>
          </a:extLst>
        </xdr:cNvPr>
        <xdr:cNvSpPr txBox="1"/>
      </xdr:nvSpPr>
      <xdr:spPr>
        <a:xfrm>
          <a:off x="0" y="655320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800"/>
            <a:t>                             C.P.</a:t>
          </a:r>
          <a:r>
            <a:rPr lang="es-MX" sz="800" baseline="0"/>
            <a:t> LUZ ARELI RUIZ PALMA                                                  ING. MIGUEL SERVANDO PORTONI ENCINAS</a:t>
          </a:r>
        </a:p>
        <a:p>
          <a:pPr algn="l"/>
          <a:r>
            <a:rPr lang="es-MX" sz="8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xmlns="" id="{00000000-0008-0000-22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ETCA-IV-02</a:t>
          </a:r>
        </a:p>
      </xdr:txBody>
    </xdr:sp>
    <xdr:clientData/>
  </xdr:oneCellAnchor>
  <xdr:oneCellAnchor>
    <xdr:from>
      <xdr:col>1</xdr:col>
      <xdr:colOff>4010025</xdr:colOff>
      <xdr:row>4</xdr:row>
      <xdr:rowOff>38100</xdr:rowOff>
    </xdr:from>
    <xdr:ext cx="2790824" cy="254557"/>
    <xdr:sp macro="" textlink="">
      <xdr:nvSpPr>
        <xdr:cNvPr id="6" name="5 CuadroTexto">
          <a:extLst>
            <a:ext uri="{FF2B5EF4-FFF2-40B4-BE49-F238E27FC236}">
              <a16:creationId xmlns:a16="http://schemas.microsoft.com/office/drawing/2014/main" xmlns="" id="{00000000-0008-0000-0100-000005000000}"/>
            </a:ext>
          </a:extLst>
        </xdr:cNvPr>
        <xdr:cNvSpPr txBox="1"/>
      </xdr:nvSpPr>
      <xdr:spPr>
        <a:xfrm>
          <a:off x="4095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1</xdr:col>
      <xdr:colOff>0</xdr:colOff>
      <xdr:row>91</xdr:row>
      <xdr:rowOff>0</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85725" y="164496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xdr:col>
      <xdr:colOff>885825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500-000003000000}"/>
            </a:ext>
          </a:extLst>
        </xdr:cNvPr>
        <xdr:cNvSpPr txBox="1"/>
      </xdr:nvSpPr>
      <xdr:spPr>
        <a:xfrm>
          <a:off x="529590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ETCA-IV-05</a:t>
          </a:r>
        </a:p>
      </xdr:txBody>
    </xdr:sp>
    <xdr:clientData/>
  </xdr:oneCellAnchor>
  <xdr:oneCellAnchor>
    <xdr:from>
      <xdr:col>3</xdr:col>
      <xdr:colOff>0</xdr:colOff>
      <xdr:row>3</xdr:row>
      <xdr:rowOff>142875</xdr:rowOff>
    </xdr:from>
    <xdr:ext cx="184731" cy="264560"/>
    <xdr:sp macro="" textlink="">
      <xdr:nvSpPr>
        <xdr:cNvPr id="4" name="4 CuadroTexto">
          <a:extLst>
            <a:ext uri="{FF2B5EF4-FFF2-40B4-BE49-F238E27FC236}">
              <a16:creationId xmlns:a16="http://schemas.microsoft.com/office/drawing/2014/main" xmlns="" id="{00000000-0008-0000-2500-000004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1047750</xdr:colOff>
      <xdr:row>3</xdr:row>
      <xdr:rowOff>200025</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3676650" y="8286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33</xdr:row>
      <xdr:rowOff>85725</xdr:rowOff>
    </xdr:from>
    <xdr:ext cx="6867526" cy="866775"/>
    <xdr:sp macro="" textlink="">
      <xdr:nvSpPr>
        <xdr:cNvPr id="9" name="CuadroTexto 5">
          <a:extLst>
            <a:ext uri="{FF2B5EF4-FFF2-40B4-BE49-F238E27FC236}">
              <a16:creationId xmlns:a16="http://schemas.microsoft.com/office/drawing/2014/main" xmlns="" id="{00000000-0008-0000-0100-000006000000}"/>
            </a:ext>
          </a:extLst>
        </xdr:cNvPr>
        <xdr:cNvSpPr txBox="1"/>
      </xdr:nvSpPr>
      <xdr:spPr>
        <a:xfrm>
          <a:off x="0" y="84867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1630509</xdr:colOff>
      <xdr:row>37</xdr:row>
      <xdr:rowOff>0</xdr:rowOff>
    </xdr:to>
    <xdr:pic>
      <xdr:nvPicPr>
        <xdr:cNvPr id="2" name="Imagen 1">
          <a:extLst>
            <a:ext uri="{FF2B5EF4-FFF2-40B4-BE49-F238E27FC236}">
              <a16:creationId xmlns:a16="http://schemas.microsoft.com/office/drawing/2014/main" xmlns="" id="{00000000-0008-0000-2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440509" cy="704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52898</xdr:colOff>
      <xdr:row>0</xdr:row>
      <xdr:rowOff>47625</xdr:rowOff>
    </xdr:from>
    <xdr:ext cx="874535" cy="254557"/>
    <xdr:sp macro="" textlink="">
      <xdr:nvSpPr>
        <xdr:cNvPr id="4" name="3 CuadroTexto">
          <a:extLst>
            <a:ext uri="{FF2B5EF4-FFF2-40B4-BE49-F238E27FC236}">
              <a16:creationId xmlns:a16="http://schemas.microsoft.com/office/drawing/2014/main" xmlns="" id="{00000000-0008-0000-0400-000004000000}"/>
            </a:ext>
          </a:extLst>
        </xdr:cNvPr>
        <xdr:cNvSpPr txBox="1"/>
      </xdr:nvSpPr>
      <xdr:spPr>
        <a:xfrm>
          <a:off x="8187248" y="47625"/>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oneCellAnchor>
    <xdr:from>
      <xdr:col>4</xdr:col>
      <xdr:colOff>200025</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0400-000006000000}"/>
            </a:ext>
          </a:extLst>
        </xdr:cNvPr>
        <xdr:cNvSpPr txBox="1"/>
      </xdr:nvSpPr>
      <xdr:spPr>
        <a:xfrm>
          <a:off x="46482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161925</xdr:colOff>
      <xdr:row>3</xdr:row>
      <xdr:rowOff>200025</xdr:rowOff>
    </xdr:from>
    <xdr:ext cx="2695575"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5324475" y="895350"/>
          <a:ext cx="269557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TRIMESTRE:TERCER</a:t>
          </a:r>
        </a:p>
      </xdr:txBody>
    </xdr:sp>
    <xdr:clientData/>
  </xdr:oneCellAnchor>
  <xdr:oneCellAnchor>
    <xdr:from>
      <xdr:col>0</xdr:col>
      <xdr:colOff>123825</xdr:colOff>
      <xdr:row>38</xdr:row>
      <xdr:rowOff>200025</xdr:rowOff>
    </xdr:from>
    <xdr:ext cx="6867526" cy="866775"/>
    <xdr:sp macro="" textlink="">
      <xdr:nvSpPr>
        <xdr:cNvPr id="10" name="CuadroTexto 5">
          <a:extLst>
            <a:ext uri="{FF2B5EF4-FFF2-40B4-BE49-F238E27FC236}">
              <a16:creationId xmlns:a16="http://schemas.microsoft.com/office/drawing/2014/main" xmlns="" id="{00000000-0008-0000-0100-000006000000}"/>
            </a:ext>
          </a:extLst>
        </xdr:cNvPr>
        <xdr:cNvSpPr txBox="1"/>
      </xdr:nvSpPr>
      <xdr:spPr>
        <a:xfrm>
          <a:off x="123825" y="89820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4 CuadroTexto">
          <a:extLst>
            <a:ext uri="{FF2B5EF4-FFF2-40B4-BE49-F238E27FC236}">
              <a16:creationId xmlns:a16="http://schemas.microsoft.com/office/drawing/2014/main" xmlns="" id="{00000000-0008-0000-0500-000005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154333</xdr:colOff>
      <xdr:row>0</xdr:row>
      <xdr:rowOff>38100</xdr:rowOff>
    </xdr:from>
    <xdr:ext cx="858825" cy="254557"/>
    <xdr:sp macro="" textlink="">
      <xdr:nvSpPr>
        <xdr:cNvPr id="3" name="6 CuadroTexto">
          <a:extLst>
            <a:ext uri="{FF2B5EF4-FFF2-40B4-BE49-F238E27FC236}">
              <a16:creationId xmlns:a16="http://schemas.microsoft.com/office/drawing/2014/main" xmlns="" id="{00000000-0008-0000-0500-000007000000}"/>
            </a:ext>
          </a:extLst>
        </xdr:cNvPr>
        <xdr:cNvSpPr txBox="1"/>
      </xdr:nvSpPr>
      <xdr:spPr>
        <a:xfrm>
          <a:off x="6678958" y="381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1</xdr:col>
      <xdr:colOff>200025</xdr:colOff>
      <xdr:row>3</xdr:row>
      <xdr:rowOff>142875</xdr:rowOff>
    </xdr:from>
    <xdr:ext cx="184731" cy="264560"/>
    <xdr:sp macro="" textlink="">
      <xdr:nvSpPr>
        <xdr:cNvPr id="4" name="1 CuadroTexto">
          <a:extLst>
            <a:ext uri="{FF2B5EF4-FFF2-40B4-BE49-F238E27FC236}">
              <a16:creationId xmlns:a16="http://schemas.microsoft.com/office/drawing/2014/main" xmlns="" id="{00000000-0008-0000-0500-000006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4905375</xdr:colOff>
      <xdr:row>3</xdr:row>
      <xdr:rowOff>0</xdr:rowOff>
    </xdr:from>
    <xdr:ext cx="2790824" cy="254557"/>
    <xdr:sp macro="" textlink="">
      <xdr:nvSpPr>
        <xdr:cNvPr id="8" name="8 CuadroTexto">
          <a:extLst>
            <a:ext uri="{FF2B5EF4-FFF2-40B4-BE49-F238E27FC236}">
              <a16:creationId xmlns:a16="http://schemas.microsoft.com/office/drawing/2014/main" xmlns="" id="{00000000-0008-0000-0100-000005000000}"/>
            </a:ext>
          </a:extLst>
        </xdr:cNvPr>
        <xdr:cNvSpPr txBox="1"/>
      </xdr:nvSpPr>
      <xdr:spPr>
        <a:xfrm>
          <a:off x="4905375" y="6096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a:t>
          </a:r>
          <a:endParaRPr lang="es-MX" sz="1100" b="1">
            <a:latin typeface="Arial" pitchFamily="34" charset="0"/>
            <a:cs typeface="Arial" pitchFamily="34" charset="0"/>
          </a:endParaRPr>
        </a:p>
      </xdr:txBody>
    </xdr:sp>
    <xdr:clientData/>
  </xdr:oneCellAnchor>
  <xdr:oneCellAnchor>
    <xdr:from>
      <xdr:col>0</xdr:col>
      <xdr:colOff>0</xdr:colOff>
      <xdr:row>65</xdr:row>
      <xdr:rowOff>95250</xdr:rowOff>
    </xdr:from>
    <xdr:ext cx="6867526" cy="866775"/>
    <xdr:sp macro="" textlink="">
      <xdr:nvSpPr>
        <xdr:cNvPr id="11" name="CuadroTexto 5">
          <a:extLst>
            <a:ext uri="{FF2B5EF4-FFF2-40B4-BE49-F238E27FC236}">
              <a16:creationId xmlns:a16="http://schemas.microsoft.com/office/drawing/2014/main" xmlns="" id="{00000000-0008-0000-0100-000006000000}"/>
            </a:ext>
          </a:extLst>
        </xdr:cNvPr>
        <xdr:cNvSpPr txBox="1"/>
      </xdr:nvSpPr>
      <xdr:spPr>
        <a:xfrm>
          <a:off x="0" y="116014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xmlns=""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ETCA-I-06</a:t>
          </a:r>
        </a:p>
      </xdr:txBody>
    </xdr:sp>
    <xdr:clientData/>
  </xdr:oneCellAnchor>
  <xdr:oneCellAnchor>
    <xdr:from>
      <xdr:col>1</xdr:col>
      <xdr:colOff>3135923</xdr:colOff>
      <xdr:row>3</xdr:row>
      <xdr:rowOff>139212</xdr:rowOff>
    </xdr:from>
    <xdr:ext cx="2790824" cy="254557"/>
    <xdr:sp macro="" textlink="">
      <xdr:nvSpPr>
        <xdr:cNvPr id="6" name="5 CuadroTexto">
          <a:extLst>
            <a:ext uri="{FF2B5EF4-FFF2-40B4-BE49-F238E27FC236}">
              <a16:creationId xmlns:a16="http://schemas.microsoft.com/office/drawing/2014/main" xmlns="" id="{00000000-0008-0000-0100-000005000000}"/>
            </a:ext>
          </a:extLst>
        </xdr:cNvPr>
        <xdr:cNvSpPr txBox="1"/>
      </xdr:nvSpPr>
      <xdr:spPr>
        <a:xfrm>
          <a:off x="3326423" y="77665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a:t>
          </a:r>
          <a:r>
            <a:rPr lang="es-MX" sz="1100" b="1" baseline="0">
              <a:latin typeface="Arial" pitchFamily="34" charset="0"/>
              <a:cs typeface="Arial" pitchFamily="34" charset="0"/>
            </a:rPr>
            <a:t> TERCER</a:t>
          </a:r>
          <a:endParaRPr lang="es-MX" sz="1100" b="1">
            <a:latin typeface="Arial" pitchFamily="34" charset="0"/>
            <a:cs typeface="Arial" pitchFamily="34" charset="0"/>
          </a:endParaRPr>
        </a:p>
      </xdr:txBody>
    </xdr:sp>
    <xdr:clientData/>
  </xdr:oneCellAnchor>
  <xdr:oneCellAnchor>
    <xdr:from>
      <xdr:col>0</xdr:col>
      <xdr:colOff>1</xdr:colOff>
      <xdr:row>66</xdr:row>
      <xdr:rowOff>102577</xdr:rowOff>
    </xdr:from>
    <xdr:ext cx="6425712"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1" y="9532327"/>
          <a:ext cx="6425712"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800"/>
            <a:t>                             C.P.</a:t>
          </a:r>
          <a:r>
            <a:rPr lang="es-MX" sz="800" baseline="0"/>
            <a:t> LUZ ARELI RUIZ PALMA                                                                     ING. MIGUEL SERVANDO PORTONI ENCINAS</a:t>
          </a:r>
        </a:p>
        <a:p>
          <a:pPr algn="l"/>
          <a:r>
            <a:rPr lang="es-MX" sz="8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776798</xdr:colOff>
      <xdr:row>0</xdr:row>
      <xdr:rowOff>19050</xdr:rowOff>
    </xdr:from>
    <xdr:ext cx="874535" cy="254557"/>
    <xdr:sp macro="" textlink="">
      <xdr:nvSpPr>
        <xdr:cNvPr id="4" name="3 CuadroTexto">
          <a:extLst>
            <a:ext uri="{FF2B5EF4-FFF2-40B4-BE49-F238E27FC236}">
              <a16:creationId xmlns:a16="http://schemas.microsoft.com/office/drawing/2014/main" xmlns="" id="{00000000-0008-0000-0700-000004000000}"/>
            </a:ext>
          </a:extLst>
        </xdr:cNvPr>
        <xdr:cNvSpPr txBox="1"/>
      </xdr:nvSpPr>
      <xdr:spPr>
        <a:xfrm>
          <a:off x="5558348" y="1905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5</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561975</xdr:colOff>
      <xdr:row>3</xdr:row>
      <xdr:rowOff>152400</xdr:rowOff>
    </xdr:from>
    <xdr:ext cx="2790824" cy="254557"/>
    <xdr:sp macro="" textlink="">
      <xdr:nvSpPr>
        <xdr:cNvPr id="9" name="8 CuadroTexto">
          <a:extLst>
            <a:ext uri="{FF2B5EF4-FFF2-40B4-BE49-F238E27FC236}">
              <a16:creationId xmlns:a16="http://schemas.microsoft.com/office/drawing/2014/main" xmlns="" id="{00000000-0008-0000-0100-000005000000}"/>
            </a:ext>
          </a:extLst>
        </xdr:cNvPr>
        <xdr:cNvSpPr txBox="1"/>
      </xdr:nvSpPr>
      <xdr:spPr>
        <a:xfrm>
          <a:off x="3648075" y="7905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a:t>
          </a:r>
          <a:endParaRPr lang="es-MX" sz="1100" b="1">
            <a:latin typeface="Arial" pitchFamily="34" charset="0"/>
            <a:cs typeface="Arial" pitchFamily="34" charset="0"/>
          </a:endParaRPr>
        </a:p>
      </xdr:txBody>
    </xdr:sp>
    <xdr:clientData/>
  </xdr:oneCellAnchor>
  <xdr:oneCellAnchor>
    <xdr:from>
      <xdr:col>0</xdr:col>
      <xdr:colOff>0</xdr:colOff>
      <xdr:row>30</xdr:row>
      <xdr:rowOff>142875</xdr:rowOff>
    </xdr:from>
    <xdr:ext cx="6867526" cy="866775"/>
    <xdr:sp macro="" textlink="">
      <xdr:nvSpPr>
        <xdr:cNvPr id="10" name="CuadroTexto 5">
          <a:extLst>
            <a:ext uri="{FF2B5EF4-FFF2-40B4-BE49-F238E27FC236}">
              <a16:creationId xmlns:a16="http://schemas.microsoft.com/office/drawing/2014/main" xmlns="" id="{00000000-0008-0000-0100-000006000000}"/>
            </a:ext>
          </a:extLst>
        </xdr:cNvPr>
        <xdr:cNvSpPr txBox="1"/>
      </xdr:nvSpPr>
      <xdr:spPr>
        <a:xfrm>
          <a:off x="0" y="81724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233873</xdr:colOff>
      <xdr:row>0</xdr:row>
      <xdr:rowOff>47625</xdr:rowOff>
    </xdr:from>
    <xdr:ext cx="874535" cy="254557"/>
    <xdr:sp macro="" textlink="">
      <xdr:nvSpPr>
        <xdr:cNvPr id="2" name="3 CuadroTexto">
          <a:extLst>
            <a:ext uri="{FF2B5EF4-FFF2-40B4-BE49-F238E27FC236}">
              <a16:creationId xmlns:a16="http://schemas.microsoft.com/office/drawing/2014/main" xmlns="" id="{00000000-0008-0000-0800-000004000000}"/>
            </a:ext>
          </a:extLst>
        </xdr:cNvPr>
        <xdr:cNvSpPr txBox="1"/>
      </xdr:nvSpPr>
      <xdr:spPr>
        <a:xfrm>
          <a:off x="5605973" y="47625"/>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4</xdr:col>
      <xdr:colOff>0</xdr:colOff>
      <xdr:row>3</xdr:row>
      <xdr:rowOff>142875</xdr:rowOff>
    </xdr:from>
    <xdr:ext cx="184731" cy="264560"/>
    <xdr:sp macro="" textlink="">
      <xdr:nvSpPr>
        <xdr:cNvPr id="3" name="4 CuadroTexto">
          <a:extLst>
            <a:ext uri="{FF2B5EF4-FFF2-40B4-BE49-F238E27FC236}">
              <a16:creationId xmlns:a16="http://schemas.microsoft.com/office/drawing/2014/main" xmlns="" id="{00000000-0008-0000-0800-000006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561975</xdr:colOff>
      <xdr:row>3</xdr:row>
      <xdr:rowOff>180975</xdr:rowOff>
    </xdr:from>
    <xdr:ext cx="2790824" cy="254557"/>
    <xdr:sp macro="" textlink="">
      <xdr:nvSpPr>
        <xdr:cNvPr id="6" name="6 CuadroTexto">
          <a:extLst>
            <a:ext uri="{FF2B5EF4-FFF2-40B4-BE49-F238E27FC236}">
              <a16:creationId xmlns:a16="http://schemas.microsoft.com/office/drawing/2014/main" xmlns="" id="{00000000-0008-0000-0100-000005000000}"/>
            </a:ext>
          </a:extLst>
        </xdr:cNvPr>
        <xdr:cNvSpPr txBox="1"/>
      </xdr:nvSpPr>
      <xdr:spPr>
        <a:xfrm>
          <a:off x="370522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0</xdr:colOff>
      <xdr:row>43</xdr:row>
      <xdr:rowOff>85725</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0" y="90011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ETCA-I-09</a:t>
          </a:r>
        </a:p>
      </xdr:txBody>
    </xdr:sp>
    <xdr:clientData/>
  </xdr:oneCellAnchor>
  <xdr:oneCellAnchor>
    <xdr:from>
      <xdr:col>5</xdr:col>
      <xdr:colOff>571500</xdr:colOff>
      <xdr:row>3</xdr:row>
      <xdr:rowOff>76200</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5391150" y="6858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a:t>
          </a:r>
        </a:p>
      </xdr:txBody>
    </xdr:sp>
    <xdr:clientData/>
  </xdr:oneCellAnchor>
  <xdr:oneCellAnchor>
    <xdr:from>
      <xdr:col>0</xdr:col>
      <xdr:colOff>47625</xdr:colOff>
      <xdr:row>41</xdr:row>
      <xdr:rowOff>28575</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47625" y="822960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Documentos/of%20liberacion/2017/ETCAS/1ER%20TRIMESTRE/formatos-etca-2017-informe-trimestral%20(1)%20desbloqu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I-14"/>
      <sheetName val="ETCA-II-15"/>
      <sheetName val="ETCA-II-16"/>
      <sheetName val="ETCA-II-17"/>
      <sheetName val="ETCA-III-01"/>
      <sheetName val="ETCA III-02"/>
      <sheetName val="ETCA-III-03"/>
      <sheetName val="ETCA III-04 "/>
      <sheetName val="ETCA III-05"/>
      <sheetName val="ETCA-IV-01"/>
      <sheetName val="ETCA-IV-02"/>
      <sheetName val="ETCA-IV-03"/>
      <sheetName val="ETCA-IV-04"/>
      <sheetName val="ETCA-IV-05"/>
      <sheetName val="ANEXO"/>
    </sheetNames>
    <sheetDataSet>
      <sheetData sheetId="0" refreshError="1"/>
      <sheetData sheetId="1">
        <row r="3">
          <cell r="A3" t="str">
            <v>CONSEJO ESTATAL DE CONCERTACION PARA LA OBRA PUBLICA</v>
          </cell>
          <cell r="B3">
            <v>0</v>
          </cell>
          <cell r="C3">
            <v>0</v>
          </cell>
          <cell r="D3">
            <v>0</v>
          </cell>
          <cell r="E3">
            <v>0</v>
          </cell>
          <cell r="F3">
            <v>0</v>
          </cell>
          <cell r="G3">
            <v>0</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31" workbookViewId="0">
      <selection activeCell="E11" sqref="E11"/>
    </sheetView>
  </sheetViews>
  <sheetFormatPr baseColWidth="10" defaultRowHeight="15" x14ac:dyDescent="0.25"/>
  <cols>
    <col min="3" max="3" width="68.42578125" customWidth="1"/>
  </cols>
  <sheetData>
    <row r="1" spans="1:3" s="3" customFormat="1" ht="27.75" customHeight="1" x14ac:dyDescent="0.4">
      <c r="A1" s="844"/>
      <c r="B1" s="34" t="s">
        <v>0</v>
      </c>
      <c r="C1" s="844"/>
    </row>
    <row r="2" spans="1:3" s="3" customFormat="1" ht="4.5" customHeight="1" x14ac:dyDescent="0.3">
      <c r="A2" s="844"/>
      <c r="B2" s="844"/>
      <c r="C2" s="844"/>
    </row>
    <row r="3" spans="1:3" s="3" customFormat="1" ht="19.5" customHeight="1" thickBot="1" x14ac:dyDescent="0.35">
      <c r="A3" s="36" t="s">
        <v>1052</v>
      </c>
      <c r="B3" s="35"/>
      <c r="C3" s="35"/>
    </row>
    <row r="4" spans="1:3" ht="17.25" customHeight="1" thickBot="1" x14ac:dyDescent="0.3">
      <c r="A4" s="959" t="s">
        <v>995</v>
      </c>
      <c r="B4" s="960"/>
      <c r="C4" s="961"/>
    </row>
    <row r="5" spans="1:3" ht="17.25" customHeight="1" thickBot="1" x14ac:dyDescent="0.3">
      <c r="A5" s="845">
        <v>1</v>
      </c>
      <c r="B5" s="846" t="s">
        <v>996</v>
      </c>
      <c r="C5" s="846" t="s">
        <v>26</v>
      </c>
    </row>
    <row r="6" spans="1:3" ht="17.25" customHeight="1" thickBot="1" x14ac:dyDescent="0.3">
      <c r="A6" s="847">
        <v>2</v>
      </c>
      <c r="B6" s="848" t="s">
        <v>997</v>
      </c>
      <c r="C6" s="848" t="s">
        <v>998</v>
      </c>
    </row>
    <row r="7" spans="1:3" ht="17.25" customHeight="1" thickBot="1" x14ac:dyDescent="0.3">
      <c r="A7" s="845">
        <v>3</v>
      </c>
      <c r="B7" s="846" t="s">
        <v>999</v>
      </c>
      <c r="C7" s="846" t="s">
        <v>1</v>
      </c>
    </row>
    <row r="8" spans="1:3" ht="17.25" customHeight="1" thickBot="1" x14ac:dyDescent="0.3">
      <c r="A8" s="845">
        <v>4</v>
      </c>
      <c r="B8" s="846" t="s">
        <v>1000</v>
      </c>
      <c r="C8" s="846" t="s">
        <v>2</v>
      </c>
    </row>
    <row r="9" spans="1:3" ht="17.25" customHeight="1" thickBot="1" x14ac:dyDescent="0.3">
      <c r="A9" s="845">
        <v>5</v>
      </c>
      <c r="B9" s="846" t="s">
        <v>1001</v>
      </c>
      <c r="C9" s="846" t="s">
        <v>3</v>
      </c>
    </row>
    <row r="10" spans="1:3" ht="17.25" customHeight="1" thickBot="1" x14ac:dyDescent="0.3">
      <c r="A10" s="845">
        <v>6</v>
      </c>
      <c r="B10" s="846" t="s">
        <v>1002</v>
      </c>
      <c r="C10" s="846" t="s">
        <v>4</v>
      </c>
    </row>
    <row r="11" spans="1:3" ht="17.25" customHeight="1" thickBot="1" x14ac:dyDescent="0.3">
      <c r="A11" s="845">
        <v>7</v>
      </c>
      <c r="B11" s="846" t="s">
        <v>1003</v>
      </c>
      <c r="C11" s="846" t="s">
        <v>5</v>
      </c>
    </row>
    <row r="12" spans="1:3" ht="17.25" customHeight="1" thickBot="1" x14ac:dyDescent="0.3">
      <c r="A12" s="845">
        <v>8</v>
      </c>
      <c r="B12" s="846" t="s">
        <v>1004</v>
      </c>
      <c r="C12" s="846" t="s">
        <v>6</v>
      </c>
    </row>
    <row r="13" spans="1:3" ht="17.25" customHeight="1" thickBot="1" x14ac:dyDescent="0.3">
      <c r="A13" s="847">
        <v>9</v>
      </c>
      <c r="B13" s="848" t="s">
        <v>1005</v>
      </c>
      <c r="C13" s="848" t="s">
        <v>7</v>
      </c>
    </row>
    <row r="14" spans="1:3" ht="17.25" customHeight="1" thickBot="1" x14ac:dyDescent="0.3">
      <c r="A14" s="847">
        <v>10</v>
      </c>
      <c r="B14" s="848" t="s">
        <v>1006</v>
      </c>
      <c r="C14" s="848" t="s">
        <v>1007</v>
      </c>
    </row>
    <row r="15" spans="1:3" ht="17.25" customHeight="1" thickBot="1" x14ac:dyDescent="0.3">
      <c r="A15" s="845">
        <v>11</v>
      </c>
      <c r="B15" s="846" t="s">
        <v>1008</v>
      </c>
      <c r="C15" s="846" t="s">
        <v>8</v>
      </c>
    </row>
    <row r="16" spans="1:3" ht="17.25" customHeight="1" thickBot="1" x14ac:dyDescent="0.3">
      <c r="A16" s="845">
        <v>13</v>
      </c>
      <c r="B16" s="846" t="s">
        <v>1009</v>
      </c>
      <c r="C16" s="846" t="s">
        <v>9</v>
      </c>
    </row>
    <row r="17" spans="1:3" ht="17.25" customHeight="1" thickBot="1" x14ac:dyDescent="0.3">
      <c r="A17" s="959" t="s">
        <v>10</v>
      </c>
      <c r="B17" s="960"/>
      <c r="C17" s="961"/>
    </row>
    <row r="18" spans="1:3" ht="17.25" customHeight="1" thickBot="1" x14ac:dyDescent="0.3">
      <c r="A18" s="845">
        <v>14</v>
      </c>
      <c r="B18" s="846" t="s">
        <v>1010</v>
      </c>
      <c r="C18" s="846" t="s">
        <v>11</v>
      </c>
    </row>
    <row r="19" spans="1:3" ht="17.25" customHeight="1" thickBot="1" x14ac:dyDescent="0.3">
      <c r="A19" s="847">
        <v>15</v>
      </c>
      <c r="B19" s="848" t="s">
        <v>1011</v>
      </c>
      <c r="C19" s="848" t="s">
        <v>1012</v>
      </c>
    </row>
    <row r="20" spans="1:3" ht="17.25" customHeight="1" thickBot="1" x14ac:dyDescent="0.3">
      <c r="A20" s="845">
        <v>16</v>
      </c>
      <c r="B20" s="846" t="s">
        <v>1013</v>
      </c>
      <c r="C20" s="846" t="s">
        <v>1014</v>
      </c>
    </row>
    <row r="21" spans="1:3" ht="17.25" customHeight="1" thickBot="1" x14ac:dyDescent="0.3">
      <c r="A21" s="845">
        <v>17</v>
      </c>
      <c r="B21" s="846" t="s">
        <v>1015</v>
      </c>
      <c r="C21" s="846" t="s">
        <v>568</v>
      </c>
    </row>
    <row r="22" spans="1:3" ht="17.25" customHeight="1" x14ac:dyDescent="0.25">
      <c r="A22" s="957">
        <v>18</v>
      </c>
      <c r="B22" s="957" t="s">
        <v>1016</v>
      </c>
      <c r="C22" s="849" t="s">
        <v>1017</v>
      </c>
    </row>
    <row r="23" spans="1:3" ht="17.25" customHeight="1" thickBot="1" x14ac:dyDescent="0.3">
      <c r="A23" s="958"/>
      <c r="B23" s="958"/>
      <c r="C23" s="848" t="s">
        <v>1018</v>
      </c>
    </row>
    <row r="24" spans="1:3" ht="17.25" customHeight="1" x14ac:dyDescent="0.25">
      <c r="A24" s="962">
        <v>19</v>
      </c>
      <c r="B24" s="962" t="s">
        <v>1019</v>
      </c>
      <c r="C24" s="850" t="s">
        <v>568</v>
      </c>
    </row>
    <row r="25" spans="1:3" ht="17.25" customHeight="1" thickBot="1" x14ac:dyDescent="0.3">
      <c r="A25" s="963"/>
      <c r="B25" s="963"/>
      <c r="C25" s="846" t="s">
        <v>1020</v>
      </c>
    </row>
    <row r="26" spans="1:3" ht="17.25" customHeight="1" x14ac:dyDescent="0.25">
      <c r="A26" s="962">
        <v>20</v>
      </c>
      <c r="B26" s="962" t="s">
        <v>1021</v>
      </c>
      <c r="C26" s="850" t="s">
        <v>568</v>
      </c>
    </row>
    <row r="27" spans="1:3" ht="17.25" customHeight="1" thickBot="1" x14ac:dyDescent="0.3">
      <c r="A27" s="963"/>
      <c r="B27" s="963"/>
      <c r="C27" s="846" t="s">
        <v>1022</v>
      </c>
    </row>
    <row r="28" spans="1:3" ht="17.25" customHeight="1" thickBot="1" x14ac:dyDescent="0.3">
      <c r="A28" s="847">
        <v>21</v>
      </c>
      <c r="B28" s="848" t="s">
        <v>1023</v>
      </c>
      <c r="C28" s="848" t="s">
        <v>12</v>
      </c>
    </row>
    <row r="29" spans="1:3" ht="17.25" customHeight="1" x14ac:dyDescent="0.25">
      <c r="A29" s="962">
        <v>22</v>
      </c>
      <c r="B29" s="962" t="s">
        <v>1024</v>
      </c>
      <c r="C29" s="850" t="s">
        <v>568</v>
      </c>
    </row>
    <row r="30" spans="1:3" ht="17.25" customHeight="1" thickBot="1" x14ac:dyDescent="0.3">
      <c r="A30" s="963"/>
      <c r="B30" s="963"/>
      <c r="C30" s="846" t="s">
        <v>1025</v>
      </c>
    </row>
    <row r="31" spans="1:3" ht="17.25" customHeight="1" x14ac:dyDescent="0.25">
      <c r="A31" s="962">
        <v>23</v>
      </c>
      <c r="B31" s="962" t="s">
        <v>1026</v>
      </c>
      <c r="C31" s="850" t="s">
        <v>568</v>
      </c>
    </row>
    <row r="32" spans="1:3" ht="17.25" customHeight="1" thickBot="1" x14ac:dyDescent="0.3">
      <c r="A32" s="963"/>
      <c r="B32" s="963"/>
      <c r="C32" s="846" t="s">
        <v>1027</v>
      </c>
    </row>
    <row r="33" spans="1:3" ht="17.25" customHeight="1" x14ac:dyDescent="0.25">
      <c r="A33" s="962">
        <v>24</v>
      </c>
      <c r="B33" s="962" t="s">
        <v>1028</v>
      </c>
      <c r="C33" s="850" t="s">
        <v>568</v>
      </c>
    </row>
    <row r="34" spans="1:3" ht="17.25" customHeight="1" thickBot="1" x14ac:dyDescent="0.3">
      <c r="A34" s="963"/>
      <c r="B34" s="963"/>
      <c r="C34" s="846" t="s">
        <v>753</v>
      </c>
    </row>
    <row r="35" spans="1:3" ht="17.25" customHeight="1" x14ac:dyDescent="0.25">
      <c r="A35" s="957">
        <v>25</v>
      </c>
      <c r="B35" s="957" t="s">
        <v>1029</v>
      </c>
      <c r="C35" s="849" t="s">
        <v>1030</v>
      </c>
    </row>
    <row r="36" spans="1:3" ht="17.25" customHeight="1" thickBot="1" x14ac:dyDescent="0.3">
      <c r="A36" s="958"/>
      <c r="B36" s="958"/>
      <c r="C36" s="848" t="s">
        <v>753</v>
      </c>
    </row>
    <row r="37" spans="1:3" ht="17.25" customHeight="1" x14ac:dyDescent="0.25">
      <c r="A37" s="962">
        <v>26</v>
      </c>
      <c r="B37" s="962" t="s">
        <v>1031</v>
      </c>
      <c r="C37" s="850" t="s">
        <v>568</v>
      </c>
    </row>
    <row r="38" spans="1:3" ht="17.25" customHeight="1" thickBot="1" x14ac:dyDescent="0.3">
      <c r="A38" s="963"/>
      <c r="B38" s="963"/>
      <c r="C38" s="846" t="s">
        <v>819</v>
      </c>
    </row>
    <row r="39" spans="1:3" ht="17.25" customHeight="1" x14ac:dyDescent="0.25">
      <c r="A39" s="957">
        <v>27</v>
      </c>
      <c r="B39" s="957" t="s">
        <v>1032</v>
      </c>
      <c r="C39" s="849" t="s">
        <v>1033</v>
      </c>
    </row>
    <row r="40" spans="1:3" ht="17.25" customHeight="1" thickBot="1" x14ac:dyDescent="0.3">
      <c r="A40" s="958"/>
      <c r="B40" s="958"/>
      <c r="C40" s="848" t="s">
        <v>825</v>
      </c>
    </row>
    <row r="41" spans="1:3" ht="17.25" customHeight="1" thickBot="1" x14ac:dyDescent="0.3">
      <c r="A41" s="845">
        <v>28</v>
      </c>
      <c r="B41" s="846" t="s">
        <v>1034</v>
      </c>
      <c r="C41" s="846" t="s">
        <v>1035</v>
      </c>
    </row>
    <row r="42" spans="1:3" ht="17.25" customHeight="1" thickBot="1" x14ac:dyDescent="0.3">
      <c r="A42" s="845">
        <v>29</v>
      </c>
      <c r="B42" s="846" t="s">
        <v>1036</v>
      </c>
      <c r="C42" s="846" t="s">
        <v>14</v>
      </c>
    </row>
    <row r="43" spans="1:3" ht="17.25" customHeight="1" thickBot="1" x14ac:dyDescent="0.3">
      <c r="A43" s="845">
        <v>30</v>
      </c>
      <c r="B43" s="846" t="s">
        <v>1037</v>
      </c>
      <c r="C43" s="846" t="s">
        <v>1038</v>
      </c>
    </row>
    <row r="44" spans="1:3" ht="17.25" customHeight="1" thickBot="1" x14ac:dyDescent="0.3">
      <c r="A44" s="959" t="s">
        <v>15</v>
      </c>
      <c r="B44" s="960"/>
      <c r="C44" s="961"/>
    </row>
    <row r="45" spans="1:3" ht="17.25" customHeight="1" thickBot="1" x14ac:dyDescent="0.3">
      <c r="A45" s="845">
        <v>31</v>
      </c>
      <c r="B45" s="846" t="s">
        <v>1039</v>
      </c>
      <c r="C45" s="846" t="s">
        <v>16</v>
      </c>
    </row>
    <row r="46" spans="1:3" ht="17.25" customHeight="1" thickBot="1" x14ac:dyDescent="0.3">
      <c r="A46" s="845">
        <v>32</v>
      </c>
      <c r="B46" s="846" t="s">
        <v>1040</v>
      </c>
      <c r="C46" s="846" t="s">
        <v>1041</v>
      </c>
    </row>
    <row r="47" spans="1:3" ht="17.25" customHeight="1" thickBot="1" x14ac:dyDescent="0.3">
      <c r="A47" s="845">
        <v>33</v>
      </c>
      <c r="B47" s="846" t="s">
        <v>1042</v>
      </c>
      <c r="C47" s="846" t="s">
        <v>17</v>
      </c>
    </row>
    <row r="48" spans="1:3" ht="17.25" customHeight="1" thickBot="1" x14ac:dyDescent="0.3">
      <c r="A48" s="845">
        <v>34</v>
      </c>
      <c r="B48" s="846" t="s">
        <v>1043</v>
      </c>
      <c r="C48" s="846" t="s">
        <v>1044</v>
      </c>
    </row>
    <row r="49" spans="1:3" ht="17.25" customHeight="1" thickBot="1" x14ac:dyDescent="0.3">
      <c r="A49" s="847">
        <v>35</v>
      </c>
      <c r="B49" s="848" t="s">
        <v>1045</v>
      </c>
      <c r="C49" s="848" t="s">
        <v>994</v>
      </c>
    </row>
    <row r="50" spans="1:3" ht="17.25" customHeight="1" thickBot="1" x14ac:dyDescent="0.3">
      <c r="A50" s="959" t="s">
        <v>1046</v>
      </c>
      <c r="B50" s="960"/>
      <c r="C50" s="961"/>
    </row>
    <row r="51" spans="1:3" ht="17.25" customHeight="1" thickBot="1" x14ac:dyDescent="0.3">
      <c r="A51" s="845">
        <v>36</v>
      </c>
      <c r="B51" s="846" t="s">
        <v>1047</v>
      </c>
      <c r="C51" s="846" t="s">
        <v>18</v>
      </c>
    </row>
    <row r="52" spans="1:3" ht="17.25" customHeight="1" thickBot="1" x14ac:dyDescent="0.3">
      <c r="A52" s="847">
        <v>27</v>
      </c>
      <c r="B52" s="848" t="s">
        <v>1048</v>
      </c>
      <c r="C52" s="848" t="s">
        <v>19</v>
      </c>
    </row>
    <row r="53" spans="1:3" ht="17.25" customHeight="1" thickBot="1" x14ac:dyDescent="0.3">
      <c r="A53" s="845">
        <v>38</v>
      </c>
      <c r="B53" s="846" t="s">
        <v>1049</v>
      </c>
      <c r="C53" s="846" t="s">
        <v>20</v>
      </c>
    </row>
    <row r="54" spans="1:3" ht="17.25" customHeight="1" thickBot="1" x14ac:dyDescent="0.3">
      <c r="A54" s="845">
        <v>39</v>
      </c>
      <c r="B54" s="846" t="s">
        <v>1050</v>
      </c>
      <c r="C54" s="846" t="s">
        <v>21</v>
      </c>
    </row>
    <row r="55" spans="1:3" ht="17.25" customHeight="1" thickBot="1" x14ac:dyDescent="0.3">
      <c r="A55" s="845">
        <v>40</v>
      </c>
      <c r="B55" s="846" t="s">
        <v>1051</v>
      </c>
      <c r="C55" s="846" t="s">
        <v>22</v>
      </c>
    </row>
    <row r="56" spans="1:3" ht="17.25" customHeight="1" thickBot="1" x14ac:dyDescent="0.3">
      <c r="A56" s="845">
        <v>41</v>
      </c>
      <c r="B56" s="846" t="s">
        <v>23</v>
      </c>
      <c r="C56" s="846" t="s">
        <v>24</v>
      </c>
    </row>
  </sheetData>
  <mergeCells count="22">
    <mergeCell ref="A4:C4"/>
    <mergeCell ref="A17:C17"/>
    <mergeCell ref="A22:A23"/>
    <mergeCell ref="B22:B23"/>
    <mergeCell ref="A24:A25"/>
    <mergeCell ref="B24:B25"/>
    <mergeCell ref="A26:A27"/>
    <mergeCell ref="B26:B27"/>
    <mergeCell ref="A29:A30"/>
    <mergeCell ref="B29:B30"/>
    <mergeCell ref="A31:A32"/>
    <mergeCell ref="B31:B32"/>
    <mergeCell ref="A39:A40"/>
    <mergeCell ref="B39:B40"/>
    <mergeCell ref="A44:C44"/>
    <mergeCell ref="A50:C50"/>
    <mergeCell ref="A33:A34"/>
    <mergeCell ref="B33:B34"/>
    <mergeCell ref="A35:A36"/>
    <mergeCell ref="B35:B36"/>
    <mergeCell ref="A37:A38"/>
    <mergeCell ref="B37:B3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9"/>
  <sheetViews>
    <sheetView zoomScaleNormal="100" workbookViewId="0">
      <selection activeCell="G19" sqref="G19"/>
    </sheetView>
  </sheetViews>
  <sheetFormatPr baseColWidth="10" defaultColWidth="11.42578125" defaultRowHeight="15" x14ac:dyDescent="0.25"/>
  <cols>
    <col min="1" max="1" width="4.7109375" customWidth="1"/>
    <col min="2" max="2" width="30.28515625" customWidth="1"/>
    <col min="3" max="5" width="12.42578125" customWidth="1"/>
    <col min="6" max="6" width="13.42578125" customWidth="1"/>
    <col min="7" max="9" width="12.42578125" customWidth="1"/>
  </cols>
  <sheetData>
    <row r="1" spans="1:10" ht="15.75" x14ac:dyDescent="0.25">
      <c r="A1" s="965" t="s">
        <v>25</v>
      </c>
      <c r="B1" s="965"/>
      <c r="C1" s="965"/>
      <c r="D1" s="965"/>
      <c r="E1" s="965"/>
      <c r="F1" s="965"/>
      <c r="G1" s="965"/>
      <c r="H1" s="965"/>
      <c r="I1" s="965"/>
    </row>
    <row r="2" spans="1:10" ht="15.75" customHeight="1" x14ac:dyDescent="0.25">
      <c r="A2" s="966" t="s">
        <v>328</v>
      </c>
      <c r="B2" s="966"/>
      <c r="C2" s="966"/>
      <c r="D2" s="966"/>
      <c r="E2" s="966"/>
      <c r="F2" s="966"/>
      <c r="G2" s="966"/>
      <c r="H2" s="966"/>
      <c r="I2" s="966"/>
    </row>
    <row r="3" spans="1:10" s="41" customFormat="1" ht="16.5" x14ac:dyDescent="0.3">
      <c r="A3" s="966" t="str">
        <f>'ETCA-I-01'!A3:G3</f>
        <v>Consejo Estatal de Concertacion para la Obra Publica</v>
      </c>
      <c r="B3" s="966"/>
      <c r="C3" s="966"/>
      <c r="D3" s="966"/>
      <c r="E3" s="966"/>
      <c r="F3" s="966"/>
      <c r="G3" s="966"/>
      <c r="H3" s="966"/>
      <c r="I3" s="966"/>
    </row>
    <row r="4" spans="1:10" ht="15" customHeight="1" x14ac:dyDescent="0.25">
      <c r="A4" s="1001" t="str">
        <f>'ETCA-I-03'!A4:D4</f>
        <v>Del 01 de Enero  al 30 de Septiembre de 2017</v>
      </c>
      <c r="B4" s="1001"/>
      <c r="C4" s="1001"/>
      <c r="D4" s="1001"/>
      <c r="E4" s="1001"/>
      <c r="F4" s="1001"/>
      <c r="G4" s="1001"/>
      <c r="H4" s="1001"/>
      <c r="I4" s="1001"/>
    </row>
    <row r="5" spans="1:10" ht="15.75" customHeight="1" thickBot="1" x14ac:dyDescent="0.3">
      <c r="A5" s="1002" t="s">
        <v>89</v>
      </c>
      <c r="B5" s="1002"/>
      <c r="C5" s="1002"/>
      <c r="D5" s="1002"/>
      <c r="E5" s="1002"/>
      <c r="F5" s="1002"/>
      <c r="G5" s="1002"/>
      <c r="H5" s="1002"/>
      <c r="I5" s="1002"/>
    </row>
    <row r="6" spans="1:10" ht="24" customHeight="1" x14ac:dyDescent="0.25">
      <c r="A6" s="1003" t="s">
        <v>329</v>
      </c>
      <c r="B6" s="1004"/>
      <c r="C6" s="633" t="s">
        <v>330</v>
      </c>
      <c r="D6" s="1007" t="s">
        <v>331</v>
      </c>
      <c r="E6" s="1007" t="s">
        <v>332</v>
      </c>
      <c r="F6" s="1007" t="s">
        <v>333</v>
      </c>
      <c r="G6" s="633" t="s">
        <v>334</v>
      </c>
      <c r="H6" s="1007" t="s">
        <v>335</v>
      </c>
      <c r="I6" s="1007" t="s">
        <v>336</v>
      </c>
    </row>
    <row r="7" spans="1:10" ht="34.5" customHeight="1" thickBot="1" x14ac:dyDescent="0.3">
      <c r="A7" s="1005"/>
      <c r="B7" s="1006"/>
      <c r="C7" s="806" t="s">
        <v>337</v>
      </c>
      <c r="D7" s="1008"/>
      <c r="E7" s="1008"/>
      <c r="F7" s="1008"/>
      <c r="G7" s="806" t="s">
        <v>338</v>
      </c>
      <c r="H7" s="1008"/>
      <c r="I7" s="1008"/>
    </row>
    <row r="8" spans="1:10" ht="5.25" customHeight="1" x14ac:dyDescent="0.25">
      <c r="A8" s="1009"/>
      <c r="B8" s="1010"/>
      <c r="C8" s="805"/>
      <c r="D8" s="805"/>
      <c r="E8" s="805"/>
      <c r="F8" s="805"/>
      <c r="G8" s="805"/>
      <c r="H8" s="805"/>
      <c r="I8" s="805"/>
    </row>
    <row r="9" spans="1:10" x14ac:dyDescent="0.25">
      <c r="A9" s="999" t="s">
        <v>339</v>
      </c>
      <c r="B9" s="1000"/>
      <c r="C9" s="679">
        <f>C10+C14</f>
        <v>0</v>
      </c>
      <c r="D9" s="679">
        <f t="shared" ref="D9:I9" si="0">D10+D14</f>
        <v>0</v>
      </c>
      <c r="E9" s="679">
        <f t="shared" si="0"/>
        <v>0</v>
      </c>
      <c r="F9" s="679">
        <f t="shared" si="0"/>
        <v>0</v>
      </c>
      <c r="G9" s="679">
        <f>+C9+D9-E9+F9</f>
        <v>0</v>
      </c>
      <c r="H9" s="679">
        <f t="shared" si="0"/>
        <v>0</v>
      </c>
      <c r="I9" s="679">
        <f t="shared" si="0"/>
        <v>0</v>
      </c>
    </row>
    <row r="10" spans="1:10" ht="16.5" x14ac:dyDescent="0.25">
      <c r="A10" s="999" t="s">
        <v>340</v>
      </c>
      <c r="B10" s="1000"/>
      <c r="C10" s="679">
        <f>SUM(C11:C13)</f>
        <v>0</v>
      </c>
      <c r="D10" s="679">
        <f t="shared" ref="D10:I10" si="1">SUM(D11:D13)</f>
        <v>0</v>
      </c>
      <c r="E10" s="679">
        <f t="shared" si="1"/>
        <v>0</v>
      </c>
      <c r="F10" s="679">
        <f t="shared" si="1"/>
        <v>0</v>
      </c>
      <c r="G10" s="679">
        <f t="shared" si="1"/>
        <v>0</v>
      </c>
      <c r="H10" s="679">
        <f t="shared" si="1"/>
        <v>0</v>
      </c>
      <c r="I10" s="679">
        <f t="shared" si="1"/>
        <v>0</v>
      </c>
      <c r="J10" s="423" t="str">
        <f>IF(C10&lt;&gt;'ETCA-I-08'!E21,"ERROR!!!!! NO CONCUERDA CON LO REPORTADO EN EL ESTADO ANALITICO  DE LA DEUDA Y OTROS PASIVOS","")</f>
        <v/>
      </c>
    </row>
    <row r="11" spans="1:10" ht="16.5" x14ac:dyDescent="0.25">
      <c r="A11" s="804"/>
      <c r="B11" s="808" t="s">
        <v>341</v>
      </c>
      <c r="C11" s="703">
        <v>0</v>
      </c>
      <c r="D11" s="703">
        <v>0</v>
      </c>
      <c r="E11" s="703">
        <v>0</v>
      </c>
      <c r="F11" s="703">
        <v>0</v>
      </c>
      <c r="G11" s="679">
        <f t="shared" ref="G11:G13" si="2">+C11+D11-E11+F11</f>
        <v>0</v>
      </c>
      <c r="H11" s="703">
        <v>0</v>
      </c>
      <c r="I11" s="703">
        <v>0</v>
      </c>
      <c r="J11" s="423" t="str">
        <f>IF(G10&lt;&gt;'ETCA-I-08'!F21,"ERROR!!!!! NO CONCUERDA CON LO REPORTADO EN EL ESTADO ANALITICO  DE LA DEUDA Y OTROS PASIVOS","")</f>
        <v/>
      </c>
    </row>
    <row r="12" spans="1:10" x14ac:dyDescent="0.25">
      <c r="A12" s="807"/>
      <c r="B12" s="808" t="s">
        <v>342</v>
      </c>
      <c r="C12" s="703">
        <v>0</v>
      </c>
      <c r="D12" s="703">
        <v>0</v>
      </c>
      <c r="E12" s="703">
        <v>0</v>
      </c>
      <c r="F12" s="703">
        <v>0</v>
      </c>
      <c r="G12" s="679">
        <f t="shared" si="2"/>
        <v>0</v>
      </c>
      <c r="H12" s="703">
        <v>0</v>
      </c>
      <c r="I12" s="703">
        <v>0</v>
      </c>
    </row>
    <row r="13" spans="1:10" x14ac:dyDescent="0.25">
      <c r="A13" s="807"/>
      <c r="B13" s="808" t="s">
        <v>343</v>
      </c>
      <c r="C13" s="703">
        <v>0</v>
      </c>
      <c r="D13" s="703">
        <v>0</v>
      </c>
      <c r="E13" s="703">
        <v>0</v>
      </c>
      <c r="F13" s="703">
        <v>0</v>
      </c>
      <c r="G13" s="679">
        <f t="shared" si="2"/>
        <v>0</v>
      </c>
      <c r="H13" s="703">
        <v>0</v>
      </c>
      <c r="I13" s="703">
        <v>0</v>
      </c>
    </row>
    <row r="14" spans="1:10" ht="16.5" x14ac:dyDescent="0.25">
      <c r="A14" s="999" t="s">
        <v>344</v>
      </c>
      <c r="B14" s="1000"/>
      <c r="C14" s="679">
        <f t="shared" ref="C14:I14" si="3">SUM(C15:C17)</f>
        <v>0</v>
      </c>
      <c r="D14" s="679">
        <f t="shared" si="3"/>
        <v>0</v>
      </c>
      <c r="E14" s="679">
        <f t="shared" si="3"/>
        <v>0</v>
      </c>
      <c r="F14" s="679">
        <f t="shared" si="3"/>
        <v>0</v>
      </c>
      <c r="G14" s="679">
        <f t="shared" si="3"/>
        <v>0</v>
      </c>
      <c r="H14" s="679">
        <f t="shared" si="3"/>
        <v>0</v>
      </c>
      <c r="I14" s="679">
        <f t="shared" si="3"/>
        <v>0</v>
      </c>
      <c r="J14" s="423" t="str">
        <f>IF(C14&lt;&gt;'ETCA-I-08'!E35,"ERROR!!!!! NO CONCUERDA CON LO REPORTADO EN EL ESTADO ANALITICO DE LA DEUDA Y OTROS PASIVOS","")</f>
        <v/>
      </c>
    </row>
    <row r="15" spans="1:10" ht="16.5" x14ac:dyDescent="0.25">
      <c r="A15" s="804"/>
      <c r="B15" s="808" t="s">
        <v>345</v>
      </c>
      <c r="C15" s="703">
        <v>0</v>
      </c>
      <c r="D15" s="703">
        <v>0</v>
      </c>
      <c r="E15" s="703">
        <v>0</v>
      </c>
      <c r="F15" s="703">
        <v>0</v>
      </c>
      <c r="G15" s="679">
        <f t="shared" ref="G15:G17" si="4">+C15+D15-E15+F15</f>
        <v>0</v>
      </c>
      <c r="H15" s="703">
        <v>0</v>
      </c>
      <c r="I15" s="703">
        <v>0</v>
      </c>
      <c r="J15" s="423" t="str">
        <f>IF(G14&lt;&gt;'ETCA-I-08'!F35,"ERROR!!!!! NO CONCUERDA CON LO REPORTADO EN EL ESTADO ANALITICO DE LA DEUDA Y OTROS PASIVOS","")</f>
        <v/>
      </c>
    </row>
    <row r="16" spans="1:10" x14ac:dyDescent="0.25">
      <c r="A16" s="807"/>
      <c r="B16" s="808" t="s">
        <v>346</v>
      </c>
      <c r="C16" s="703">
        <v>0</v>
      </c>
      <c r="D16" s="703">
        <v>0</v>
      </c>
      <c r="E16" s="703">
        <v>0</v>
      </c>
      <c r="F16" s="703">
        <v>0</v>
      </c>
      <c r="G16" s="679">
        <f t="shared" si="4"/>
        <v>0</v>
      </c>
      <c r="H16" s="703">
        <v>0</v>
      </c>
      <c r="I16" s="703">
        <v>0</v>
      </c>
    </row>
    <row r="17" spans="1:10" x14ac:dyDescent="0.25">
      <c r="A17" s="807"/>
      <c r="B17" s="808" t="s">
        <v>347</v>
      </c>
      <c r="C17" s="703">
        <v>0</v>
      </c>
      <c r="D17" s="703">
        <v>0</v>
      </c>
      <c r="E17" s="703">
        <v>0</v>
      </c>
      <c r="F17" s="703">
        <v>0</v>
      </c>
      <c r="G17" s="679">
        <f t="shared" si="4"/>
        <v>0</v>
      </c>
      <c r="H17" s="703">
        <v>0</v>
      </c>
      <c r="I17" s="703">
        <v>0</v>
      </c>
    </row>
    <row r="18" spans="1:10" s="675" customFormat="1" ht="16.5" x14ac:dyDescent="0.25">
      <c r="A18" s="999" t="s">
        <v>348</v>
      </c>
      <c r="B18" s="1000"/>
      <c r="C18" s="783">
        <v>73908263.909999996</v>
      </c>
      <c r="D18" s="722"/>
      <c r="E18" s="722"/>
      <c r="F18" s="722"/>
      <c r="G18" s="783">
        <v>13482087.98</v>
      </c>
      <c r="H18" s="722"/>
      <c r="I18" s="722"/>
      <c r="J18" s="423" t="str">
        <f>IF(C18&lt;&gt;'ETCA-I-08'!E37,"ERROR!!! NO CONCUERDA CON LO REPORTADO EN EL ESTADO ANALITICO DE LA DEUDA Y OTROS PASIVOS","")</f>
        <v/>
      </c>
    </row>
    <row r="19" spans="1:10" ht="16.5" customHeight="1" x14ac:dyDescent="0.25">
      <c r="A19" s="999" t="s">
        <v>349</v>
      </c>
      <c r="B19" s="1000"/>
      <c r="C19" s="679">
        <f t="shared" ref="C19:I19" si="5">C9+C18</f>
        <v>73908263.909999996</v>
      </c>
      <c r="D19" s="679">
        <f t="shared" si="5"/>
        <v>0</v>
      </c>
      <c r="E19" s="679">
        <f t="shared" si="5"/>
        <v>0</v>
      </c>
      <c r="F19" s="679">
        <f t="shared" si="5"/>
        <v>0</v>
      </c>
      <c r="G19" s="679">
        <f t="shared" si="5"/>
        <v>13482087.98</v>
      </c>
      <c r="H19" s="679">
        <f t="shared" si="5"/>
        <v>0</v>
      </c>
      <c r="I19" s="679">
        <f t="shared" si="5"/>
        <v>0</v>
      </c>
      <c r="J19" s="423" t="str">
        <f>IF(G18&lt;&gt;'ETCA-I-08'!F37,"ERROR!!! NO CONCUERDA CON LO REPORTADO EN EL ESTADO ANALITICO DE LA DEUDA Y OTROS PASIVOS","")</f>
        <v/>
      </c>
    </row>
    <row r="20" spans="1:10" ht="16.5" customHeight="1" x14ac:dyDescent="0.25">
      <c r="A20" s="999" t="s">
        <v>350</v>
      </c>
      <c r="B20" s="1000"/>
      <c r="C20" s="768">
        <f>SUM(C21:C23)</f>
        <v>0</v>
      </c>
      <c r="D20" s="679">
        <f t="shared" ref="D20:I20" si="6">SUM(D21:D23)</f>
        <v>0</v>
      </c>
      <c r="E20" s="679">
        <f t="shared" si="6"/>
        <v>0</v>
      </c>
      <c r="F20" s="679">
        <f t="shared" si="6"/>
        <v>0</v>
      </c>
      <c r="G20" s="679">
        <f>+C20+D20-E20+F20</f>
        <v>0</v>
      </c>
      <c r="H20" s="679">
        <f t="shared" si="6"/>
        <v>0</v>
      </c>
      <c r="I20" s="679">
        <f t="shared" si="6"/>
        <v>0</v>
      </c>
      <c r="J20" s="423" t="str">
        <f>IF(G19&lt;&gt;'ETCA-I-08'!F39,"ERROR!!!! NO CONCUERDA CON LO REPORTADO EN EL ESTADO ANALITICO DE LA DEUDA Y OTROS PASIVOS","")</f>
        <v/>
      </c>
    </row>
    <row r="21" spans="1:10" x14ac:dyDescent="0.25">
      <c r="A21" s="1018" t="s">
        <v>351</v>
      </c>
      <c r="B21" s="1019"/>
      <c r="C21" s="703">
        <v>0</v>
      </c>
      <c r="D21" s="703">
        <v>0</v>
      </c>
      <c r="E21" s="703">
        <v>0</v>
      </c>
      <c r="F21" s="703">
        <v>0</v>
      </c>
      <c r="G21" s="679">
        <f t="shared" ref="G21:G23" si="7">+C21+D21-E21+F21</f>
        <v>0</v>
      </c>
      <c r="H21" s="703">
        <v>0</v>
      </c>
      <c r="I21" s="703">
        <v>0</v>
      </c>
      <c r="J21" t="str">
        <f>IF(C19&lt;&gt;'ETCA-I-08'!E39,"ERROR!!!!! , NO CONCUERDA CON LO REPORTADO EN EL ESTADO ANALITICO DE LA DEUDA Y OTROS PASIVOS","")</f>
        <v/>
      </c>
    </row>
    <row r="22" spans="1:10" x14ac:dyDescent="0.25">
      <c r="A22" s="1018" t="s">
        <v>352</v>
      </c>
      <c r="B22" s="1019"/>
      <c r="C22" s="703">
        <v>0</v>
      </c>
      <c r="D22" s="703">
        <v>0</v>
      </c>
      <c r="E22" s="703">
        <v>0</v>
      </c>
      <c r="F22" s="703">
        <v>0</v>
      </c>
      <c r="G22" s="679">
        <f t="shared" si="7"/>
        <v>0</v>
      </c>
      <c r="H22" s="703">
        <v>0</v>
      </c>
      <c r="I22" s="703">
        <v>0</v>
      </c>
    </row>
    <row r="23" spans="1:10" x14ac:dyDescent="0.25">
      <c r="A23" s="1018" t="s">
        <v>353</v>
      </c>
      <c r="B23" s="1019"/>
      <c r="C23" s="703"/>
      <c r="D23" s="703"/>
      <c r="E23" s="703"/>
      <c r="F23" s="703"/>
      <c r="G23" s="679">
        <f t="shared" si="7"/>
        <v>0</v>
      </c>
      <c r="H23" s="703"/>
      <c r="I23" s="703"/>
    </row>
    <row r="24" spans="1:10" ht="16.5" customHeight="1" x14ac:dyDescent="0.25">
      <c r="A24" s="999" t="s">
        <v>354</v>
      </c>
      <c r="B24" s="1000"/>
      <c r="C24" s="679">
        <f>SUM(C25:C27)</f>
        <v>0</v>
      </c>
      <c r="D24" s="679">
        <f t="shared" ref="D24:I24" si="8">SUM(D25:D27)</f>
        <v>0</v>
      </c>
      <c r="E24" s="679">
        <f t="shared" si="8"/>
        <v>0</v>
      </c>
      <c r="F24" s="679">
        <f t="shared" si="8"/>
        <v>0</v>
      </c>
      <c r="G24" s="679">
        <f t="shared" si="8"/>
        <v>0</v>
      </c>
      <c r="H24" s="679">
        <f t="shared" si="8"/>
        <v>0</v>
      </c>
      <c r="I24" s="679">
        <f t="shared" si="8"/>
        <v>0</v>
      </c>
    </row>
    <row r="25" spans="1:10" x14ac:dyDescent="0.25">
      <c r="A25" s="1018" t="s">
        <v>355</v>
      </c>
      <c r="B25" s="1019"/>
      <c r="C25" s="703">
        <v>0</v>
      </c>
      <c r="D25" s="703">
        <v>0</v>
      </c>
      <c r="E25" s="703">
        <v>0</v>
      </c>
      <c r="F25" s="703">
        <v>0</v>
      </c>
      <c r="G25" s="679">
        <f t="shared" ref="G25:G27" si="9">+C25+D25-E25+F25</f>
        <v>0</v>
      </c>
      <c r="H25" s="703">
        <v>0</v>
      </c>
      <c r="I25" s="703">
        <v>0</v>
      </c>
    </row>
    <row r="26" spans="1:10" x14ac:dyDescent="0.25">
      <c r="A26" s="1018" t="s">
        <v>356</v>
      </c>
      <c r="B26" s="1019"/>
      <c r="C26" s="703">
        <v>0</v>
      </c>
      <c r="D26" s="703">
        <v>0</v>
      </c>
      <c r="E26" s="703">
        <v>0</v>
      </c>
      <c r="F26" s="703">
        <v>0</v>
      </c>
      <c r="G26" s="679">
        <f t="shared" si="9"/>
        <v>0</v>
      </c>
      <c r="H26" s="703">
        <v>0</v>
      </c>
      <c r="I26" s="703">
        <v>0</v>
      </c>
    </row>
    <row r="27" spans="1:10" x14ac:dyDescent="0.25">
      <c r="A27" s="1018" t="s">
        <v>357</v>
      </c>
      <c r="B27" s="1019"/>
      <c r="C27" s="703">
        <v>0</v>
      </c>
      <c r="D27" s="703">
        <v>0</v>
      </c>
      <c r="E27" s="703">
        <v>0</v>
      </c>
      <c r="F27" s="703">
        <v>0</v>
      </c>
      <c r="G27" s="679">
        <f t="shared" si="9"/>
        <v>0</v>
      </c>
      <c r="H27" s="703">
        <v>0</v>
      </c>
      <c r="I27" s="703">
        <v>0</v>
      </c>
    </row>
    <row r="28" spans="1:10" ht="7.5" customHeight="1" thickBot="1" x14ac:dyDescent="0.3">
      <c r="A28" s="1020"/>
      <c r="B28" s="1021"/>
      <c r="C28" s="682"/>
      <c r="D28" s="682"/>
      <c r="E28" s="682"/>
      <c r="F28" s="682"/>
      <c r="G28" s="682"/>
      <c r="H28" s="682"/>
      <c r="I28" s="682"/>
    </row>
    <row r="29" spans="1:10" ht="3.75" customHeight="1" x14ac:dyDescent="0.25"/>
    <row r="30" spans="1:10" ht="33" customHeight="1" x14ac:dyDescent="0.25">
      <c r="B30" s="645">
        <v>1</v>
      </c>
      <c r="C30" s="1011" t="s">
        <v>358</v>
      </c>
      <c r="D30" s="1011"/>
      <c r="E30" s="1011"/>
      <c r="F30" s="1011"/>
      <c r="G30" s="1011"/>
      <c r="H30" s="1011"/>
      <c r="I30" s="1011"/>
    </row>
    <row r="31" spans="1:10" ht="18.75" customHeight="1" x14ac:dyDescent="0.25">
      <c r="B31" s="645">
        <v>2</v>
      </c>
      <c r="C31" s="1011" t="s">
        <v>359</v>
      </c>
      <c r="D31" s="1011"/>
      <c r="E31" s="1011"/>
      <c r="F31" s="1011"/>
      <c r="G31" s="1011"/>
      <c r="H31" s="1011"/>
      <c r="I31" s="1011"/>
    </row>
    <row r="32" spans="1:10" ht="3.75" customHeight="1" thickBot="1" x14ac:dyDescent="0.3"/>
    <row r="33" spans="2:7" ht="19.5" x14ac:dyDescent="0.25">
      <c r="B33" s="1012" t="s">
        <v>360</v>
      </c>
      <c r="C33" s="640" t="s">
        <v>361</v>
      </c>
      <c r="D33" s="640" t="s">
        <v>362</v>
      </c>
      <c r="E33" s="640" t="s">
        <v>363</v>
      </c>
      <c r="F33" s="1015" t="s">
        <v>364</v>
      </c>
      <c r="G33" s="640" t="s">
        <v>365</v>
      </c>
    </row>
    <row r="34" spans="2:7" x14ac:dyDescent="0.25">
      <c r="B34" s="1013"/>
      <c r="C34" s="630" t="s">
        <v>366</v>
      </c>
      <c r="D34" s="630" t="s">
        <v>367</v>
      </c>
      <c r="E34" s="630" t="s">
        <v>368</v>
      </c>
      <c r="F34" s="1016"/>
      <c r="G34" s="630" t="s">
        <v>369</v>
      </c>
    </row>
    <row r="35" spans="2:7" ht="15.75" thickBot="1" x14ac:dyDescent="0.3">
      <c r="B35" s="1014"/>
      <c r="C35" s="641"/>
      <c r="D35" s="631" t="s">
        <v>370</v>
      </c>
      <c r="E35" s="641"/>
      <c r="F35" s="1017"/>
      <c r="G35" s="641"/>
    </row>
    <row r="36" spans="2:7" ht="19.5" x14ac:dyDescent="0.25">
      <c r="B36" s="642" t="s">
        <v>371</v>
      </c>
      <c r="C36" s="632"/>
      <c r="D36" s="632"/>
      <c r="E36" s="632"/>
      <c r="F36" s="632"/>
      <c r="G36" s="632"/>
    </row>
    <row r="37" spans="2:7" x14ac:dyDescent="0.25">
      <c r="B37" s="643" t="s">
        <v>372</v>
      </c>
      <c r="C37" s="680"/>
      <c r="D37" s="680"/>
      <c r="E37" s="680"/>
      <c r="F37" s="680"/>
      <c r="G37" s="680"/>
    </row>
    <row r="38" spans="2:7" x14ac:dyDescent="0.25">
      <c r="B38" s="643" t="s">
        <v>373</v>
      </c>
      <c r="C38" s="680"/>
      <c r="D38" s="680"/>
      <c r="E38" s="680"/>
      <c r="F38" s="680"/>
      <c r="G38" s="680"/>
    </row>
    <row r="39" spans="2:7" ht="15.75" thickBot="1" x14ac:dyDescent="0.3">
      <c r="B39" s="644" t="s">
        <v>374</v>
      </c>
      <c r="C39" s="681"/>
      <c r="D39" s="681"/>
      <c r="E39" s="681"/>
      <c r="F39" s="681"/>
      <c r="G39" s="681"/>
    </row>
  </sheetData>
  <sheetProtection password="C115" sheet="1" scenarios="1" formatColumns="0" formatRows="0" insertHyperlinks="0"/>
  <mergeCells count="30">
    <mergeCell ref="A20:B20"/>
    <mergeCell ref="A21:B21"/>
    <mergeCell ref="A22:B22"/>
    <mergeCell ref="A23:B23"/>
    <mergeCell ref="A19:B19"/>
    <mergeCell ref="C31:I31"/>
    <mergeCell ref="C30:I30"/>
    <mergeCell ref="B33:B35"/>
    <mergeCell ref="F33:F35"/>
    <mergeCell ref="A24:B24"/>
    <mergeCell ref="A25:B25"/>
    <mergeCell ref="A26:B26"/>
    <mergeCell ref="A27:B27"/>
    <mergeCell ref="A28:B28"/>
    <mergeCell ref="A9:B9"/>
    <mergeCell ref="A10:B10"/>
    <mergeCell ref="A14:B14"/>
    <mergeCell ref="A18:B18"/>
    <mergeCell ref="A1:I1"/>
    <mergeCell ref="A2:I2"/>
    <mergeCell ref="A4:I4"/>
    <mergeCell ref="A5:I5"/>
    <mergeCell ref="A6:B7"/>
    <mergeCell ref="D6:D7"/>
    <mergeCell ref="E6:E7"/>
    <mergeCell ref="F6:F7"/>
    <mergeCell ref="H6:H7"/>
    <mergeCell ref="I6:I7"/>
    <mergeCell ref="A3:I3"/>
    <mergeCell ref="A8:B8"/>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1"/>
  <sheetViews>
    <sheetView workbookViewId="0">
      <selection sqref="A1:K28"/>
    </sheetView>
  </sheetViews>
  <sheetFormatPr baseColWidth="10" defaultColWidth="11.42578125" defaultRowHeight="15" x14ac:dyDescent="0.25"/>
  <cols>
    <col min="1" max="1" width="23.5703125" customWidth="1"/>
  </cols>
  <sheetData>
    <row r="1" spans="1:11" ht="15.75" x14ac:dyDescent="0.25">
      <c r="A1" s="965" t="s">
        <v>25</v>
      </c>
      <c r="B1" s="965"/>
      <c r="C1" s="965"/>
      <c r="D1" s="965"/>
      <c r="E1" s="965"/>
      <c r="F1" s="965"/>
      <c r="G1" s="965"/>
      <c r="H1" s="965"/>
      <c r="I1" s="965"/>
      <c r="J1" s="965"/>
      <c r="K1" s="965"/>
    </row>
    <row r="2" spans="1:11" ht="15.75" customHeight="1" x14ac:dyDescent="0.25">
      <c r="A2" s="966" t="s">
        <v>375</v>
      </c>
      <c r="B2" s="966"/>
      <c r="C2" s="966"/>
      <c r="D2" s="966"/>
      <c r="E2" s="966"/>
      <c r="F2" s="966"/>
      <c r="G2" s="966"/>
      <c r="H2" s="966"/>
      <c r="I2" s="966"/>
      <c r="J2" s="966"/>
      <c r="K2" s="966"/>
    </row>
    <row r="3" spans="1:11" ht="16.5" customHeight="1" x14ac:dyDescent="0.25">
      <c r="A3" s="966" t="str">
        <f>'ETCA-I-01'!A3:G3</f>
        <v>Consejo Estatal de Concertacion para la Obra Publica</v>
      </c>
      <c r="B3" s="966"/>
      <c r="C3" s="966"/>
      <c r="D3" s="966"/>
      <c r="E3" s="966"/>
      <c r="F3" s="966"/>
      <c r="G3" s="966"/>
      <c r="H3" s="966"/>
      <c r="I3" s="966"/>
      <c r="J3" s="966"/>
      <c r="K3" s="966"/>
    </row>
    <row r="4" spans="1:11" ht="15.75" customHeight="1" x14ac:dyDescent="0.25">
      <c r="A4" s="1001" t="str">
        <f>'ETCA-I-09'!A4:I4</f>
        <v>Del 01 de Enero  al 30 de Septiembre de 2017</v>
      </c>
      <c r="B4" s="1001"/>
      <c r="C4" s="1001"/>
      <c r="D4" s="1001"/>
      <c r="E4" s="1001"/>
      <c r="F4" s="1001"/>
      <c r="G4" s="1001"/>
      <c r="H4" s="1001"/>
      <c r="I4" s="1001"/>
      <c r="J4" s="1001"/>
      <c r="K4" s="1001"/>
    </row>
    <row r="5" spans="1:11" ht="15.75" thickBot="1" x14ac:dyDescent="0.3">
      <c r="A5" s="1002" t="s">
        <v>89</v>
      </c>
      <c r="B5" s="1002"/>
      <c r="C5" s="1002"/>
      <c r="D5" s="1002"/>
      <c r="E5" s="1002"/>
      <c r="F5" s="1002"/>
      <c r="G5" s="1002"/>
      <c r="H5" s="1002"/>
      <c r="I5" s="1002"/>
      <c r="J5" s="1002"/>
      <c r="K5" s="1002"/>
    </row>
    <row r="6" spans="1:11" ht="115.5" thickBot="1" x14ac:dyDescent="0.3">
      <c r="A6" s="634" t="s">
        <v>376</v>
      </c>
      <c r="B6" s="635" t="s">
        <v>377</v>
      </c>
      <c r="C6" s="635" t="s">
        <v>378</v>
      </c>
      <c r="D6" s="635" t="s">
        <v>379</v>
      </c>
      <c r="E6" s="635" t="s">
        <v>380</v>
      </c>
      <c r="F6" s="635" t="s">
        <v>381</v>
      </c>
      <c r="G6" s="635" t="s">
        <v>382</v>
      </c>
      <c r="H6" s="635" t="s">
        <v>383</v>
      </c>
      <c r="I6" s="871" t="s">
        <v>1056</v>
      </c>
      <c r="J6" s="871" t="s">
        <v>1057</v>
      </c>
      <c r="K6" s="871" t="s">
        <v>1058</v>
      </c>
    </row>
    <row r="7" spans="1:11" x14ac:dyDescent="0.25">
      <c r="A7" s="627"/>
      <c r="B7" s="629"/>
      <c r="C7" s="629"/>
      <c r="D7" s="629"/>
      <c r="E7" s="629"/>
      <c r="F7" s="629"/>
      <c r="G7" s="629"/>
      <c r="H7" s="629"/>
      <c r="I7" s="629"/>
      <c r="J7" s="629"/>
      <c r="K7" s="629"/>
    </row>
    <row r="8" spans="1:11" ht="25.5" x14ac:dyDescent="0.25">
      <c r="A8" s="636" t="s">
        <v>384</v>
      </c>
      <c r="B8" s="683">
        <f t="shared" ref="B8:J8" si="0">B9+B10+B11+B12</f>
        <v>0</v>
      </c>
      <c r="C8" s="683">
        <f t="shared" si="0"/>
        <v>0</v>
      </c>
      <c r="D8" s="683">
        <f t="shared" si="0"/>
        <v>0</v>
      </c>
      <c r="E8" s="885" t="s">
        <v>1063</v>
      </c>
      <c r="F8" s="683">
        <f t="shared" si="0"/>
        <v>0</v>
      </c>
      <c r="G8" s="683">
        <f t="shared" si="0"/>
        <v>0</v>
      </c>
      <c r="H8" s="683">
        <f t="shared" si="0"/>
        <v>0</v>
      </c>
      <c r="I8" s="683">
        <f t="shared" si="0"/>
        <v>0</v>
      </c>
      <c r="J8" s="683">
        <f t="shared" si="0"/>
        <v>0</v>
      </c>
      <c r="K8" s="683" t="e">
        <f>E8-J8</f>
        <v>#VALUE!</v>
      </c>
    </row>
    <row r="9" spans="1:11" x14ac:dyDescent="0.25">
      <c r="A9" s="637" t="s">
        <v>385</v>
      </c>
      <c r="B9" s="694">
        <v>0</v>
      </c>
      <c r="C9" s="694">
        <v>0</v>
      </c>
      <c r="D9" s="694">
        <v>0</v>
      </c>
      <c r="E9" s="694"/>
      <c r="F9" s="694">
        <v>0</v>
      </c>
      <c r="G9" s="694">
        <v>0</v>
      </c>
      <c r="H9" s="694">
        <v>0</v>
      </c>
      <c r="I9" s="694">
        <v>0</v>
      </c>
      <c r="J9" s="694">
        <v>0</v>
      </c>
      <c r="K9" s="683">
        <f t="shared" ref="K9:K12" si="1">E9-J9</f>
        <v>0</v>
      </c>
    </row>
    <row r="10" spans="1:11" x14ac:dyDescent="0.25">
      <c r="A10" s="637" t="s">
        <v>386</v>
      </c>
      <c r="B10" s="694">
        <v>0</v>
      </c>
      <c r="C10" s="694"/>
      <c r="D10" s="694"/>
      <c r="E10" s="694">
        <v>0</v>
      </c>
      <c r="F10" s="694"/>
      <c r="G10" s="694"/>
      <c r="H10" s="694"/>
      <c r="I10" s="694"/>
      <c r="J10" s="694">
        <v>0</v>
      </c>
      <c r="K10" s="683">
        <f t="shared" si="1"/>
        <v>0</v>
      </c>
    </row>
    <row r="11" spans="1:11" x14ac:dyDescent="0.25">
      <c r="A11" s="637" t="s">
        <v>387</v>
      </c>
      <c r="B11" s="694">
        <v>0</v>
      </c>
      <c r="C11" s="694">
        <v>0</v>
      </c>
      <c r="D11" s="694">
        <v>0</v>
      </c>
      <c r="E11" s="694">
        <v>0</v>
      </c>
      <c r="F11" s="694">
        <v>0</v>
      </c>
      <c r="G11" s="694">
        <v>0</v>
      </c>
      <c r="H11" s="694">
        <v>0</v>
      </c>
      <c r="I11" s="694">
        <v>0</v>
      </c>
      <c r="J11" s="694">
        <v>0</v>
      </c>
      <c r="K11" s="683">
        <f t="shared" si="1"/>
        <v>0</v>
      </c>
    </row>
    <row r="12" spans="1:11" x14ac:dyDescent="0.25">
      <c r="A12" s="637" t="s">
        <v>388</v>
      </c>
      <c r="B12" s="694">
        <v>0</v>
      </c>
      <c r="C12" s="694"/>
      <c r="D12" s="694"/>
      <c r="E12" s="694">
        <v>0</v>
      </c>
      <c r="F12" s="694"/>
      <c r="G12" s="694"/>
      <c r="H12" s="694"/>
      <c r="I12" s="694"/>
      <c r="J12" s="694">
        <v>0</v>
      </c>
      <c r="K12" s="683">
        <f t="shared" si="1"/>
        <v>0</v>
      </c>
    </row>
    <row r="13" spans="1:11" x14ac:dyDescent="0.25">
      <c r="A13" s="628"/>
      <c r="B13" s="683"/>
      <c r="C13" s="683"/>
      <c r="D13" s="683"/>
      <c r="E13" s="683"/>
      <c r="F13" s="683"/>
      <c r="G13" s="683"/>
      <c r="H13" s="683"/>
      <c r="I13" s="683"/>
      <c r="J13" s="683"/>
      <c r="K13" s="683"/>
    </row>
    <row r="14" spans="1:11" ht="25.5" x14ac:dyDescent="0.25">
      <c r="A14" s="636" t="s">
        <v>389</v>
      </c>
      <c r="B14" s="683">
        <f t="shared" ref="B14:J14" si="2">B15+B16+B17+B18</f>
        <v>0</v>
      </c>
      <c r="C14" s="683">
        <f t="shared" si="2"/>
        <v>0</v>
      </c>
      <c r="D14" s="683">
        <f t="shared" si="2"/>
        <v>0</v>
      </c>
      <c r="E14" s="683">
        <f t="shared" si="2"/>
        <v>0</v>
      </c>
      <c r="F14" s="683">
        <f t="shared" si="2"/>
        <v>0</v>
      </c>
      <c r="G14" s="683">
        <f t="shared" si="2"/>
        <v>0</v>
      </c>
      <c r="H14" s="683">
        <f t="shared" si="2"/>
        <v>0</v>
      </c>
      <c r="I14" s="683">
        <f t="shared" si="2"/>
        <v>0</v>
      </c>
      <c r="J14" s="683">
        <f t="shared" si="2"/>
        <v>0</v>
      </c>
      <c r="K14" s="683">
        <f>E14-J14</f>
        <v>0</v>
      </c>
    </row>
    <row r="15" spans="1:11" x14ac:dyDescent="0.25">
      <c r="A15" s="637" t="s">
        <v>390</v>
      </c>
      <c r="B15" s="694">
        <v>0</v>
      </c>
      <c r="C15" s="694"/>
      <c r="D15" s="694"/>
      <c r="E15" s="694">
        <v>0</v>
      </c>
      <c r="F15" s="694"/>
      <c r="G15" s="694"/>
      <c r="H15" s="694"/>
      <c r="I15" s="694"/>
      <c r="J15" s="694"/>
      <c r="K15" s="683">
        <f t="shared" ref="K15:K18" si="3">E15-J15</f>
        <v>0</v>
      </c>
    </row>
    <row r="16" spans="1:11" x14ac:dyDescent="0.25">
      <c r="A16" s="637" t="s">
        <v>391</v>
      </c>
      <c r="B16" s="694">
        <v>0</v>
      </c>
      <c r="C16" s="694"/>
      <c r="D16" s="694">
        <v>0</v>
      </c>
      <c r="E16" s="694">
        <v>0</v>
      </c>
      <c r="F16" s="694">
        <v>0</v>
      </c>
      <c r="G16" s="694">
        <v>0</v>
      </c>
      <c r="H16" s="694">
        <v>0</v>
      </c>
      <c r="I16" s="694">
        <v>0</v>
      </c>
      <c r="J16" s="694">
        <v>0</v>
      </c>
      <c r="K16" s="683">
        <f t="shared" si="3"/>
        <v>0</v>
      </c>
    </row>
    <row r="17" spans="1:11" x14ac:dyDescent="0.25">
      <c r="A17" s="637" t="s">
        <v>392</v>
      </c>
      <c r="B17" s="694">
        <v>0</v>
      </c>
      <c r="C17" s="694">
        <v>0</v>
      </c>
      <c r="D17" s="694"/>
      <c r="E17" s="694">
        <v>0</v>
      </c>
      <c r="F17" s="694"/>
      <c r="G17" s="694"/>
      <c r="H17" s="694"/>
      <c r="I17" s="694"/>
      <c r="J17" s="694"/>
      <c r="K17" s="683">
        <f t="shared" si="3"/>
        <v>0</v>
      </c>
    </row>
    <row r="18" spans="1:11" x14ac:dyDescent="0.25">
      <c r="A18" s="637" t="s">
        <v>393</v>
      </c>
      <c r="B18" s="694">
        <v>0</v>
      </c>
      <c r="C18" s="694"/>
      <c r="D18" s="694"/>
      <c r="E18" s="694">
        <v>0</v>
      </c>
      <c r="F18" s="694"/>
      <c r="G18" s="694"/>
      <c r="H18" s="694"/>
      <c r="I18" s="694"/>
      <c r="J18" s="694"/>
      <c r="K18" s="683">
        <f t="shared" si="3"/>
        <v>0</v>
      </c>
    </row>
    <row r="19" spans="1:11" x14ac:dyDescent="0.25">
      <c r="A19" s="628"/>
      <c r="B19" s="683">
        <v>0</v>
      </c>
      <c r="C19" s="683"/>
      <c r="D19" s="683"/>
      <c r="E19" s="683"/>
      <c r="F19" s="683"/>
      <c r="G19" s="683"/>
      <c r="H19" s="683"/>
      <c r="I19" s="683"/>
      <c r="J19" s="683"/>
      <c r="K19" s="695"/>
    </row>
    <row r="20" spans="1:11" ht="38.25" x14ac:dyDescent="0.25">
      <c r="A20" s="636" t="s">
        <v>394</v>
      </c>
      <c r="B20" s="683">
        <f>B8+B14</f>
        <v>0</v>
      </c>
      <c r="C20" s="683">
        <f t="shared" ref="C20:J20" si="4">C8+C14</f>
        <v>0</v>
      </c>
      <c r="D20" s="683">
        <f t="shared" si="4"/>
        <v>0</v>
      </c>
      <c r="E20" s="683"/>
      <c r="F20" s="683">
        <f t="shared" si="4"/>
        <v>0</v>
      </c>
      <c r="G20" s="683">
        <f t="shared" si="4"/>
        <v>0</v>
      </c>
      <c r="H20" s="683">
        <f t="shared" si="4"/>
        <v>0</v>
      </c>
      <c r="I20" s="683">
        <f t="shared" si="4"/>
        <v>0</v>
      </c>
      <c r="J20" s="683">
        <f t="shared" si="4"/>
        <v>0</v>
      </c>
      <c r="K20" s="683">
        <f>E20-J20</f>
        <v>0</v>
      </c>
    </row>
    <row r="21" spans="1:11" ht="15.75" thickBot="1" x14ac:dyDescent="0.3">
      <c r="A21" s="638"/>
      <c r="B21" s="639"/>
      <c r="C21" s="639"/>
      <c r="D21" s="639"/>
      <c r="E21" s="639"/>
      <c r="F21" s="639"/>
      <c r="G21" s="639"/>
      <c r="H21" s="639"/>
      <c r="I21" s="639"/>
      <c r="J21" s="639"/>
      <c r="K21" s="639"/>
    </row>
  </sheetData>
  <mergeCells count="5">
    <mergeCell ref="A3:K3"/>
    <mergeCell ref="A1:K1"/>
    <mergeCell ref="A2:K2"/>
    <mergeCell ref="A4:K4"/>
    <mergeCell ref="A5:K5"/>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sheetPr>
  <dimension ref="A1:I50"/>
  <sheetViews>
    <sheetView view="pageBreakPreview" zoomScale="90" zoomScaleNormal="100" zoomScaleSheetLayoutView="90" workbookViewId="0">
      <selection activeCell="C16" sqref="C16:H30"/>
    </sheetView>
  </sheetViews>
  <sheetFormatPr baseColWidth="10" defaultColWidth="11.28515625" defaultRowHeight="16.5" x14ac:dyDescent="0.3"/>
  <cols>
    <col min="1" max="1" width="18.85546875" style="3" customWidth="1"/>
    <col min="2" max="7" width="11.28515625" style="3"/>
    <col min="8" max="8" width="12.140625" style="3" customWidth="1"/>
    <col min="9" max="9" width="14.28515625" style="3" customWidth="1"/>
    <col min="10" max="16384" width="11.28515625" style="3"/>
  </cols>
  <sheetData>
    <row r="1" spans="1:9" x14ac:dyDescent="0.3">
      <c r="A1" s="1031" t="s">
        <v>25</v>
      </c>
      <c r="B1" s="1031"/>
      <c r="C1" s="1031"/>
      <c r="D1" s="1031"/>
      <c r="E1" s="1031"/>
      <c r="F1" s="1031"/>
      <c r="G1" s="1031"/>
      <c r="H1" s="1031"/>
      <c r="I1" s="1031"/>
    </row>
    <row r="2" spans="1:9" x14ac:dyDescent="0.3">
      <c r="A2" s="1033" t="s">
        <v>8</v>
      </c>
      <c r="B2" s="1033"/>
      <c r="C2" s="1033"/>
      <c r="D2" s="1033"/>
      <c r="E2" s="1033"/>
      <c r="F2" s="1033"/>
      <c r="G2" s="1033"/>
      <c r="H2" s="1033"/>
      <c r="I2" s="1033"/>
    </row>
    <row r="3" spans="1:9" x14ac:dyDescent="0.3">
      <c r="A3" s="1032" t="str">
        <f>'ETCA-I-01'!A3:G3</f>
        <v>Consejo Estatal de Concertacion para la Obra Publica</v>
      </c>
      <c r="B3" s="1032"/>
      <c r="C3" s="1032"/>
      <c r="D3" s="1032"/>
      <c r="E3" s="1032"/>
      <c r="F3" s="1032"/>
      <c r="G3" s="1032"/>
      <c r="H3" s="1032"/>
      <c r="I3" s="1032"/>
    </row>
    <row r="4" spans="1:9" x14ac:dyDescent="0.3">
      <c r="A4" s="1032" t="str">
        <f>'ETCA-I-01'!A4:G4</f>
        <v>Al 30 de Septiembre de 2017</v>
      </c>
      <c r="B4" s="1032"/>
      <c r="C4" s="1032"/>
      <c r="D4" s="1032"/>
      <c r="E4" s="1032"/>
      <c r="F4" s="1032"/>
      <c r="G4" s="1032"/>
      <c r="H4" s="1032"/>
      <c r="I4" s="1032"/>
    </row>
    <row r="5" spans="1:9" ht="18" customHeight="1" thickBot="1" x14ac:dyDescent="0.35">
      <c r="A5" s="5"/>
      <c r="B5" s="1034" t="s">
        <v>395</v>
      </c>
      <c r="C5" s="1034"/>
      <c r="D5" s="1034"/>
      <c r="E5" s="1034"/>
      <c r="F5" s="1034"/>
      <c r="G5" s="1034"/>
      <c r="H5" s="319"/>
      <c r="I5" s="5"/>
    </row>
    <row r="6" spans="1:9" x14ac:dyDescent="0.3">
      <c r="A6" s="7"/>
      <c r="B6" s="8"/>
      <c r="C6" s="8"/>
      <c r="D6" s="8"/>
      <c r="E6" s="8"/>
      <c r="F6" s="8"/>
      <c r="G6" s="8"/>
      <c r="H6" s="8"/>
      <c r="I6" s="9"/>
    </row>
    <row r="7" spans="1:9" x14ac:dyDescent="0.3">
      <c r="A7" s="10"/>
      <c r="B7" s="11"/>
      <c r="C7" s="11"/>
      <c r="D7" s="11"/>
      <c r="E7" s="11"/>
      <c r="F7" s="11"/>
      <c r="G7" s="11"/>
      <c r="H7" s="11"/>
      <c r="I7" s="12"/>
    </row>
    <row r="8" spans="1:9" x14ac:dyDescent="0.3">
      <c r="A8" s="13" t="s">
        <v>396</v>
      </c>
      <c r="B8" s="11"/>
      <c r="C8" s="11"/>
      <c r="D8" s="11"/>
      <c r="E8" s="11"/>
      <c r="F8" s="11"/>
      <c r="G8" s="11"/>
      <c r="H8" s="11"/>
      <c r="I8" s="12"/>
    </row>
    <row r="9" spans="1:9" x14ac:dyDescent="0.3">
      <c r="A9" s="13"/>
      <c r="B9" s="11"/>
      <c r="C9" s="11"/>
      <c r="D9" s="11"/>
      <c r="E9" s="11"/>
      <c r="F9" s="11"/>
      <c r="G9" s="11"/>
      <c r="H9" s="11"/>
      <c r="I9" s="12"/>
    </row>
    <row r="10" spans="1:9" x14ac:dyDescent="0.3">
      <c r="A10" s="13"/>
      <c r="B10" s="11"/>
      <c r="C10" s="11"/>
      <c r="D10" s="11"/>
      <c r="E10" s="11"/>
      <c r="F10" s="11"/>
      <c r="G10" s="11"/>
      <c r="H10" s="11"/>
      <c r="I10" s="12"/>
    </row>
    <row r="11" spans="1:9" x14ac:dyDescent="0.3">
      <c r="A11" s="13"/>
      <c r="B11" s="11"/>
      <c r="C11" s="11"/>
      <c r="D11" s="11"/>
      <c r="E11" s="11"/>
      <c r="F11" s="11"/>
      <c r="G11" s="11"/>
      <c r="H11" s="11"/>
      <c r="I11" s="12"/>
    </row>
    <row r="12" spans="1:9" x14ac:dyDescent="0.3">
      <c r="A12" s="13"/>
      <c r="B12" s="11"/>
      <c r="C12" s="11"/>
      <c r="D12" s="11"/>
      <c r="E12" s="11"/>
      <c r="F12" s="11"/>
      <c r="G12" s="11"/>
      <c r="H12" s="11"/>
      <c r="I12" s="12"/>
    </row>
    <row r="13" spans="1:9" ht="15.75" customHeight="1" x14ac:dyDescent="0.3">
      <c r="A13" s="10"/>
      <c r="B13" s="11"/>
      <c r="C13" s="14"/>
      <c r="D13" s="14"/>
      <c r="E13" s="14"/>
      <c r="F13" s="14"/>
      <c r="G13" s="14"/>
      <c r="H13" s="14"/>
      <c r="I13" s="12"/>
    </row>
    <row r="14" spans="1:9" ht="15" customHeight="1" thickBot="1" x14ac:dyDescent="0.35">
      <c r="A14" s="15"/>
      <c r="B14" s="1"/>
      <c r="C14" s="16"/>
      <c r="D14" s="16"/>
      <c r="E14" s="16"/>
      <c r="F14" s="16"/>
      <c r="G14" s="16"/>
      <c r="H14" s="16"/>
      <c r="I14" s="2"/>
    </row>
    <row r="15" spans="1:9" ht="15" customHeight="1" thickBot="1" x14ac:dyDescent="0.35">
      <c r="A15" s="10"/>
      <c r="B15" s="11"/>
      <c r="C15" s="14"/>
      <c r="D15" s="14"/>
      <c r="E15" s="14"/>
      <c r="F15" s="14"/>
      <c r="G15" s="14"/>
      <c r="H15" s="14"/>
      <c r="I15" s="12"/>
    </row>
    <row r="16" spans="1:9" ht="15" customHeight="1" x14ac:dyDescent="0.3">
      <c r="A16" s="10"/>
      <c r="B16" s="11"/>
      <c r="C16" s="1022" t="s">
        <v>1227</v>
      </c>
      <c r="D16" s="1023"/>
      <c r="E16" s="1023"/>
      <c r="F16" s="1023"/>
      <c r="G16" s="1023"/>
      <c r="H16" s="1024"/>
      <c r="I16" s="12"/>
    </row>
    <row r="17" spans="1:9" ht="15" customHeight="1" x14ac:dyDescent="0.3">
      <c r="A17" s="10"/>
      <c r="B17" s="11"/>
      <c r="C17" s="1025"/>
      <c r="D17" s="1026"/>
      <c r="E17" s="1026"/>
      <c r="F17" s="1026"/>
      <c r="G17" s="1026"/>
      <c r="H17" s="1027"/>
      <c r="I17" s="12"/>
    </row>
    <row r="18" spans="1:9" ht="15" customHeight="1" x14ac:dyDescent="0.3">
      <c r="A18" s="10"/>
      <c r="B18" s="11"/>
      <c r="C18" s="1025"/>
      <c r="D18" s="1026"/>
      <c r="E18" s="1026"/>
      <c r="F18" s="1026"/>
      <c r="G18" s="1026"/>
      <c r="H18" s="1027"/>
      <c r="I18" s="12"/>
    </row>
    <row r="19" spans="1:9" ht="15" customHeight="1" x14ac:dyDescent="0.3">
      <c r="A19" s="13" t="s">
        <v>397</v>
      </c>
      <c r="B19" s="11"/>
      <c r="C19" s="1025"/>
      <c r="D19" s="1026"/>
      <c r="E19" s="1026"/>
      <c r="F19" s="1026"/>
      <c r="G19" s="1026"/>
      <c r="H19" s="1027"/>
      <c r="I19" s="12"/>
    </row>
    <row r="20" spans="1:9" ht="15" customHeight="1" x14ac:dyDescent="0.3">
      <c r="A20" s="10"/>
      <c r="B20" s="11"/>
      <c r="C20" s="1025"/>
      <c r="D20" s="1026"/>
      <c r="E20" s="1026"/>
      <c r="F20" s="1026"/>
      <c r="G20" s="1026"/>
      <c r="H20" s="1027"/>
      <c r="I20" s="12"/>
    </row>
    <row r="21" spans="1:9" ht="15" customHeight="1" x14ac:dyDescent="0.3">
      <c r="A21" s="10"/>
      <c r="B21" s="11"/>
      <c r="C21" s="1025"/>
      <c r="D21" s="1026"/>
      <c r="E21" s="1026"/>
      <c r="F21" s="1026"/>
      <c r="G21" s="1026"/>
      <c r="H21" s="1027"/>
      <c r="I21" s="12"/>
    </row>
    <row r="22" spans="1:9" ht="15" customHeight="1" x14ac:dyDescent="0.3">
      <c r="A22" s="10"/>
      <c r="B22" s="11"/>
      <c r="C22" s="1025"/>
      <c r="D22" s="1026"/>
      <c r="E22" s="1026"/>
      <c r="F22" s="1026"/>
      <c r="G22" s="1026"/>
      <c r="H22" s="1027"/>
      <c r="I22" s="12"/>
    </row>
    <row r="23" spans="1:9" ht="15" customHeight="1" x14ac:dyDescent="0.3">
      <c r="A23" s="10"/>
      <c r="B23" s="11"/>
      <c r="C23" s="1025"/>
      <c r="D23" s="1026"/>
      <c r="E23" s="1026"/>
      <c r="F23" s="1026"/>
      <c r="G23" s="1026"/>
      <c r="H23" s="1027"/>
      <c r="I23" s="12"/>
    </row>
    <row r="24" spans="1:9" ht="15" customHeight="1" x14ac:dyDescent="0.3">
      <c r="A24" s="10"/>
      <c r="B24" s="11"/>
      <c r="C24" s="1025"/>
      <c r="D24" s="1026"/>
      <c r="E24" s="1026"/>
      <c r="F24" s="1026"/>
      <c r="G24" s="1026"/>
      <c r="H24" s="1027"/>
      <c r="I24" s="12"/>
    </row>
    <row r="25" spans="1:9" ht="15" customHeight="1" x14ac:dyDescent="0.3">
      <c r="A25" s="10"/>
      <c r="B25" s="11"/>
      <c r="C25" s="1025"/>
      <c r="D25" s="1026"/>
      <c r="E25" s="1026"/>
      <c r="F25" s="1026"/>
      <c r="G25" s="1026"/>
      <c r="H25" s="1027"/>
      <c r="I25" s="12"/>
    </row>
    <row r="26" spans="1:9" ht="15" customHeight="1" x14ac:dyDescent="0.3">
      <c r="A26" s="10"/>
      <c r="B26" s="11"/>
      <c r="C26" s="1025"/>
      <c r="D26" s="1026"/>
      <c r="E26" s="1026"/>
      <c r="F26" s="1026"/>
      <c r="G26" s="1026"/>
      <c r="H26" s="1027"/>
      <c r="I26" s="12"/>
    </row>
    <row r="27" spans="1:9" ht="14.25" customHeight="1" x14ac:dyDescent="0.3">
      <c r="A27" s="10"/>
      <c r="B27" s="11"/>
      <c r="C27" s="1025"/>
      <c r="D27" s="1026"/>
      <c r="E27" s="1026"/>
      <c r="F27" s="1026"/>
      <c r="G27" s="1026"/>
      <c r="H27" s="1027"/>
      <c r="I27" s="12"/>
    </row>
    <row r="28" spans="1:9" ht="15.75" customHeight="1" x14ac:dyDescent="0.3">
      <c r="A28" s="10"/>
      <c r="B28" s="11"/>
      <c r="C28" s="1025"/>
      <c r="D28" s="1026"/>
      <c r="E28" s="1026"/>
      <c r="F28" s="1026"/>
      <c r="G28" s="1026"/>
      <c r="H28" s="1027"/>
      <c r="I28" s="12"/>
    </row>
    <row r="29" spans="1:9" x14ac:dyDescent="0.3">
      <c r="A29" s="10"/>
      <c r="B29" s="11"/>
      <c r="C29" s="1025"/>
      <c r="D29" s="1026"/>
      <c r="E29" s="1026"/>
      <c r="F29" s="1026"/>
      <c r="G29" s="1026"/>
      <c r="H29" s="1027"/>
      <c r="I29" s="12"/>
    </row>
    <row r="30" spans="1:9" ht="17.25" thickBot="1" x14ac:dyDescent="0.35">
      <c r="A30" s="10"/>
      <c r="B30" s="11"/>
      <c r="C30" s="1028"/>
      <c r="D30" s="1029"/>
      <c r="E30" s="1029"/>
      <c r="F30" s="1029"/>
      <c r="G30" s="1029"/>
      <c r="H30" s="1030"/>
      <c r="I30" s="12"/>
    </row>
    <row r="31" spans="1:9" ht="17.25" thickBot="1" x14ac:dyDescent="0.35">
      <c r="A31" s="15"/>
      <c r="B31" s="1"/>
      <c r="C31" s="1"/>
      <c r="D31" s="1"/>
      <c r="E31" s="1"/>
      <c r="F31" s="1"/>
      <c r="G31" s="1"/>
      <c r="H31" s="1"/>
      <c r="I31" s="2"/>
    </row>
    <row r="32" spans="1:9" x14ac:dyDescent="0.3">
      <c r="A32" s="10"/>
      <c r="B32" s="11"/>
      <c r="C32" s="11"/>
      <c r="D32" s="11"/>
      <c r="E32" s="11"/>
      <c r="F32" s="11"/>
      <c r="G32" s="11"/>
      <c r="H32" s="11"/>
      <c r="I32" s="12"/>
    </row>
    <row r="33" spans="1:9" x14ac:dyDescent="0.3">
      <c r="A33" s="13" t="s">
        <v>398</v>
      </c>
      <c r="B33" s="11"/>
      <c r="C33" s="11"/>
      <c r="D33" s="11"/>
      <c r="E33" s="11"/>
      <c r="F33" s="11"/>
      <c r="G33" s="11"/>
      <c r="H33" s="11"/>
      <c r="I33" s="12"/>
    </row>
    <row r="34" spans="1:9" x14ac:dyDescent="0.3">
      <c r="A34" s="10"/>
      <c r="B34" s="11"/>
      <c r="C34" s="11"/>
      <c r="D34" s="11"/>
      <c r="E34" s="11"/>
      <c r="F34" s="11"/>
      <c r="G34" s="11"/>
      <c r="H34" s="11"/>
      <c r="I34" s="12"/>
    </row>
    <row r="35" spans="1:9" x14ac:dyDescent="0.3">
      <c r="A35" s="10"/>
      <c r="B35" s="11"/>
      <c r="C35" s="11"/>
      <c r="D35" s="11"/>
      <c r="E35" s="11"/>
      <c r="F35" s="11"/>
      <c r="G35" s="11"/>
      <c r="H35" s="11"/>
      <c r="I35" s="12"/>
    </row>
    <row r="36" spans="1:9" x14ac:dyDescent="0.3">
      <c r="A36" s="10"/>
      <c r="B36" s="11"/>
      <c r="C36" s="11"/>
      <c r="D36" s="11"/>
      <c r="E36" s="11"/>
      <c r="F36" s="11"/>
      <c r="G36" s="11"/>
      <c r="H36" s="11"/>
      <c r="I36" s="12"/>
    </row>
    <row r="37" spans="1:9" x14ac:dyDescent="0.3">
      <c r="A37" s="10"/>
      <c r="B37" s="11"/>
      <c r="C37" s="11"/>
      <c r="D37" s="11"/>
      <c r="E37" s="11"/>
      <c r="F37" s="11"/>
      <c r="G37" s="11"/>
      <c r="H37" s="11"/>
      <c r="I37" s="12"/>
    </row>
    <row r="38" spans="1:9" x14ac:dyDescent="0.3">
      <c r="A38" s="10"/>
      <c r="B38" s="11"/>
      <c r="C38" s="11"/>
      <c r="D38" s="11"/>
      <c r="E38" s="11"/>
      <c r="F38" s="11"/>
      <c r="G38" s="11"/>
      <c r="H38" s="11"/>
      <c r="I38" s="12"/>
    </row>
    <row r="39" spans="1:9" x14ac:dyDescent="0.3">
      <c r="A39" s="10"/>
      <c r="B39" s="11"/>
      <c r="C39" s="11"/>
      <c r="D39" s="11"/>
      <c r="E39" s="11"/>
      <c r="F39" s="11"/>
      <c r="G39" s="11"/>
      <c r="H39" s="11"/>
      <c r="I39" s="12"/>
    </row>
    <row r="40" spans="1:9" x14ac:dyDescent="0.3">
      <c r="A40" s="10"/>
      <c r="B40" s="11"/>
      <c r="C40" s="11"/>
      <c r="D40" s="11"/>
      <c r="E40" s="11"/>
      <c r="F40" s="11"/>
      <c r="G40" s="11"/>
      <c r="H40" s="11"/>
      <c r="I40" s="12"/>
    </row>
    <row r="41" spans="1:9" ht="17.25" thickBot="1" x14ac:dyDescent="0.35">
      <c r="A41" s="15"/>
      <c r="B41" s="1"/>
      <c r="C41" s="1"/>
      <c r="D41" s="1"/>
      <c r="E41" s="1"/>
      <c r="F41" s="1"/>
      <c r="G41" s="1"/>
      <c r="H41" s="1"/>
      <c r="I41" s="2"/>
    </row>
    <row r="42" spans="1:9" x14ac:dyDescent="0.3">
      <c r="A42" s="3" t="s">
        <v>257</v>
      </c>
    </row>
    <row r="48" spans="1:9" x14ac:dyDescent="0.3">
      <c r="A48" s="11"/>
      <c r="B48" s="11"/>
      <c r="C48" s="11"/>
      <c r="D48" s="11"/>
      <c r="E48" s="11"/>
      <c r="F48" s="11"/>
      <c r="G48" s="11"/>
      <c r="H48" s="11"/>
      <c r="I48" s="11"/>
    </row>
    <row r="49" spans="1:9" x14ac:dyDescent="0.3">
      <c r="A49" s="11"/>
      <c r="B49" s="11"/>
      <c r="C49" s="11"/>
      <c r="D49" s="11"/>
      <c r="E49" s="11"/>
      <c r="F49" s="11"/>
      <c r="G49" s="11"/>
      <c r="H49" s="11"/>
      <c r="I49" s="11"/>
    </row>
    <row r="50" spans="1:9" x14ac:dyDescent="0.3">
      <c r="A50" s="11"/>
      <c r="B50" s="11"/>
      <c r="C50" s="11"/>
      <c r="D50" s="11"/>
      <c r="E50" s="11"/>
      <c r="F50" s="11"/>
      <c r="G50" s="11"/>
      <c r="H50" s="11"/>
      <c r="I50" s="11"/>
    </row>
  </sheetData>
  <mergeCells count="6">
    <mergeCell ref="C16:H30"/>
    <mergeCell ref="A1:I1"/>
    <mergeCell ref="A3:I3"/>
    <mergeCell ref="A2:I2"/>
    <mergeCell ref="A4:I4"/>
    <mergeCell ref="B5:G5"/>
  </mergeCells>
  <pageMargins left="0.42" right="0.32" top="0.54"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sheetPr>
  <dimension ref="A1:J50"/>
  <sheetViews>
    <sheetView view="pageBreakPreview" zoomScaleNormal="100" zoomScaleSheetLayoutView="100" workbookViewId="0">
      <selection activeCell="O26" sqref="O26"/>
    </sheetView>
  </sheetViews>
  <sheetFormatPr baseColWidth="10" defaultColWidth="11.28515625" defaultRowHeight="16.5" x14ac:dyDescent="0.3"/>
  <cols>
    <col min="1" max="1" width="3.7109375" style="3" customWidth="1"/>
    <col min="2" max="8" width="11.28515625" style="3"/>
    <col min="9" max="9" width="12.28515625" style="3" customWidth="1"/>
    <col min="10" max="16384" width="11.28515625" style="3"/>
  </cols>
  <sheetData>
    <row r="1" spans="1:10" x14ac:dyDescent="0.3">
      <c r="A1" s="1031" t="s">
        <v>25</v>
      </c>
      <c r="B1" s="1031"/>
      <c r="C1" s="1031"/>
      <c r="D1" s="1031"/>
      <c r="E1" s="1031"/>
      <c r="F1" s="1031"/>
      <c r="G1" s="1031"/>
      <c r="H1" s="1031"/>
      <c r="I1" s="1031"/>
      <c r="J1" s="1031"/>
    </row>
    <row r="2" spans="1:10" x14ac:dyDescent="0.3">
      <c r="A2" s="1033" t="s">
        <v>9</v>
      </c>
      <c r="B2" s="1033"/>
      <c r="C2" s="1033"/>
      <c r="D2" s="1033"/>
      <c r="E2" s="1033"/>
      <c r="F2" s="1033"/>
      <c r="G2" s="1033"/>
      <c r="H2" s="1033"/>
      <c r="I2" s="1033"/>
      <c r="J2" s="1033"/>
    </row>
    <row r="3" spans="1:10" x14ac:dyDescent="0.3">
      <c r="A3" s="1032" t="str">
        <f>'ETCA-I-01'!A3:G3</f>
        <v>Consejo Estatal de Concertacion para la Obra Publica</v>
      </c>
      <c r="B3" s="1032"/>
      <c r="C3" s="1032"/>
      <c r="D3" s="1032"/>
      <c r="E3" s="1032"/>
      <c r="F3" s="1032"/>
      <c r="G3" s="1032"/>
      <c r="H3" s="1032"/>
      <c r="I3" s="1032"/>
      <c r="J3" s="1032"/>
    </row>
    <row r="4" spans="1:10" x14ac:dyDescent="0.3">
      <c r="A4" s="1032" t="str">
        <f>'ETCA-I-01'!A4:G4</f>
        <v>Al 30 de Septiembre de 2017</v>
      </c>
      <c r="B4" s="1032"/>
      <c r="C4" s="1032"/>
      <c r="D4" s="1032"/>
      <c r="E4" s="1032"/>
      <c r="F4" s="1032"/>
      <c r="G4" s="1032"/>
      <c r="H4" s="1032"/>
      <c r="I4" s="1032"/>
      <c r="J4" s="1032"/>
    </row>
    <row r="5" spans="1:10" ht="18" customHeight="1" thickBot="1" x14ac:dyDescent="0.35">
      <c r="A5" s="1044" t="s">
        <v>399</v>
      </c>
      <c r="B5" s="1044"/>
      <c r="C5" s="1044"/>
      <c r="D5" s="1044"/>
      <c r="E5" s="1044"/>
      <c r="F5" s="1044"/>
      <c r="G5" s="1044"/>
      <c r="H5" s="1044"/>
      <c r="I5" s="4"/>
    </row>
    <row r="6" spans="1:10" x14ac:dyDescent="0.3">
      <c r="A6" s="7"/>
      <c r="B6" s="8"/>
      <c r="C6" s="8"/>
      <c r="D6" s="8"/>
      <c r="E6" s="8"/>
      <c r="F6" s="8"/>
      <c r="G6" s="8"/>
      <c r="H6" s="8"/>
      <c r="I6" s="8"/>
      <c r="J6" s="9"/>
    </row>
    <row r="7" spans="1:10" x14ac:dyDescent="0.3">
      <c r="A7" s="10"/>
      <c r="B7" s="11"/>
      <c r="C7" s="11"/>
      <c r="D7" s="11"/>
      <c r="E7" s="11"/>
      <c r="F7" s="11"/>
      <c r="G7" s="11"/>
      <c r="H7" s="11"/>
      <c r="I7" s="11"/>
      <c r="J7" s="12"/>
    </row>
    <row r="8" spans="1:10" x14ac:dyDescent="0.3">
      <c r="A8" s="10"/>
      <c r="B8" s="11"/>
      <c r="C8" s="11"/>
      <c r="D8" s="11"/>
      <c r="E8" s="11"/>
      <c r="F8" s="11"/>
      <c r="G8" s="11"/>
      <c r="H8" s="11"/>
      <c r="I8" s="11"/>
      <c r="J8" s="12"/>
    </row>
    <row r="9" spans="1:10" ht="6" customHeight="1" x14ac:dyDescent="0.3">
      <c r="A9" s="10"/>
      <c r="B9" s="11"/>
      <c r="C9" s="11"/>
      <c r="D9" s="11"/>
      <c r="E9" s="11"/>
      <c r="F9" s="11"/>
      <c r="G9" s="11"/>
      <c r="H9" s="11"/>
      <c r="I9" s="11"/>
      <c r="J9" s="12"/>
    </row>
    <row r="10" spans="1:10" ht="9" customHeight="1" thickBot="1" x14ac:dyDescent="0.35">
      <c r="A10" s="10"/>
      <c r="B10" s="11"/>
      <c r="C10" s="11"/>
      <c r="D10" s="11"/>
      <c r="E10" s="11"/>
      <c r="F10" s="11"/>
      <c r="G10" s="11"/>
      <c r="H10" s="11"/>
      <c r="I10" s="11"/>
      <c r="J10" s="12"/>
    </row>
    <row r="11" spans="1:10" x14ac:dyDescent="0.3">
      <c r="A11" s="10"/>
      <c r="B11" s="11"/>
      <c r="C11" s="1035" t="s">
        <v>400</v>
      </c>
      <c r="D11" s="1036"/>
      <c r="E11" s="1036"/>
      <c r="F11" s="1036"/>
      <c r="G11" s="1036"/>
      <c r="H11" s="1037"/>
      <c r="I11" s="11"/>
      <c r="J11" s="12"/>
    </row>
    <row r="12" spans="1:10" x14ac:dyDescent="0.3">
      <c r="A12" s="10"/>
      <c r="B12" s="11"/>
      <c r="C12" s="1038"/>
      <c r="D12" s="1039"/>
      <c r="E12" s="1039"/>
      <c r="F12" s="1039"/>
      <c r="G12" s="1039"/>
      <c r="H12" s="1040"/>
      <c r="I12" s="11"/>
      <c r="J12" s="12"/>
    </row>
    <row r="13" spans="1:10" x14ac:dyDescent="0.3">
      <c r="A13" s="10"/>
      <c r="B13" s="11"/>
      <c r="C13" s="1038"/>
      <c r="D13" s="1039"/>
      <c r="E13" s="1039"/>
      <c r="F13" s="1039"/>
      <c r="G13" s="1039"/>
      <c r="H13" s="1040"/>
      <c r="I13" s="11"/>
      <c r="J13" s="12"/>
    </row>
    <row r="14" spans="1:10" x14ac:dyDescent="0.3">
      <c r="A14" s="10"/>
      <c r="B14" s="11"/>
      <c r="C14" s="1038"/>
      <c r="D14" s="1039"/>
      <c r="E14" s="1039"/>
      <c r="F14" s="1039"/>
      <c r="G14" s="1039"/>
      <c r="H14" s="1040"/>
      <c r="I14" s="11"/>
      <c r="J14" s="12"/>
    </row>
    <row r="15" spans="1:10" x14ac:dyDescent="0.3">
      <c r="A15" s="10"/>
      <c r="B15" s="11"/>
      <c r="C15" s="1038"/>
      <c r="D15" s="1039"/>
      <c r="E15" s="1039"/>
      <c r="F15" s="1039"/>
      <c r="G15" s="1039"/>
      <c r="H15" s="1040"/>
      <c r="I15" s="11"/>
      <c r="J15" s="12"/>
    </row>
    <row r="16" spans="1:10" x14ac:dyDescent="0.3">
      <c r="A16" s="10"/>
      <c r="B16" s="11"/>
      <c r="C16" s="1038"/>
      <c r="D16" s="1039"/>
      <c r="E16" s="1039"/>
      <c r="F16" s="1039"/>
      <c r="G16" s="1039"/>
      <c r="H16" s="1040"/>
      <c r="I16" s="11"/>
      <c r="J16" s="12"/>
    </row>
    <row r="17" spans="1:10" ht="17.25" thickBot="1" x14ac:dyDescent="0.35">
      <c r="A17" s="10"/>
      <c r="B17" s="11"/>
      <c r="C17" s="1041"/>
      <c r="D17" s="1042"/>
      <c r="E17" s="1042"/>
      <c r="F17" s="1042"/>
      <c r="G17" s="1042"/>
      <c r="H17" s="1043"/>
      <c r="I17" s="11"/>
      <c r="J17" s="12"/>
    </row>
    <row r="18" spans="1:10" x14ac:dyDescent="0.3">
      <c r="A18" s="10"/>
      <c r="B18" s="11"/>
      <c r="C18" s="11"/>
      <c r="D18" s="11"/>
      <c r="E18" s="11"/>
      <c r="F18" s="11"/>
      <c r="G18" s="11"/>
      <c r="H18" s="11"/>
      <c r="I18" s="11"/>
      <c r="J18" s="12"/>
    </row>
    <row r="19" spans="1:10" x14ac:dyDescent="0.3">
      <c r="A19" s="10"/>
      <c r="B19" s="11"/>
      <c r="C19" s="18" t="s">
        <v>401</v>
      </c>
      <c r="D19" s="11"/>
      <c r="E19" s="11"/>
      <c r="F19" s="11"/>
      <c r="G19" s="11"/>
      <c r="H19" s="11"/>
      <c r="I19" s="11"/>
      <c r="J19" s="12"/>
    </row>
    <row r="20" spans="1:10" ht="9.75" customHeight="1" thickBot="1" x14ac:dyDescent="0.35">
      <c r="A20" s="10"/>
      <c r="B20" s="11"/>
      <c r="C20" s="18"/>
      <c r="D20" s="11"/>
      <c r="E20" s="11"/>
      <c r="F20" s="11"/>
      <c r="G20" s="11"/>
      <c r="H20" s="11"/>
      <c r="I20" s="11"/>
      <c r="J20" s="12"/>
    </row>
    <row r="21" spans="1:10" x14ac:dyDescent="0.3">
      <c r="A21" s="10"/>
      <c r="B21" s="11"/>
      <c r="C21" s="19" t="s">
        <v>402</v>
      </c>
      <c r="D21" s="20"/>
      <c r="E21" s="20"/>
      <c r="F21" s="20"/>
      <c r="G21" s="20"/>
      <c r="H21" s="21"/>
      <c r="I21" s="11"/>
      <c r="J21" s="12"/>
    </row>
    <row r="22" spans="1:10" x14ac:dyDescent="0.3">
      <c r="A22" s="10"/>
      <c r="B22" s="11"/>
      <c r="C22" s="22" t="s">
        <v>403</v>
      </c>
      <c r="D22" s="23"/>
      <c r="E22" s="23"/>
      <c r="F22" s="23"/>
      <c r="G22" s="23"/>
      <c r="H22" s="24"/>
      <c r="I22" s="11"/>
      <c r="J22" s="12"/>
    </row>
    <row r="23" spans="1:10" x14ac:dyDescent="0.3">
      <c r="A23" s="10"/>
      <c r="B23" s="11"/>
      <c r="C23" s="22" t="s">
        <v>404</v>
      </c>
      <c r="D23" s="23"/>
      <c r="E23" s="23"/>
      <c r="F23" s="23"/>
      <c r="G23" s="23"/>
      <c r="H23" s="24"/>
      <c r="I23" s="11"/>
      <c r="J23" s="12"/>
    </row>
    <row r="24" spans="1:10" ht="17.25" thickBot="1" x14ac:dyDescent="0.35">
      <c r="A24" s="10"/>
      <c r="B24" s="11"/>
      <c r="C24" s="25" t="s">
        <v>405</v>
      </c>
      <c r="D24" s="26"/>
      <c r="E24" s="26"/>
      <c r="F24" s="26"/>
      <c r="G24" s="26"/>
      <c r="H24" s="27"/>
      <c r="I24" s="11"/>
      <c r="J24" s="12"/>
    </row>
    <row r="25" spans="1:10" x14ac:dyDescent="0.3">
      <c r="A25" s="10"/>
      <c r="B25" s="11"/>
      <c r="C25" s="11"/>
      <c r="D25" s="11"/>
      <c r="E25" s="11"/>
      <c r="F25" s="11"/>
      <c r="G25" s="11"/>
      <c r="H25" s="11"/>
      <c r="I25" s="11"/>
      <c r="J25" s="12"/>
    </row>
    <row r="26" spans="1:10" x14ac:dyDescent="0.3">
      <c r="A26" s="28" t="s">
        <v>406</v>
      </c>
      <c r="B26" s="11" t="s">
        <v>407</v>
      </c>
      <c r="C26" s="11"/>
      <c r="D26" s="11"/>
      <c r="E26" s="11"/>
      <c r="F26" s="11"/>
      <c r="G26" s="11"/>
      <c r="H26" s="11"/>
      <c r="I26" s="11"/>
      <c r="J26" s="12"/>
    </row>
    <row r="27" spans="1:10" x14ac:dyDescent="0.3">
      <c r="A27" s="28" t="s">
        <v>408</v>
      </c>
      <c r="B27" s="11" t="s">
        <v>409</v>
      </c>
      <c r="C27" s="11"/>
      <c r="D27" s="11"/>
      <c r="E27" s="11"/>
      <c r="F27" s="11"/>
      <c r="G27" s="11"/>
      <c r="H27" s="11"/>
      <c r="I27" s="11"/>
      <c r="J27" s="12"/>
    </row>
    <row r="28" spans="1:10" x14ac:dyDescent="0.3">
      <c r="A28" s="28" t="s">
        <v>410</v>
      </c>
      <c r="B28" s="11" t="s">
        <v>411</v>
      </c>
      <c r="C28" s="11"/>
      <c r="D28" s="11"/>
      <c r="E28" s="11"/>
      <c r="F28" s="11"/>
      <c r="G28" s="11"/>
      <c r="H28" s="11"/>
      <c r="I28" s="11"/>
      <c r="J28" s="12"/>
    </row>
    <row r="29" spans="1:10" x14ac:dyDescent="0.3">
      <c r="A29" s="28" t="s">
        <v>412</v>
      </c>
      <c r="B29" s="29" t="s">
        <v>413</v>
      </c>
      <c r="C29" s="11"/>
      <c r="D29" s="11"/>
      <c r="E29" s="11"/>
      <c r="F29" s="11"/>
      <c r="G29" s="11"/>
      <c r="H29" s="11"/>
      <c r="I29" s="11"/>
      <c r="J29" s="12"/>
    </row>
    <row r="30" spans="1:10" x14ac:dyDescent="0.3">
      <c r="A30" s="28" t="s">
        <v>414</v>
      </c>
      <c r="B30" s="29" t="s">
        <v>415</v>
      </c>
      <c r="C30" s="11"/>
      <c r="D30" s="11"/>
      <c r="E30" s="11"/>
      <c r="F30" s="11"/>
      <c r="G30" s="11"/>
      <c r="H30" s="11"/>
      <c r="I30" s="11"/>
      <c r="J30" s="12"/>
    </row>
    <row r="31" spans="1:10" x14ac:dyDescent="0.3">
      <c r="A31" s="28" t="s">
        <v>416</v>
      </c>
      <c r="B31" s="29" t="s">
        <v>417</v>
      </c>
      <c r="C31" s="11"/>
      <c r="D31" s="11"/>
      <c r="E31" s="11"/>
      <c r="F31" s="11"/>
      <c r="G31" s="11"/>
      <c r="H31" s="11"/>
      <c r="I31" s="11"/>
      <c r="J31" s="12"/>
    </row>
    <row r="32" spans="1:10" x14ac:dyDescent="0.3">
      <c r="A32" s="28" t="s">
        <v>418</v>
      </c>
      <c r="B32" s="29" t="s">
        <v>419</v>
      </c>
      <c r="C32" s="11"/>
      <c r="D32" s="11"/>
      <c r="E32" s="11"/>
      <c r="F32" s="11"/>
      <c r="G32" s="11"/>
      <c r="H32" s="11"/>
      <c r="I32" s="11"/>
      <c r="J32" s="12"/>
    </row>
    <row r="33" spans="1:10" x14ac:dyDescent="0.3">
      <c r="A33" s="28" t="s">
        <v>420</v>
      </c>
      <c r="B33" s="29" t="s">
        <v>421</v>
      </c>
      <c r="C33" s="11"/>
      <c r="D33" s="11"/>
      <c r="E33" s="11"/>
      <c r="F33" s="11"/>
      <c r="G33" s="11"/>
      <c r="H33" s="11"/>
      <c r="I33" s="11"/>
      <c r="J33" s="12"/>
    </row>
    <row r="34" spans="1:10" x14ac:dyDescent="0.3">
      <c r="A34" s="28" t="s">
        <v>422</v>
      </c>
      <c r="B34" s="29" t="s">
        <v>423</v>
      </c>
      <c r="C34" s="11"/>
      <c r="D34" s="11"/>
      <c r="E34" s="11"/>
      <c r="F34" s="11"/>
      <c r="G34" s="11"/>
      <c r="H34" s="11"/>
      <c r="I34" s="11"/>
      <c r="J34" s="12"/>
    </row>
    <row r="35" spans="1:10" x14ac:dyDescent="0.3">
      <c r="A35" s="28" t="s">
        <v>424</v>
      </c>
      <c r="B35" s="29" t="s">
        <v>425</v>
      </c>
      <c r="C35" s="11"/>
      <c r="D35" s="11"/>
      <c r="E35" s="11"/>
      <c r="F35" s="11"/>
      <c r="G35" s="11"/>
      <c r="H35" s="11"/>
      <c r="I35" s="11"/>
      <c r="J35" s="12"/>
    </row>
    <row r="36" spans="1:10" x14ac:dyDescent="0.3">
      <c r="A36" s="28" t="s">
        <v>426</v>
      </c>
      <c r="B36" s="29" t="s">
        <v>427</v>
      </c>
      <c r="C36" s="11"/>
      <c r="D36" s="11"/>
      <c r="E36" s="11"/>
      <c r="F36" s="11"/>
      <c r="G36" s="11"/>
      <c r="H36" s="11"/>
      <c r="I36" s="11"/>
      <c r="J36" s="12"/>
    </row>
    <row r="37" spans="1:10" x14ac:dyDescent="0.3">
      <c r="A37" s="28" t="s">
        <v>428</v>
      </c>
      <c r="B37" s="29" t="s">
        <v>429</v>
      </c>
      <c r="C37" s="11"/>
      <c r="D37" s="11"/>
      <c r="E37" s="11"/>
      <c r="F37" s="11"/>
      <c r="G37" s="11"/>
      <c r="H37" s="11"/>
      <c r="I37" s="11"/>
      <c r="J37" s="12"/>
    </row>
    <row r="38" spans="1:10" x14ac:dyDescent="0.3">
      <c r="A38" s="28" t="s">
        <v>430</v>
      </c>
      <c r="B38" s="29" t="s">
        <v>431</v>
      </c>
      <c r="C38" s="11"/>
      <c r="D38" s="11"/>
      <c r="E38" s="11"/>
      <c r="F38" s="11"/>
      <c r="G38" s="11"/>
      <c r="H38" s="11"/>
      <c r="I38" s="11"/>
      <c r="J38" s="12"/>
    </row>
    <row r="39" spans="1:10" x14ac:dyDescent="0.3">
      <c r="A39" s="28" t="s">
        <v>432</v>
      </c>
      <c r="B39" s="29" t="s">
        <v>433</v>
      </c>
      <c r="C39" s="11"/>
      <c r="D39" s="11"/>
      <c r="E39" s="11"/>
      <c r="F39" s="11"/>
      <c r="G39" s="11"/>
      <c r="H39" s="11"/>
      <c r="I39" s="11"/>
      <c r="J39" s="12"/>
    </row>
    <row r="40" spans="1:10" x14ac:dyDescent="0.3">
      <c r="A40" s="28" t="s">
        <v>434</v>
      </c>
      <c r="B40" s="29" t="s">
        <v>435</v>
      </c>
      <c r="C40" s="11"/>
      <c r="D40" s="11"/>
      <c r="E40" s="11"/>
      <c r="F40" s="11"/>
      <c r="G40" s="11"/>
      <c r="H40" s="11"/>
      <c r="I40" s="11"/>
      <c r="J40" s="12"/>
    </row>
    <row r="41" spans="1:10" x14ac:dyDescent="0.3">
      <c r="A41" s="28" t="s">
        <v>436</v>
      </c>
      <c r="B41" s="29" t="s">
        <v>437</v>
      </c>
      <c r="C41" s="11"/>
      <c r="D41" s="11"/>
      <c r="E41" s="11"/>
      <c r="F41" s="11"/>
      <c r="G41" s="11"/>
      <c r="H41" s="11"/>
      <c r="I41" s="11"/>
      <c r="J41" s="12"/>
    </row>
    <row r="42" spans="1:10" x14ac:dyDescent="0.3">
      <c r="A42" s="28" t="s">
        <v>438</v>
      </c>
      <c r="B42" s="29" t="s">
        <v>439</v>
      </c>
      <c r="C42" s="11"/>
      <c r="D42" s="11"/>
      <c r="E42" s="11"/>
      <c r="F42" s="11"/>
      <c r="G42" s="11"/>
      <c r="H42" s="11"/>
      <c r="I42" s="11"/>
      <c r="J42" s="12"/>
    </row>
    <row r="43" spans="1:10" x14ac:dyDescent="0.3">
      <c r="A43" s="10"/>
      <c r="B43" s="11"/>
      <c r="C43" s="11"/>
      <c r="D43" s="11"/>
      <c r="E43" s="11"/>
      <c r="F43" s="11"/>
      <c r="G43" s="11"/>
      <c r="H43" s="11"/>
      <c r="I43" s="11"/>
      <c r="J43" s="12"/>
    </row>
    <row r="44" spans="1:10" x14ac:dyDescent="0.3">
      <c r="A44" s="10"/>
      <c r="B44" s="11"/>
      <c r="C44" s="11"/>
      <c r="D44" s="11"/>
      <c r="E44" s="11"/>
      <c r="F44" s="11"/>
      <c r="G44" s="11"/>
      <c r="H44" s="11"/>
      <c r="I44" s="11"/>
      <c r="J44" s="12"/>
    </row>
    <row r="45" spans="1:10" x14ac:dyDescent="0.3">
      <c r="A45" s="10"/>
      <c r="B45" s="11"/>
      <c r="C45" s="11"/>
      <c r="D45" s="11"/>
      <c r="E45" s="11"/>
      <c r="F45" s="11"/>
      <c r="G45" s="11"/>
      <c r="H45" s="11"/>
      <c r="I45" s="11"/>
      <c r="J45" s="12"/>
    </row>
    <row r="46" spans="1:10" x14ac:dyDescent="0.3">
      <c r="A46" s="10"/>
      <c r="B46" s="11"/>
      <c r="C46" s="11"/>
      <c r="D46" s="11"/>
      <c r="E46" s="11"/>
      <c r="F46" s="11"/>
      <c r="G46" s="11"/>
      <c r="H46" s="11"/>
      <c r="I46" s="11"/>
      <c r="J46" s="12"/>
    </row>
    <row r="47" spans="1:10" x14ac:dyDescent="0.3">
      <c r="A47" s="10"/>
      <c r="B47" s="11"/>
      <c r="C47" s="11"/>
      <c r="D47" s="11"/>
      <c r="E47" s="11"/>
      <c r="F47" s="11"/>
      <c r="G47" s="11"/>
      <c r="H47" s="11"/>
      <c r="I47" s="11"/>
      <c r="J47" s="12"/>
    </row>
    <row r="48" spans="1:10" x14ac:dyDescent="0.3">
      <c r="A48" s="10"/>
      <c r="B48" s="11"/>
      <c r="C48" s="11"/>
      <c r="D48" s="11"/>
      <c r="E48" s="11"/>
      <c r="F48" s="11"/>
      <c r="G48" s="11"/>
      <c r="H48" s="11"/>
      <c r="I48" s="11"/>
      <c r="J48" s="12"/>
    </row>
    <row r="49" spans="1:10" x14ac:dyDescent="0.3">
      <c r="A49" s="10"/>
      <c r="B49" s="11"/>
      <c r="C49" s="11"/>
      <c r="D49" s="11"/>
      <c r="E49" s="11"/>
      <c r="F49" s="11"/>
      <c r="G49" s="11"/>
      <c r="H49" s="11"/>
      <c r="I49" s="18"/>
      <c r="J49" s="12"/>
    </row>
    <row r="50" spans="1:10" ht="17.25" thickBot="1" x14ac:dyDescent="0.35">
      <c r="A50" s="15"/>
      <c r="B50" s="1"/>
      <c r="C50" s="1"/>
      <c r="D50" s="1"/>
      <c r="E50" s="1"/>
      <c r="F50" s="1"/>
      <c r="G50" s="1"/>
      <c r="H50" s="1"/>
      <c r="I50" s="1"/>
      <c r="J50" s="2"/>
    </row>
  </sheetData>
  <sheetProtection password="C115" sheet="1" scenarios="1"/>
  <mergeCells count="6">
    <mergeCell ref="C11:H17"/>
    <mergeCell ref="A1:J1"/>
    <mergeCell ref="A2:J2"/>
    <mergeCell ref="A3:J3"/>
    <mergeCell ref="A4:J4"/>
    <mergeCell ref="A5:H5"/>
  </mergeCells>
  <pageMargins left="0.43307086614173229" right="0.35433070866141736" top="0.47" bottom="0.64"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H60"/>
  <sheetViews>
    <sheetView view="pageBreakPreview" topLeftCell="A31" zoomScaleNormal="100" zoomScaleSheetLayoutView="100" workbookViewId="0">
      <selection activeCell="G21" sqref="G21"/>
    </sheetView>
  </sheetViews>
  <sheetFormatPr baseColWidth="10" defaultColWidth="11.28515625" defaultRowHeight="16.5" x14ac:dyDescent="0.25"/>
  <cols>
    <col min="1" max="1" width="1.140625" style="236" customWidth="1"/>
    <col min="2" max="2" width="31.7109375" style="236" customWidth="1"/>
    <col min="3" max="4" width="14.28515625" style="115" customWidth="1"/>
    <col min="5" max="5" width="13.140625" style="115" customWidth="1"/>
    <col min="6" max="6" width="14" style="115" customWidth="1"/>
    <col min="7" max="7" width="15" style="115" customWidth="1"/>
    <col min="8" max="8" width="14.28515625" style="115" customWidth="1"/>
    <col min="9" max="16384" width="11.28515625" style="115"/>
  </cols>
  <sheetData>
    <row r="1" spans="1:8" x14ac:dyDescent="0.25">
      <c r="A1" s="983" t="s">
        <v>25</v>
      </c>
      <c r="B1" s="983"/>
      <c r="C1" s="983"/>
      <c r="D1" s="983"/>
      <c r="E1" s="983"/>
      <c r="F1" s="983"/>
      <c r="G1" s="983"/>
      <c r="H1" s="983"/>
    </row>
    <row r="2" spans="1:8" s="159" customFormat="1" ht="15.75" x14ac:dyDescent="0.25">
      <c r="A2" s="983" t="s">
        <v>11</v>
      </c>
      <c r="B2" s="983"/>
      <c r="C2" s="983"/>
      <c r="D2" s="983"/>
      <c r="E2" s="983"/>
      <c r="F2" s="983"/>
      <c r="G2" s="983"/>
      <c r="H2" s="983"/>
    </row>
    <row r="3" spans="1:8" s="159" customFormat="1" ht="15.75" x14ac:dyDescent="0.25">
      <c r="A3" s="984" t="str">
        <f>'ETCA-I-01'!A3:G3</f>
        <v>Consejo Estatal de Concertacion para la Obra Publica</v>
      </c>
      <c r="B3" s="984"/>
      <c r="C3" s="984"/>
      <c r="D3" s="984"/>
      <c r="E3" s="984"/>
      <c r="F3" s="984"/>
      <c r="G3" s="984"/>
      <c r="H3" s="984"/>
    </row>
    <row r="4" spans="1:8" s="159" customFormat="1" x14ac:dyDescent="0.25">
      <c r="A4" s="985" t="str">
        <f>'ETCA-I-03'!A4:D4</f>
        <v>Del 01 de Enero  al 30 de Septiembre de 2017</v>
      </c>
      <c r="B4" s="985"/>
      <c r="C4" s="985"/>
      <c r="D4" s="985"/>
      <c r="E4" s="985"/>
      <c r="F4" s="985"/>
      <c r="G4" s="985"/>
      <c r="H4" s="985"/>
    </row>
    <row r="5" spans="1:8" s="161" customFormat="1" ht="17.25" thickBot="1" x14ac:dyDescent="0.3">
      <c r="A5" s="160"/>
      <c r="B5" s="160"/>
      <c r="C5" s="986" t="s">
        <v>89</v>
      </c>
      <c r="D5" s="986"/>
      <c r="E5" s="986"/>
      <c r="F5" s="986"/>
      <c r="G5" s="542"/>
      <c r="H5" s="42"/>
    </row>
    <row r="6" spans="1:8" s="198" customFormat="1" ht="38.25" x14ac:dyDescent="0.25">
      <c r="A6" s="1047" t="s">
        <v>440</v>
      </c>
      <c r="B6" s="1048"/>
      <c r="C6" s="856" t="s">
        <v>441</v>
      </c>
      <c r="D6" s="856" t="s">
        <v>442</v>
      </c>
      <c r="E6" s="856" t="s">
        <v>443</v>
      </c>
      <c r="F6" s="857" t="s">
        <v>444</v>
      </c>
      <c r="G6" s="857" t="s">
        <v>445</v>
      </c>
      <c r="H6" s="856" t="s">
        <v>446</v>
      </c>
    </row>
    <row r="7" spans="1:8" s="198" customFormat="1" ht="17.25" thickBot="1" x14ac:dyDescent="0.3">
      <c r="A7" s="1049"/>
      <c r="B7" s="1050"/>
      <c r="C7" s="216" t="s">
        <v>447</v>
      </c>
      <c r="D7" s="216" t="s">
        <v>448</v>
      </c>
      <c r="E7" s="216" t="s">
        <v>449</v>
      </c>
      <c r="F7" s="858" t="s">
        <v>450</v>
      </c>
      <c r="G7" s="858" t="s">
        <v>451</v>
      </c>
      <c r="H7" s="216" t="s">
        <v>452</v>
      </c>
    </row>
    <row r="8" spans="1:8" s="198" customFormat="1" ht="8.25" customHeight="1" x14ac:dyDescent="0.25">
      <c r="A8" s="202"/>
      <c r="B8" s="851"/>
      <c r="C8" s="859"/>
      <c r="D8" s="859"/>
      <c r="E8" s="860"/>
      <c r="F8" s="859"/>
      <c r="G8" s="859"/>
      <c r="H8" s="860"/>
    </row>
    <row r="9" spans="1:8" ht="17.100000000000001" customHeight="1" x14ac:dyDescent="0.25">
      <c r="A9" s="203"/>
      <c r="B9" s="852" t="s">
        <v>205</v>
      </c>
      <c r="C9" s="861"/>
      <c r="D9" s="861"/>
      <c r="E9" s="862">
        <f>C9+D9</f>
        <v>0</v>
      </c>
      <c r="F9" s="861"/>
      <c r="G9" s="861"/>
      <c r="H9" s="862">
        <f>G9-C9</f>
        <v>0</v>
      </c>
    </row>
    <row r="10" spans="1:8" ht="17.100000000000001" customHeight="1" x14ac:dyDescent="0.25">
      <c r="A10" s="203"/>
      <c r="B10" s="852" t="s">
        <v>206</v>
      </c>
      <c r="C10" s="861">
        <v>0</v>
      </c>
      <c r="D10" s="861">
        <v>0</v>
      </c>
      <c r="E10" s="862">
        <f t="shared" ref="E10:E24" si="0">C10+D10</f>
        <v>0</v>
      </c>
      <c r="F10" s="861">
        <v>0</v>
      </c>
      <c r="G10" s="861">
        <v>0</v>
      </c>
      <c r="H10" s="862">
        <f t="shared" ref="H10:H24" si="1">G10-C10</f>
        <v>0</v>
      </c>
    </row>
    <row r="11" spans="1:8" ht="17.100000000000001" customHeight="1" x14ac:dyDescent="0.25">
      <c r="A11" s="203"/>
      <c r="B11" s="852" t="s">
        <v>453</v>
      </c>
      <c r="C11" s="861"/>
      <c r="D11" s="861"/>
      <c r="E11" s="862">
        <f t="shared" si="0"/>
        <v>0</v>
      </c>
      <c r="F11" s="861"/>
      <c r="G11" s="861"/>
      <c r="H11" s="862">
        <f t="shared" si="1"/>
        <v>0</v>
      </c>
    </row>
    <row r="12" spans="1:8" ht="17.100000000000001" customHeight="1" x14ac:dyDescent="0.25">
      <c r="A12" s="203"/>
      <c r="B12" s="852" t="s">
        <v>208</v>
      </c>
      <c r="C12" s="861"/>
      <c r="D12" s="861"/>
      <c r="E12" s="862">
        <f t="shared" si="0"/>
        <v>0</v>
      </c>
      <c r="F12" s="861"/>
      <c r="G12" s="861"/>
      <c r="H12" s="862">
        <f t="shared" si="1"/>
        <v>0</v>
      </c>
    </row>
    <row r="13" spans="1:8" ht="17.100000000000001" customHeight="1" x14ac:dyDescent="0.25">
      <c r="A13" s="203"/>
      <c r="B13" s="852" t="s">
        <v>454</v>
      </c>
      <c r="C13" s="862">
        <f>C14+C15</f>
        <v>0</v>
      </c>
      <c r="D13" s="862">
        <f>D14+D15</f>
        <v>0</v>
      </c>
      <c r="E13" s="862">
        <f t="shared" si="0"/>
        <v>0</v>
      </c>
      <c r="F13" s="862">
        <f>F14+F15</f>
        <v>0</v>
      </c>
      <c r="G13" s="862">
        <f>G14+G15</f>
        <v>0</v>
      </c>
      <c r="H13" s="862">
        <f t="shared" si="1"/>
        <v>0</v>
      </c>
    </row>
    <row r="14" spans="1:8" ht="17.100000000000001" customHeight="1" x14ac:dyDescent="0.25">
      <c r="A14" s="203"/>
      <c r="B14" s="852" t="s">
        <v>455</v>
      </c>
      <c r="C14" s="861"/>
      <c r="D14" s="861"/>
      <c r="E14" s="862">
        <f t="shared" si="0"/>
        <v>0</v>
      </c>
      <c r="F14" s="861"/>
      <c r="G14" s="861"/>
      <c r="H14" s="862">
        <f t="shared" si="1"/>
        <v>0</v>
      </c>
    </row>
    <row r="15" spans="1:8" ht="17.100000000000001" customHeight="1" x14ac:dyDescent="0.25">
      <c r="A15" s="203"/>
      <c r="B15" s="852" t="s">
        <v>456</v>
      </c>
      <c r="C15" s="861"/>
      <c r="D15" s="861"/>
      <c r="E15" s="862">
        <f t="shared" si="0"/>
        <v>0</v>
      </c>
      <c r="F15" s="861"/>
      <c r="G15" s="863"/>
      <c r="H15" s="862">
        <f t="shared" si="1"/>
        <v>0</v>
      </c>
    </row>
    <row r="16" spans="1:8" ht="17.100000000000001" customHeight="1" x14ac:dyDescent="0.25">
      <c r="A16" s="203"/>
      <c r="B16" s="852" t="s">
        <v>457</v>
      </c>
      <c r="C16" s="862">
        <f>C17+C18</f>
        <v>0</v>
      </c>
      <c r="D16" s="862">
        <f>D17+D18</f>
        <v>0</v>
      </c>
      <c r="E16" s="862">
        <f t="shared" si="0"/>
        <v>0</v>
      </c>
      <c r="F16" s="862">
        <f>F17+F18</f>
        <v>0</v>
      </c>
      <c r="G16" s="862">
        <f>G17+G18</f>
        <v>0</v>
      </c>
      <c r="H16" s="862">
        <f t="shared" si="1"/>
        <v>0</v>
      </c>
    </row>
    <row r="17" spans="1:8" ht="17.100000000000001" customHeight="1" x14ac:dyDescent="0.25">
      <c r="A17" s="203"/>
      <c r="B17" s="852" t="s">
        <v>455</v>
      </c>
      <c r="C17" s="861"/>
      <c r="D17" s="861"/>
      <c r="E17" s="862">
        <f t="shared" si="0"/>
        <v>0</v>
      </c>
      <c r="F17" s="861"/>
      <c r="G17" s="861"/>
      <c r="H17" s="862">
        <f t="shared" si="1"/>
        <v>0</v>
      </c>
    </row>
    <row r="18" spans="1:8" ht="17.100000000000001" customHeight="1" x14ac:dyDescent="0.25">
      <c r="A18" s="203"/>
      <c r="B18" s="852" t="s">
        <v>456</v>
      </c>
      <c r="C18" s="861"/>
      <c r="D18" s="861"/>
      <c r="E18" s="862">
        <f t="shared" si="0"/>
        <v>0</v>
      </c>
      <c r="F18" s="861"/>
      <c r="G18" s="861"/>
      <c r="H18" s="862">
        <f t="shared" si="1"/>
        <v>0</v>
      </c>
    </row>
    <row r="19" spans="1:8" ht="17.100000000000001" customHeight="1" x14ac:dyDescent="0.25">
      <c r="A19" s="203"/>
      <c r="B19" s="852" t="s">
        <v>458</v>
      </c>
      <c r="C19" s="861"/>
      <c r="D19" s="861"/>
      <c r="E19" s="862">
        <f t="shared" si="0"/>
        <v>0</v>
      </c>
      <c r="F19" s="861"/>
      <c r="G19" s="861"/>
      <c r="H19" s="862">
        <f t="shared" si="1"/>
        <v>0</v>
      </c>
    </row>
    <row r="20" spans="1:8" ht="17.100000000000001" customHeight="1" x14ac:dyDescent="0.25">
      <c r="A20" s="203"/>
      <c r="B20" s="852" t="s">
        <v>214</v>
      </c>
      <c r="C20" s="861"/>
      <c r="D20" s="861"/>
      <c r="E20" s="862">
        <f t="shared" si="0"/>
        <v>0</v>
      </c>
      <c r="F20" s="861"/>
      <c r="G20" s="861"/>
      <c r="H20" s="862">
        <f t="shared" si="1"/>
        <v>0</v>
      </c>
    </row>
    <row r="21" spans="1:8" ht="25.5" x14ac:dyDescent="0.25">
      <c r="A21" s="203"/>
      <c r="B21" s="852" t="s">
        <v>459</v>
      </c>
      <c r="C21" s="861">
        <v>0</v>
      </c>
      <c r="D21" s="861">
        <v>39503957.710000001</v>
      </c>
      <c r="E21" s="862">
        <f t="shared" si="0"/>
        <v>39503957.710000001</v>
      </c>
      <c r="F21" s="861">
        <v>39503957.710000001</v>
      </c>
      <c r="G21" s="861">
        <f>+F21</f>
        <v>39503957.710000001</v>
      </c>
      <c r="H21" s="862">
        <f t="shared" si="1"/>
        <v>39503957.710000001</v>
      </c>
    </row>
    <row r="22" spans="1:8" ht="25.5" x14ac:dyDescent="0.25">
      <c r="A22" s="203"/>
      <c r="B22" s="852" t="s">
        <v>460</v>
      </c>
      <c r="C22" s="861">
        <v>431991645.12</v>
      </c>
      <c r="D22" s="861">
        <v>220574126.21000001</v>
      </c>
      <c r="E22" s="862">
        <f t="shared" si="0"/>
        <v>652565771.33000004</v>
      </c>
      <c r="F22" s="861">
        <v>408869650.60000002</v>
      </c>
      <c r="G22" s="861">
        <f>+F22</f>
        <v>408869650.60000002</v>
      </c>
      <c r="H22" s="862">
        <f t="shared" si="1"/>
        <v>-23121994.519999981</v>
      </c>
    </row>
    <row r="23" spans="1:8" ht="17.100000000000001" customHeight="1" thickBot="1" x14ac:dyDescent="0.3">
      <c r="A23" s="204"/>
      <c r="B23" s="853" t="s">
        <v>461</v>
      </c>
      <c r="C23" s="864"/>
      <c r="D23" s="864"/>
      <c r="E23" s="865">
        <f t="shared" si="0"/>
        <v>0</v>
      </c>
      <c r="F23" s="864"/>
      <c r="G23" s="864"/>
      <c r="H23" s="865">
        <f t="shared" si="1"/>
        <v>0</v>
      </c>
    </row>
    <row r="24" spans="1:8" s="237" customFormat="1" ht="28.5" customHeight="1" thickBot="1" x14ac:dyDescent="0.3">
      <c r="A24" s="1051" t="s">
        <v>266</v>
      </c>
      <c r="B24" s="1052"/>
      <c r="C24" s="866">
        <f>C9+C10+C11+C12+C13+C16+C19+C20+C21+C22+C23</f>
        <v>431991645.12</v>
      </c>
      <c r="D24" s="866">
        <f>D9+D10+D11+D12+D13+D16+D19+D20+D21+D22+D23</f>
        <v>260078083.92000002</v>
      </c>
      <c r="E24" s="866">
        <f t="shared" si="0"/>
        <v>692069729.03999996</v>
      </c>
      <c r="F24" s="866">
        <f>F9+F10+F11+F12+F13+F16+F19+F20+F21+F22+F23</f>
        <v>448373608.31</v>
      </c>
      <c r="G24" s="866">
        <f>G9+G10+G11+G12+G13+G16+G19+G20+G21+G22+G23</f>
        <v>448373608.31</v>
      </c>
      <c r="H24" s="866">
        <f t="shared" si="1"/>
        <v>16381963.189999998</v>
      </c>
    </row>
    <row r="25" spans="1:8" ht="22.5" customHeight="1" thickBot="1" x14ac:dyDescent="0.3">
      <c r="A25" s="205"/>
      <c r="B25" s="205"/>
      <c r="C25" s="206"/>
      <c r="D25" s="206"/>
      <c r="E25" s="206"/>
      <c r="F25" s="207"/>
      <c r="G25" s="840" t="s">
        <v>462</v>
      </c>
      <c r="H25" s="841">
        <f>IF(($G$24-$C$24)&lt;=0,"",$G$24-$C$24)</f>
        <v>16381963.189999998</v>
      </c>
    </row>
    <row r="26" spans="1:8" ht="10.5" customHeight="1" thickBot="1" x14ac:dyDescent="0.3">
      <c r="A26" s="208"/>
      <c r="B26" s="208"/>
      <c r="C26" s="209"/>
      <c r="D26" s="209"/>
      <c r="E26" s="209"/>
      <c r="F26" s="210"/>
      <c r="G26" s="211"/>
      <c r="H26" s="207"/>
    </row>
    <row r="27" spans="1:8" s="198" customFormat="1" ht="38.25" x14ac:dyDescent="0.25">
      <c r="A27" s="1053" t="s">
        <v>463</v>
      </c>
      <c r="B27" s="1054"/>
      <c r="C27" s="212" t="s">
        <v>441</v>
      </c>
      <c r="D27" s="854" t="s">
        <v>442</v>
      </c>
      <c r="E27" s="856" t="s">
        <v>443</v>
      </c>
      <c r="F27" s="857" t="s">
        <v>444</v>
      </c>
      <c r="G27" s="857" t="s">
        <v>445</v>
      </c>
      <c r="H27" s="856" t="s">
        <v>446</v>
      </c>
    </row>
    <row r="28" spans="1:8" s="198" customFormat="1" ht="17.25" thickBot="1" x14ac:dyDescent="0.3">
      <c r="A28" s="213"/>
      <c r="B28" s="214" t="s">
        <v>464</v>
      </c>
      <c r="C28" s="215" t="s">
        <v>447</v>
      </c>
      <c r="D28" s="855" t="s">
        <v>448</v>
      </c>
      <c r="E28" s="216" t="s">
        <v>449</v>
      </c>
      <c r="F28" s="858" t="s">
        <v>450</v>
      </c>
      <c r="G28" s="858" t="s">
        <v>451</v>
      </c>
      <c r="H28" s="216" t="s">
        <v>452</v>
      </c>
    </row>
    <row r="29" spans="1:8" s="219" customFormat="1" ht="17.100000000000001" customHeight="1" x14ac:dyDescent="0.25">
      <c r="A29" s="217" t="s">
        <v>465</v>
      </c>
      <c r="B29" s="218"/>
      <c r="C29" s="487">
        <f t="shared" ref="C29:H29" si="2">SUM(C30:C33,C36,C39:C40)</f>
        <v>0</v>
      </c>
      <c r="D29" s="487">
        <f t="shared" si="2"/>
        <v>0</v>
      </c>
      <c r="E29" s="487">
        <f t="shared" si="2"/>
        <v>0</v>
      </c>
      <c r="F29" s="487">
        <f t="shared" si="2"/>
        <v>0</v>
      </c>
      <c r="G29" s="487">
        <f t="shared" si="2"/>
        <v>0</v>
      </c>
      <c r="H29" s="487">
        <f t="shared" si="2"/>
        <v>0</v>
      </c>
    </row>
    <row r="30" spans="1:8" s="219" customFormat="1" ht="17.100000000000001" customHeight="1" x14ac:dyDescent="0.25">
      <c r="A30" s="220" t="s">
        <v>466</v>
      </c>
      <c r="B30" s="221"/>
      <c r="C30" s="488">
        <v>0</v>
      </c>
      <c r="D30" s="488">
        <v>0</v>
      </c>
      <c r="E30" s="489">
        <f>C30+D30</f>
        <v>0</v>
      </c>
      <c r="F30" s="488">
        <v>0</v>
      </c>
      <c r="G30" s="488">
        <v>0</v>
      </c>
      <c r="H30" s="490">
        <f>G30-C30</f>
        <v>0</v>
      </c>
    </row>
    <row r="31" spans="1:8" s="219" customFormat="1" ht="17.100000000000001" customHeight="1" x14ac:dyDescent="0.25">
      <c r="A31" s="220" t="s">
        <v>453</v>
      </c>
      <c r="B31" s="221"/>
      <c r="C31" s="488"/>
      <c r="D31" s="488"/>
      <c r="E31" s="489">
        <f t="shared" ref="E31:E49" si="3">C31+D31</f>
        <v>0</v>
      </c>
      <c r="F31" s="488"/>
      <c r="G31" s="488"/>
      <c r="H31" s="490">
        <f t="shared" ref="H31:H49" si="4">G31-C31</f>
        <v>0</v>
      </c>
    </row>
    <row r="32" spans="1:8" s="219" customFormat="1" x14ac:dyDescent="0.25">
      <c r="A32" s="1055" t="s">
        <v>208</v>
      </c>
      <c r="B32" s="1056"/>
      <c r="C32" s="488"/>
      <c r="D32" s="488"/>
      <c r="E32" s="489">
        <f t="shared" si="3"/>
        <v>0</v>
      </c>
      <c r="F32" s="488"/>
      <c r="G32" s="488"/>
      <c r="H32" s="490">
        <f t="shared" si="4"/>
        <v>0</v>
      </c>
    </row>
    <row r="33" spans="1:8" s="219" customFormat="1" ht="17.100000000000001" customHeight="1" x14ac:dyDescent="0.25">
      <c r="A33" s="220" t="s">
        <v>454</v>
      </c>
      <c r="B33" s="221"/>
      <c r="C33" s="491">
        <f>C34+C35</f>
        <v>0</v>
      </c>
      <c r="D33" s="491">
        <f>D34+D35</f>
        <v>0</v>
      </c>
      <c r="E33" s="491">
        <f>SUM(E34:E35)</f>
        <v>0</v>
      </c>
      <c r="F33" s="491">
        <f>F34+F35</f>
        <v>0</v>
      </c>
      <c r="G33" s="491">
        <f>G34+G35</f>
        <v>0</v>
      </c>
      <c r="H33" s="492">
        <f>SUM(H34:H35)</f>
        <v>0</v>
      </c>
    </row>
    <row r="34" spans="1:8" s="219" customFormat="1" ht="17.100000000000001" customHeight="1" x14ac:dyDescent="0.25">
      <c r="A34" s="222" t="s">
        <v>467</v>
      </c>
      <c r="B34" s="223"/>
      <c r="C34" s="488"/>
      <c r="D34" s="488"/>
      <c r="E34" s="489">
        <f t="shared" si="3"/>
        <v>0</v>
      </c>
      <c r="F34" s="488"/>
      <c r="G34" s="488"/>
      <c r="H34" s="490">
        <f t="shared" si="4"/>
        <v>0</v>
      </c>
    </row>
    <row r="35" spans="1:8" s="219" customFormat="1" ht="17.100000000000001" customHeight="1" x14ac:dyDescent="0.25">
      <c r="A35" s="222" t="s">
        <v>468</v>
      </c>
      <c r="B35" s="223"/>
      <c r="C35" s="488"/>
      <c r="D35" s="488"/>
      <c r="E35" s="489">
        <f t="shared" si="3"/>
        <v>0</v>
      </c>
      <c r="F35" s="488"/>
      <c r="G35" s="488"/>
      <c r="H35" s="490">
        <f t="shared" si="4"/>
        <v>0</v>
      </c>
    </row>
    <row r="36" spans="1:8" ht="17.100000000000001" customHeight="1" x14ac:dyDescent="0.25">
      <c r="A36" s="1055" t="s">
        <v>457</v>
      </c>
      <c r="B36" s="1056"/>
      <c r="C36" s="493">
        <f>C37+C38</f>
        <v>0</v>
      </c>
      <c r="D36" s="493">
        <f>D37+D38</f>
        <v>0</v>
      </c>
      <c r="E36" s="491">
        <f>SUM(E37:E38)</f>
        <v>0</v>
      </c>
      <c r="F36" s="493">
        <f>F37+F38</f>
        <v>0</v>
      </c>
      <c r="G36" s="493">
        <f>G37+G38</f>
        <v>0</v>
      </c>
      <c r="H36" s="492">
        <f>SUM(H37:H38)</f>
        <v>0</v>
      </c>
    </row>
    <row r="37" spans="1:8" ht="17.100000000000001" customHeight="1" x14ac:dyDescent="0.25">
      <c r="A37" s="838"/>
      <c r="B37" s="224" t="s">
        <v>467</v>
      </c>
      <c r="C37" s="494"/>
      <c r="D37" s="494"/>
      <c r="E37" s="489">
        <f t="shared" si="3"/>
        <v>0</v>
      </c>
      <c r="F37" s="494"/>
      <c r="G37" s="494"/>
      <c r="H37" s="490">
        <f t="shared" si="4"/>
        <v>0</v>
      </c>
    </row>
    <row r="38" spans="1:8" ht="17.100000000000001" customHeight="1" x14ac:dyDescent="0.25">
      <c r="A38" s="838"/>
      <c r="B38" s="224" t="s">
        <v>468</v>
      </c>
      <c r="C38" s="494"/>
      <c r="D38" s="494"/>
      <c r="E38" s="489">
        <f t="shared" si="3"/>
        <v>0</v>
      </c>
      <c r="F38" s="494"/>
      <c r="G38" s="494"/>
      <c r="H38" s="490">
        <f t="shared" si="4"/>
        <v>0</v>
      </c>
    </row>
    <row r="39" spans="1:8" s="219" customFormat="1" x14ac:dyDescent="0.25">
      <c r="A39" s="220" t="s">
        <v>214</v>
      </c>
      <c r="B39" s="221"/>
      <c r="C39" s="488"/>
      <c r="D39" s="488"/>
      <c r="E39" s="489">
        <f t="shared" si="3"/>
        <v>0</v>
      </c>
      <c r="F39" s="488"/>
      <c r="G39" s="488"/>
      <c r="H39" s="490">
        <f t="shared" si="4"/>
        <v>0</v>
      </c>
    </row>
    <row r="40" spans="1:8" s="219" customFormat="1" ht="27.75" customHeight="1" x14ac:dyDescent="0.25">
      <c r="A40" s="1055" t="s">
        <v>469</v>
      </c>
      <c r="B40" s="1056"/>
      <c r="C40" s="488"/>
      <c r="D40" s="488"/>
      <c r="E40" s="489">
        <f t="shared" si="3"/>
        <v>0</v>
      </c>
      <c r="F40" s="488"/>
      <c r="G40" s="488"/>
      <c r="H40" s="490">
        <f t="shared" si="4"/>
        <v>0</v>
      </c>
    </row>
    <row r="41" spans="1:8" s="219" customFormat="1" ht="8.25" customHeight="1" x14ac:dyDescent="0.25">
      <c r="A41" s="225"/>
      <c r="B41" s="226"/>
      <c r="C41" s="488"/>
      <c r="D41" s="488"/>
      <c r="E41" s="489"/>
      <c r="F41" s="488"/>
      <c r="G41" s="488"/>
      <c r="H41" s="490"/>
    </row>
    <row r="42" spans="1:8" s="219" customFormat="1" ht="17.100000000000001" customHeight="1" x14ac:dyDescent="0.25">
      <c r="A42" s="225" t="s">
        <v>470</v>
      </c>
      <c r="B42" s="226"/>
      <c r="C42" s="487">
        <f t="shared" ref="C42:H42" si="5">SUM(C43:C46)</f>
        <v>431991645.12</v>
      </c>
      <c r="D42" s="487">
        <f t="shared" si="5"/>
        <v>260078083.92000002</v>
      </c>
      <c r="E42" s="487">
        <f t="shared" si="5"/>
        <v>692069729.04000008</v>
      </c>
      <c r="F42" s="487">
        <f t="shared" si="5"/>
        <v>448373608.31</v>
      </c>
      <c r="G42" s="487">
        <f t="shared" si="5"/>
        <v>448373608.31</v>
      </c>
      <c r="H42" s="487">
        <f t="shared" si="5"/>
        <v>16381963.19000002</v>
      </c>
    </row>
    <row r="43" spans="1:8" s="219" customFormat="1" ht="17.100000000000001" customHeight="1" x14ac:dyDescent="0.25">
      <c r="A43" s="227"/>
      <c r="B43" s="228" t="s">
        <v>471</v>
      </c>
      <c r="C43" s="488"/>
      <c r="D43" s="488"/>
      <c r="E43" s="489">
        <f t="shared" si="3"/>
        <v>0</v>
      </c>
      <c r="F43" s="488"/>
      <c r="G43" s="488"/>
      <c r="H43" s="490">
        <f t="shared" si="4"/>
        <v>0</v>
      </c>
    </row>
    <row r="44" spans="1:8" s="219" customFormat="1" ht="17.100000000000001" customHeight="1" x14ac:dyDescent="0.25">
      <c r="A44" s="227"/>
      <c r="B44" s="228" t="s">
        <v>472</v>
      </c>
      <c r="C44" s="488"/>
      <c r="D44" s="488"/>
      <c r="E44" s="489">
        <f t="shared" si="3"/>
        <v>0</v>
      </c>
      <c r="F44" s="488"/>
      <c r="G44" s="488"/>
      <c r="H44" s="490">
        <f t="shared" si="4"/>
        <v>0</v>
      </c>
    </row>
    <row r="45" spans="1:8" s="219" customFormat="1" ht="29.25" customHeight="1" x14ac:dyDescent="0.25">
      <c r="A45" s="227"/>
      <c r="B45" s="229" t="s">
        <v>473</v>
      </c>
      <c r="C45" s="488">
        <f>+C21</f>
        <v>0</v>
      </c>
      <c r="D45" s="488">
        <f>+D21</f>
        <v>39503957.710000001</v>
      </c>
      <c r="E45" s="489">
        <f t="shared" si="3"/>
        <v>39503957.710000001</v>
      </c>
      <c r="F45" s="488">
        <f>+F21</f>
        <v>39503957.710000001</v>
      </c>
      <c r="G45" s="488">
        <f>+G21</f>
        <v>39503957.710000001</v>
      </c>
      <c r="H45" s="490">
        <f t="shared" si="4"/>
        <v>39503957.710000001</v>
      </c>
    </row>
    <row r="46" spans="1:8" s="219" customFormat="1" ht="29.25" customHeight="1" x14ac:dyDescent="0.25">
      <c r="A46" s="227"/>
      <c r="B46" s="229" t="s">
        <v>474</v>
      </c>
      <c r="C46" s="488">
        <f>+C22</f>
        <v>431991645.12</v>
      </c>
      <c r="D46" s="488">
        <f>+D22</f>
        <v>220574126.21000001</v>
      </c>
      <c r="E46" s="489">
        <f t="shared" si="3"/>
        <v>652565771.33000004</v>
      </c>
      <c r="F46" s="488">
        <f>+F22</f>
        <v>408869650.60000002</v>
      </c>
      <c r="G46" s="488">
        <f>+G22</f>
        <v>408869650.60000002</v>
      </c>
      <c r="H46" s="490">
        <f t="shared" si="4"/>
        <v>-23121994.519999981</v>
      </c>
    </row>
    <row r="47" spans="1:8" s="219" customFormat="1" ht="6" customHeight="1" x14ac:dyDescent="0.25">
      <c r="A47" s="227"/>
      <c r="B47" s="228"/>
      <c r="C47" s="488"/>
      <c r="D47" s="488"/>
      <c r="E47" s="489"/>
      <c r="F47" s="488"/>
      <c r="G47" s="488"/>
      <c r="H47" s="490"/>
    </row>
    <row r="48" spans="1:8" s="219" customFormat="1" ht="17.100000000000001" customHeight="1" x14ac:dyDescent="0.25">
      <c r="A48" s="225" t="s">
        <v>475</v>
      </c>
      <c r="B48" s="226"/>
      <c r="C48" s="487">
        <f t="shared" ref="C48:H48" si="6">C49</f>
        <v>0</v>
      </c>
      <c r="D48" s="487">
        <f t="shared" si="6"/>
        <v>0</v>
      </c>
      <c r="E48" s="487">
        <f t="shared" si="6"/>
        <v>0</v>
      </c>
      <c r="F48" s="487">
        <f t="shared" si="6"/>
        <v>0</v>
      </c>
      <c r="G48" s="487">
        <f t="shared" si="6"/>
        <v>0</v>
      </c>
      <c r="H48" s="487">
        <f t="shared" si="6"/>
        <v>0</v>
      </c>
    </row>
    <row r="49" spans="1:8" s="219" customFormat="1" ht="17.100000000000001" customHeight="1" x14ac:dyDescent="0.25">
      <c r="A49" s="225"/>
      <c r="B49" s="230" t="s">
        <v>461</v>
      </c>
      <c r="C49" s="488"/>
      <c r="D49" s="488"/>
      <c r="E49" s="489">
        <f t="shared" si="3"/>
        <v>0</v>
      </c>
      <c r="F49" s="488"/>
      <c r="G49" s="488"/>
      <c r="H49" s="490">
        <f t="shared" si="4"/>
        <v>0</v>
      </c>
    </row>
    <row r="50" spans="1:8" s="219" customFormat="1" ht="12.75" customHeight="1" thickBot="1" x14ac:dyDescent="0.3">
      <c r="A50" s="231"/>
      <c r="B50" s="232"/>
      <c r="C50" s="495"/>
      <c r="D50" s="495"/>
      <c r="E50" s="496"/>
      <c r="F50" s="495"/>
      <c r="G50" s="495"/>
      <c r="H50" s="497"/>
    </row>
    <row r="51" spans="1:8" ht="21.75" customHeight="1" thickBot="1" x14ac:dyDescent="0.3">
      <c r="A51" s="1045" t="s">
        <v>266</v>
      </c>
      <c r="B51" s="1046"/>
      <c r="C51" s="839">
        <f t="shared" ref="C51:H51" si="7">C29+C42+C48</f>
        <v>431991645.12</v>
      </c>
      <c r="D51" s="839">
        <f t="shared" si="7"/>
        <v>260078083.92000002</v>
      </c>
      <c r="E51" s="839">
        <f t="shared" si="7"/>
        <v>692069729.04000008</v>
      </c>
      <c r="F51" s="839">
        <f t="shared" si="7"/>
        <v>448373608.31</v>
      </c>
      <c r="G51" s="839">
        <f t="shared" si="7"/>
        <v>448373608.31</v>
      </c>
      <c r="H51" s="839">
        <f t="shared" si="7"/>
        <v>16381963.19000002</v>
      </c>
    </row>
    <row r="52" spans="1:8" ht="23.25" customHeight="1" thickBot="1" x14ac:dyDescent="0.3">
      <c r="A52" s="205"/>
      <c r="B52" s="205"/>
      <c r="C52" s="233"/>
      <c r="D52" s="233"/>
      <c r="E52" s="233"/>
      <c r="F52" s="234"/>
      <c r="G52" s="842" t="s">
        <v>462</v>
      </c>
      <c r="H52" s="843">
        <f>IF(($G$51-$C$51)&lt;=0,"",$G$51-$C$51)</f>
        <v>16381963.189999998</v>
      </c>
    </row>
    <row r="53" spans="1:8" ht="23.25" customHeight="1" x14ac:dyDescent="0.25">
      <c r="A53" s="208"/>
      <c r="B53" s="208"/>
      <c r="C53" s="608"/>
      <c r="D53" s="608"/>
      <c r="E53" s="608"/>
      <c r="F53" s="609"/>
      <c r="G53" s="610"/>
      <c r="H53" s="610"/>
    </row>
    <row r="54" spans="1:8" ht="23.25" customHeight="1" x14ac:dyDescent="0.25">
      <c r="A54" s="208"/>
      <c r="B54" s="208"/>
      <c r="C54" s="608"/>
      <c r="D54" s="608"/>
      <c r="E54" s="608"/>
      <c r="F54" s="609"/>
      <c r="G54" s="610"/>
      <c r="H54" s="610"/>
    </row>
    <row r="55" spans="1:8" ht="23.25" customHeight="1" x14ac:dyDescent="0.25">
      <c r="A55" s="208"/>
      <c r="B55" s="208"/>
      <c r="C55" s="608"/>
      <c r="D55" s="608"/>
      <c r="E55" s="608"/>
      <c r="F55" s="609"/>
      <c r="G55" s="610"/>
      <c r="H55" s="610"/>
    </row>
    <row r="56" spans="1:8" ht="8.25" customHeight="1" x14ac:dyDescent="0.25">
      <c r="A56" s="235"/>
      <c r="B56" s="115"/>
    </row>
    <row r="57" spans="1:8" x14ac:dyDescent="0.25">
      <c r="A57" s="238"/>
      <c r="B57" s="115"/>
      <c r="H57" s="443"/>
    </row>
    <row r="58" spans="1:8" x14ac:dyDescent="0.25">
      <c r="A58" s="239"/>
      <c r="B58" s="240" t="s">
        <v>476</v>
      </c>
      <c r="C58" s="241"/>
      <c r="D58" s="241"/>
      <c r="E58" s="241"/>
      <c r="F58" s="241"/>
      <c r="G58" s="241"/>
      <c r="H58" s="241"/>
    </row>
    <row r="59" spans="1:8" x14ac:dyDescent="0.25">
      <c r="A59" s="239"/>
      <c r="B59" s="240" t="s">
        <v>477</v>
      </c>
      <c r="C59" s="241"/>
      <c r="D59" s="241"/>
      <c r="E59" s="241"/>
      <c r="F59" s="241"/>
      <c r="G59" s="241"/>
      <c r="H59" s="241"/>
    </row>
    <row r="60" spans="1:8" x14ac:dyDescent="0.25">
      <c r="A60" s="239"/>
      <c r="B60" s="240"/>
      <c r="C60" s="241"/>
      <c r="D60" s="241"/>
      <c r="E60" s="241"/>
      <c r="F60" s="241"/>
      <c r="G60" s="241"/>
      <c r="H60" s="241"/>
    </row>
  </sheetData>
  <sheetProtection password="C115" sheet="1" scenarios="1" formatColumns="0" formatRows="0" insertHyperlinks="0"/>
  <mergeCells count="12">
    <mergeCell ref="A51:B51"/>
    <mergeCell ref="A1:H1"/>
    <mergeCell ref="A2:H2"/>
    <mergeCell ref="A3:H3"/>
    <mergeCell ref="A4:H4"/>
    <mergeCell ref="C5:F5"/>
    <mergeCell ref="A6:B7"/>
    <mergeCell ref="A24:B24"/>
    <mergeCell ref="A27:B27"/>
    <mergeCell ref="A32:B32"/>
    <mergeCell ref="A36:B36"/>
    <mergeCell ref="A40:B40"/>
  </mergeCells>
  <printOptions horizontalCentered="1"/>
  <pageMargins left="0.39370078740157483" right="0.39370078740157483" top="0.39370078740157483" bottom="0.51181102362204722" header="0.31496062992125984" footer="0.31496062992125984"/>
  <pageSetup scale="88" fitToHeight="2" orientation="landscape" r:id="rId1"/>
  <rowBreaks count="1" manualBreakCount="1">
    <brk id="26" max="7"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1"/>
  <sheetViews>
    <sheetView topLeftCell="A22" zoomScale="120" zoomScaleNormal="120" workbookViewId="0">
      <selection activeCell="G37" sqref="G37"/>
    </sheetView>
  </sheetViews>
  <sheetFormatPr baseColWidth="10" defaultColWidth="11.42578125" defaultRowHeight="15" x14ac:dyDescent="0.25"/>
  <cols>
    <col min="1" max="1" width="1.85546875" customWidth="1"/>
    <col min="2" max="2" width="0.85546875" customWidth="1"/>
    <col min="3" max="3" width="48.28515625" customWidth="1"/>
    <col min="5" max="5" width="12.85546875" customWidth="1"/>
  </cols>
  <sheetData>
    <row r="1" spans="1:9" ht="15.75" x14ac:dyDescent="0.25">
      <c r="A1" s="965" t="s">
        <v>25</v>
      </c>
      <c r="B1" s="965"/>
      <c r="C1" s="965"/>
      <c r="D1" s="965"/>
      <c r="E1" s="965"/>
      <c r="F1" s="965"/>
      <c r="G1" s="965"/>
      <c r="H1" s="965"/>
      <c r="I1" s="965"/>
    </row>
    <row r="2" spans="1:9" ht="15.75" customHeight="1" x14ac:dyDescent="0.25">
      <c r="A2" s="966" t="s">
        <v>478</v>
      </c>
      <c r="B2" s="966"/>
      <c r="C2" s="966"/>
      <c r="D2" s="966"/>
      <c r="E2" s="966"/>
      <c r="F2" s="966"/>
      <c r="G2" s="966"/>
      <c r="H2" s="966"/>
      <c r="I2" s="966"/>
    </row>
    <row r="3" spans="1:9" ht="16.5" customHeight="1" x14ac:dyDescent="0.25">
      <c r="A3" s="966" t="str">
        <f>'ETCA-I-01'!A3:G3</f>
        <v>Consejo Estatal de Concertacion para la Obra Publica</v>
      </c>
      <c r="B3" s="966"/>
      <c r="C3" s="966"/>
      <c r="D3" s="966"/>
      <c r="E3" s="966"/>
      <c r="F3" s="966"/>
      <c r="G3" s="966"/>
      <c r="H3" s="966"/>
      <c r="I3" s="966"/>
    </row>
    <row r="4" spans="1:9" ht="15.75" customHeight="1" x14ac:dyDescent="0.25">
      <c r="A4" s="1057" t="str">
        <f>'ETCA-I-10'!A4:K4</f>
        <v>Del 01 de Enero  al 30 de Septiembre de 2017</v>
      </c>
      <c r="B4" s="1057"/>
      <c r="C4" s="1057"/>
      <c r="D4" s="1057"/>
      <c r="E4" s="1057"/>
      <c r="F4" s="1057"/>
      <c r="G4" s="1057"/>
      <c r="H4" s="1057"/>
      <c r="I4" s="1057"/>
    </row>
    <row r="5" spans="1:9" ht="15.75" customHeight="1" thickBot="1" x14ac:dyDescent="0.3">
      <c r="A5" s="1002" t="s">
        <v>89</v>
      </c>
      <c r="B5" s="1002"/>
      <c r="C5" s="1002"/>
      <c r="D5" s="1002"/>
      <c r="E5" s="1002"/>
      <c r="F5" s="1002"/>
      <c r="G5" s="1002"/>
      <c r="H5" s="1002"/>
      <c r="I5" s="1002"/>
    </row>
    <row r="6" spans="1:9" ht="15.75" thickBot="1" x14ac:dyDescent="0.3">
      <c r="A6" s="1058"/>
      <c r="B6" s="1059"/>
      <c r="C6" s="1060"/>
      <c r="D6" s="1061" t="s">
        <v>479</v>
      </c>
      <c r="E6" s="1062"/>
      <c r="F6" s="1062"/>
      <c r="G6" s="1062"/>
      <c r="H6" s="1063"/>
      <c r="I6" s="1064" t="s">
        <v>480</v>
      </c>
    </row>
    <row r="7" spans="1:9" x14ac:dyDescent="0.25">
      <c r="A7" s="1067" t="s">
        <v>261</v>
      </c>
      <c r="B7" s="1068"/>
      <c r="C7" s="1069"/>
      <c r="D7" s="1064" t="s">
        <v>481</v>
      </c>
      <c r="E7" s="1073" t="s">
        <v>482</v>
      </c>
      <c r="F7" s="1064" t="s">
        <v>483</v>
      </c>
      <c r="G7" s="1064" t="s">
        <v>484</v>
      </c>
      <c r="H7" s="1064" t="s">
        <v>485</v>
      </c>
      <c r="I7" s="1065"/>
    </row>
    <row r="8" spans="1:9" ht="15.75" thickBot="1" x14ac:dyDescent="0.3">
      <c r="A8" s="1070" t="s">
        <v>486</v>
      </c>
      <c r="B8" s="1071"/>
      <c r="C8" s="1072"/>
      <c r="D8" s="1066"/>
      <c r="E8" s="1074"/>
      <c r="F8" s="1066"/>
      <c r="G8" s="1066"/>
      <c r="H8" s="1066"/>
      <c r="I8" s="1066"/>
    </row>
    <row r="9" spans="1:9" x14ac:dyDescent="0.25">
      <c r="A9" s="1075"/>
      <c r="B9" s="1076"/>
      <c r="C9" s="1077"/>
      <c r="D9" s="790"/>
      <c r="E9" s="790"/>
      <c r="F9" s="790"/>
      <c r="G9" s="790"/>
      <c r="H9" s="790"/>
      <c r="I9" s="790"/>
    </row>
    <row r="10" spans="1:9" x14ac:dyDescent="0.25">
      <c r="A10" s="1081" t="s">
        <v>487</v>
      </c>
      <c r="B10" s="1082"/>
      <c r="C10" s="1083"/>
      <c r="D10" s="688"/>
      <c r="E10" s="688"/>
      <c r="F10" s="688"/>
      <c r="G10" s="688"/>
      <c r="H10" s="688"/>
      <c r="I10" s="688"/>
    </row>
    <row r="11" spans="1:9" x14ac:dyDescent="0.25">
      <c r="A11" s="811"/>
      <c r="B11" s="1078" t="s">
        <v>488</v>
      </c>
      <c r="C11" s="1079"/>
      <c r="D11" s="690">
        <v>0</v>
      </c>
      <c r="E11" s="690">
        <v>0</v>
      </c>
      <c r="F11" s="690">
        <f t="shared" ref="F11:F17" si="0">+D11+E11</f>
        <v>0</v>
      </c>
      <c r="G11" s="690">
        <v>0</v>
      </c>
      <c r="H11" s="690">
        <v>0</v>
      </c>
      <c r="I11" s="689">
        <f>+H11-D11</f>
        <v>0</v>
      </c>
    </row>
    <row r="12" spans="1:9" x14ac:dyDescent="0.25">
      <c r="A12" s="811"/>
      <c r="B12" s="1078" t="s">
        <v>489</v>
      </c>
      <c r="C12" s="1079"/>
      <c r="D12" s="690">
        <v>0</v>
      </c>
      <c r="E12" s="690">
        <v>0</v>
      </c>
      <c r="F12" s="690">
        <f t="shared" si="0"/>
        <v>0</v>
      </c>
      <c r="G12" s="690">
        <v>0</v>
      </c>
      <c r="H12" s="690">
        <v>0</v>
      </c>
      <c r="I12" s="689">
        <f t="shared" ref="I12:I17" si="1">+H12-D12</f>
        <v>0</v>
      </c>
    </row>
    <row r="13" spans="1:9" x14ac:dyDescent="0.25">
      <c r="A13" s="811"/>
      <c r="B13" s="1078" t="s">
        <v>490</v>
      </c>
      <c r="C13" s="1079"/>
      <c r="D13" s="690">
        <v>0</v>
      </c>
      <c r="E13" s="690">
        <v>0</v>
      </c>
      <c r="F13" s="690">
        <f t="shared" si="0"/>
        <v>0</v>
      </c>
      <c r="G13" s="690">
        <v>0</v>
      </c>
      <c r="H13" s="690">
        <v>0</v>
      </c>
      <c r="I13" s="689">
        <f t="shared" si="1"/>
        <v>0</v>
      </c>
    </row>
    <row r="14" spans="1:9" x14ac:dyDescent="0.25">
      <c r="A14" s="811"/>
      <c r="B14" s="1078" t="s">
        <v>491</v>
      </c>
      <c r="C14" s="1079"/>
      <c r="D14" s="690">
        <v>0</v>
      </c>
      <c r="E14" s="690">
        <v>0</v>
      </c>
      <c r="F14" s="690">
        <f t="shared" si="0"/>
        <v>0</v>
      </c>
      <c r="G14" s="690">
        <v>0</v>
      </c>
      <c r="H14" s="690">
        <v>0</v>
      </c>
      <c r="I14" s="689">
        <f t="shared" si="1"/>
        <v>0</v>
      </c>
    </row>
    <row r="15" spans="1:9" x14ac:dyDescent="0.25">
      <c r="A15" s="811"/>
      <c r="B15" s="1078" t="s">
        <v>492</v>
      </c>
      <c r="C15" s="1079"/>
      <c r="D15" s="690">
        <v>0</v>
      </c>
      <c r="E15" s="690">
        <v>0</v>
      </c>
      <c r="F15" s="690">
        <f t="shared" si="0"/>
        <v>0</v>
      </c>
      <c r="G15" s="690">
        <v>0</v>
      </c>
      <c r="H15" s="690">
        <v>0</v>
      </c>
      <c r="I15" s="689">
        <f t="shared" si="1"/>
        <v>0</v>
      </c>
    </row>
    <row r="16" spans="1:9" x14ac:dyDescent="0.25">
      <c r="A16" s="811"/>
      <c r="B16" s="1078" t="s">
        <v>493</v>
      </c>
      <c r="C16" s="1079"/>
      <c r="D16" s="690">
        <v>0</v>
      </c>
      <c r="E16" s="690">
        <v>0</v>
      </c>
      <c r="F16" s="690">
        <f t="shared" si="0"/>
        <v>0</v>
      </c>
      <c r="G16" s="690">
        <v>0</v>
      </c>
      <c r="H16" s="690"/>
      <c r="I16" s="689">
        <f t="shared" si="1"/>
        <v>0</v>
      </c>
    </row>
    <row r="17" spans="1:9" x14ac:dyDescent="0.25">
      <c r="A17" s="811"/>
      <c r="B17" s="1078" t="s">
        <v>494</v>
      </c>
      <c r="C17" s="1079"/>
      <c r="D17" s="690">
        <v>0</v>
      </c>
      <c r="E17" s="690">
        <v>0</v>
      </c>
      <c r="F17" s="690">
        <f t="shared" si="0"/>
        <v>0</v>
      </c>
      <c r="G17" s="690">
        <v>0</v>
      </c>
      <c r="H17" s="690"/>
      <c r="I17" s="689">
        <f t="shared" si="1"/>
        <v>0</v>
      </c>
    </row>
    <row r="18" spans="1:9" x14ac:dyDescent="0.25">
      <c r="A18" s="1080"/>
      <c r="B18" s="1078" t="s">
        <v>495</v>
      </c>
      <c r="C18" s="1079"/>
      <c r="D18" s="1087">
        <f t="shared" ref="D18:I18" si="2">SUM(D20:D30)</f>
        <v>0</v>
      </c>
      <c r="E18" s="1087">
        <f t="shared" si="2"/>
        <v>0</v>
      </c>
      <c r="F18" s="1087">
        <f t="shared" si="2"/>
        <v>0</v>
      </c>
      <c r="G18" s="1087">
        <f t="shared" si="2"/>
        <v>0</v>
      </c>
      <c r="H18" s="1087">
        <f t="shared" si="2"/>
        <v>0</v>
      </c>
      <c r="I18" s="1087">
        <f t="shared" si="2"/>
        <v>0</v>
      </c>
    </row>
    <row r="19" spans="1:9" x14ac:dyDescent="0.25">
      <c r="A19" s="1080"/>
      <c r="B19" s="1078" t="s">
        <v>496</v>
      </c>
      <c r="C19" s="1079"/>
      <c r="D19" s="1087"/>
      <c r="E19" s="1087"/>
      <c r="F19" s="1087"/>
      <c r="G19" s="1087"/>
      <c r="H19" s="1087"/>
      <c r="I19" s="1087"/>
    </row>
    <row r="20" spans="1:9" x14ac:dyDescent="0.25">
      <c r="A20" s="811"/>
      <c r="B20" s="809"/>
      <c r="C20" s="810" t="s">
        <v>497</v>
      </c>
      <c r="D20" s="690">
        <v>0</v>
      </c>
      <c r="E20" s="690">
        <v>0</v>
      </c>
      <c r="F20" s="690">
        <f t="shared" ref="F20:F30" si="3">+D20+E20</f>
        <v>0</v>
      </c>
      <c r="G20" s="690">
        <v>0</v>
      </c>
      <c r="H20" s="690">
        <v>0</v>
      </c>
      <c r="I20" s="689">
        <f>+H20-D20</f>
        <v>0</v>
      </c>
    </row>
    <row r="21" spans="1:9" x14ac:dyDescent="0.25">
      <c r="A21" s="811"/>
      <c r="B21" s="809"/>
      <c r="C21" s="810" t="s">
        <v>498</v>
      </c>
      <c r="D21" s="690">
        <v>0</v>
      </c>
      <c r="E21" s="690">
        <v>0</v>
      </c>
      <c r="F21" s="690">
        <f t="shared" si="3"/>
        <v>0</v>
      </c>
      <c r="G21" s="690">
        <v>0</v>
      </c>
      <c r="H21" s="690">
        <v>0</v>
      </c>
      <c r="I21" s="689">
        <f t="shared" ref="I21:I37" si="4">+H21-D21</f>
        <v>0</v>
      </c>
    </row>
    <row r="22" spans="1:9" x14ac:dyDescent="0.25">
      <c r="A22" s="811"/>
      <c r="B22" s="809"/>
      <c r="C22" s="810" t="s">
        <v>499</v>
      </c>
      <c r="D22" s="690">
        <v>0</v>
      </c>
      <c r="E22" s="690">
        <v>0</v>
      </c>
      <c r="F22" s="690">
        <f t="shared" si="3"/>
        <v>0</v>
      </c>
      <c r="G22" s="690">
        <v>0</v>
      </c>
      <c r="H22" s="690">
        <v>0</v>
      </c>
      <c r="I22" s="689">
        <f t="shared" si="4"/>
        <v>0</v>
      </c>
    </row>
    <row r="23" spans="1:9" x14ac:dyDescent="0.25">
      <c r="A23" s="811"/>
      <c r="B23" s="809"/>
      <c r="C23" s="810" t="s">
        <v>500</v>
      </c>
      <c r="D23" s="690">
        <v>0</v>
      </c>
      <c r="E23" s="690">
        <v>0</v>
      </c>
      <c r="F23" s="690">
        <f t="shared" si="3"/>
        <v>0</v>
      </c>
      <c r="G23" s="690">
        <v>0</v>
      </c>
      <c r="H23" s="690">
        <v>0</v>
      </c>
      <c r="I23" s="689">
        <f t="shared" si="4"/>
        <v>0</v>
      </c>
    </row>
    <row r="24" spans="1:9" x14ac:dyDescent="0.25">
      <c r="A24" s="811"/>
      <c r="B24" s="809"/>
      <c r="C24" s="810" t="s">
        <v>501</v>
      </c>
      <c r="D24" s="690">
        <v>0</v>
      </c>
      <c r="E24" s="690">
        <v>0</v>
      </c>
      <c r="F24" s="690">
        <f t="shared" si="3"/>
        <v>0</v>
      </c>
      <c r="G24" s="690">
        <v>0</v>
      </c>
      <c r="H24" s="690">
        <v>0</v>
      </c>
      <c r="I24" s="689">
        <f t="shared" si="4"/>
        <v>0</v>
      </c>
    </row>
    <row r="25" spans="1:9" x14ac:dyDescent="0.25">
      <c r="A25" s="811"/>
      <c r="B25" s="809"/>
      <c r="C25" s="810" t="s">
        <v>502</v>
      </c>
      <c r="D25" s="690">
        <v>0</v>
      </c>
      <c r="E25" s="690">
        <v>0</v>
      </c>
      <c r="F25" s="690">
        <f t="shared" si="3"/>
        <v>0</v>
      </c>
      <c r="G25" s="690">
        <v>0</v>
      </c>
      <c r="H25" s="690">
        <v>0</v>
      </c>
      <c r="I25" s="689">
        <f t="shared" si="4"/>
        <v>0</v>
      </c>
    </row>
    <row r="26" spans="1:9" x14ac:dyDescent="0.25">
      <c r="A26" s="811"/>
      <c r="B26" s="809"/>
      <c r="C26" s="810" t="s">
        <v>503</v>
      </c>
      <c r="D26" s="690">
        <v>0</v>
      </c>
      <c r="E26" s="690">
        <v>0</v>
      </c>
      <c r="F26" s="690">
        <f t="shared" si="3"/>
        <v>0</v>
      </c>
      <c r="G26" s="690">
        <v>0</v>
      </c>
      <c r="H26" s="690">
        <v>0</v>
      </c>
      <c r="I26" s="689">
        <f t="shared" si="4"/>
        <v>0</v>
      </c>
    </row>
    <row r="27" spans="1:9" x14ac:dyDescent="0.25">
      <c r="A27" s="811"/>
      <c r="B27" s="809"/>
      <c r="C27" s="810" t="s">
        <v>504</v>
      </c>
      <c r="D27" s="690">
        <v>0</v>
      </c>
      <c r="E27" s="690">
        <v>0</v>
      </c>
      <c r="F27" s="690">
        <f t="shared" si="3"/>
        <v>0</v>
      </c>
      <c r="G27" s="690">
        <v>0</v>
      </c>
      <c r="H27" s="690">
        <v>0</v>
      </c>
      <c r="I27" s="689">
        <f t="shared" si="4"/>
        <v>0</v>
      </c>
    </row>
    <row r="28" spans="1:9" x14ac:dyDescent="0.25">
      <c r="A28" s="811"/>
      <c r="B28" s="809"/>
      <c r="C28" s="810" t="s">
        <v>505</v>
      </c>
      <c r="D28" s="690">
        <v>0</v>
      </c>
      <c r="E28" s="690">
        <v>0</v>
      </c>
      <c r="F28" s="690">
        <f t="shared" si="3"/>
        <v>0</v>
      </c>
      <c r="G28" s="690">
        <v>0</v>
      </c>
      <c r="H28" s="690">
        <v>0</v>
      </c>
      <c r="I28" s="689">
        <f t="shared" si="4"/>
        <v>0</v>
      </c>
    </row>
    <row r="29" spans="1:9" x14ac:dyDescent="0.25">
      <c r="A29" s="811"/>
      <c r="B29" s="809"/>
      <c r="C29" s="810" t="s">
        <v>506</v>
      </c>
      <c r="D29" s="690">
        <v>0</v>
      </c>
      <c r="E29" s="690">
        <v>0</v>
      </c>
      <c r="F29" s="690">
        <f t="shared" si="3"/>
        <v>0</v>
      </c>
      <c r="G29" s="690">
        <v>0</v>
      </c>
      <c r="H29" s="690">
        <v>0</v>
      </c>
      <c r="I29" s="689">
        <f t="shared" si="4"/>
        <v>0</v>
      </c>
    </row>
    <row r="30" spans="1:9" x14ac:dyDescent="0.25">
      <c r="A30" s="811"/>
      <c r="B30" s="809"/>
      <c r="C30" s="810" t="s">
        <v>507</v>
      </c>
      <c r="D30" s="690">
        <v>0</v>
      </c>
      <c r="E30" s="690">
        <v>0</v>
      </c>
      <c r="F30" s="690">
        <f t="shared" si="3"/>
        <v>0</v>
      </c>
      <c r="G30" s="690">
        <v>0</v>
      </c>
      <c r="H30" s="690">
        <v>0</v>
      </c>
      <c r="I30" s="689">
        <f t="shared" si="4"/>
        <v>0</v>
      </c>
    </row>
    <row r="31" spans="1:9" x14ac:dyDescent="0.25">
      <c r="A31" s="811"/>
      <c r="B31" s="1078" t="s">
        <v>508</v>
      </c>
      <c r="C31" s="1079"/>
      <c r="D31" s="689">
        <f t="shared" ref="D31:I31" si="5">SUM(D32:D36)</f>
        <v>0</v>
      </c>
      <c r="E31" s="689">
        <f t="shared" si="5"/>
        <v>0</v>
      </c>
      <c r="F31" s="689">
        <f t="shared" si="5"/>
        <v>0</v>
      </c>
      <c r="G31" s="689">
        <f t="shared" si="5"/>
        <v>0</v>
      </c>
      <c r="H31" s="689">
        <f t="shared" si="5"/>
        <v>0</v>
      </c>
      <c r="I31" s="689">
        <f t="shared" si="5"/>
        <v>0</v>
      </c>
    </row>
    <row r="32" spans="1:9" x14ac:dyDescent="0.25">
      <c r="A32" s="811"/>
      <c r="B32" s="809"/>
      <c r="C32" s="810" t="s">
        <v>509</v>
      </c>
      <c r="D32" s="690">
        <v>0</v>
      </c>
      <c r="E32" s="690">
        <v>0</v>
      </c>
      <c r="F32" s="690">
        <v>0</v>
      </c>
      <c r="G32" s="690"/>
      <c r="H32" s="690">
        <v>0</v>
      </c>
      <c r="I32" s="689">
        <f t="shared" si="4"/>
        <v>0</v>
      </c>
    </row>
    <row r="33" spans="1:9" x14ac:dyDescent="0.25">
      <c r="A33" s="811"/>
      <c r="B33" s="809"/>
      <c r="C33" s="810" t="s">
        <v>510</v>
      </c>
      <c r="D33" s="690">
        <v>0</v>
      </c>
      <c r="E33" s="690">
        <v>0</v>
      </c>
      <c r="F33" s="690">
        <f t="shared" ref="F33:F37" si="6">+D33+E33</f>
        <v>0</v>
      </c>
      <c r="G33" s="690"/>
      <c r="H33" s="690">
        <v>0</v>
      </c>
      <c r="I33" s="689">
        <f t="shared" si="4"/>
        <v>0</v>
      </c>
    </row>
    <row r="34" spans="1:9" ht="15.75" thickBot="1" x14ac:dyDescent="0.3">
      <c r="A34" s="656"/>
      <c r="B34" s="738"/>
      <c r="C34" s="793" t="s">
        <v>511</v>
      </c>
      <c r="D34" s="691">
        <v>0</v>
      </c>
      <c r="E34" s="691">
        <v>0</v>
      </c>
      <c r="F34" s="691">
        <f t="shared" si="6"/>
        <v>0</v>
      </c>
      <c r="G34" s="691"/>
      <c r="H34" s="691"/>
      <c r="I34" s="766">
        <f t="shared" si="4"/>
        <v>0</v>
      </c>
    </row>
    <row r="35" spans="1:9" x14ac:dyDescent="0.25">
      <c r="A35" s="811"/>
      <c r="B35" s="809"/>
      <c r="C35" s="810" t="s">
        <v>512</v>
      </c>
      <c r="D35" s="690">
        <v>0</v>
      </c>
      <c r="E35" s="690">
        <v>0</v>
      </c>
      <c r="F35" s="690">
        <f t="shared" si="6"/>
        <v>0</v>
      </c>
      <c r="G35" s="690"/>
      <c r="H35" s="690"/>
      <c r="I35" s="689">
        <f t="shared" si="4"/>
        <v>0</v>
      </c>
    </row>
    <row r="36" spans="1:9" x14ac:dyDescent="0.25">
      <c r="A36" s="811"/>
      <c r="B36" s="809"/>
      <c r="C36" s="810" t="s">
        <v>513</v>
      </c>
      <c r="D36" s="690">
        <v>0</v>
      </c>
      <c r="E36" s="690">
        <v>0</v>
      </c>
      <c r="F36" s="690">
        <f t="shared" si="6"/>
        <v>0</v>
      </c>
      <c r="G36" s="690"/>
      <c r="H36" s="690"/>
      <c r="I36" s="689">
        <f t="shared" si="4"/>
        <v>0</v>
      </c>
    </row>
    <row r="37" spans="1:9" x14ac:dyDescent="0.25">
      <c r="A37" s="811"/>
      <c r="B37" s="1085" t="s">
        <v>514</v>
      </c>
      <c r="C37" s="1086"/>
      <c r="D37" s="690">
        <v>431991645.12</v>
      </c>
      <c r="E37" s="690">
        <v>220574126.21000001</v>
      </c>
      <c r="F37" s="791">
        <f t="shared" si="6"/>
        <v>652565771.33000004</v>
      </c>
      <c r="G37" s="690">
        <v>408869650.58999997</v>
      </c>
      <c r="H37" s="690">
        <f>+G37</f>
        <v>408869650.58999997</v>
      </c>
      <c r="I37" s="792">
        <f t="shared" si="4"/>
        <v>-23121994.530000031</v>
      </c>
    </row>
    <row r="38" spans="1:9" x14ac:dyDescent="0.25">
      <c r="A38" s="811"/>
      <c r="B38" s="1078" t="s">
        <v>515</v>
      </c>
      <c r="C38" s="1079"/>
      <c r="D38" s="689">
        <f t="shared" ref="D38:I38" si="7">SUM(D39)</f>
        <v>0</v>
      </c>
      <c r="E38" s="689">
        <f t="shared" si="7"/>
        <v>0</v>
      </c>
      <c r="F38" s="689">
        <f t="shared" si="7"/>
        <v>0</v>
      </c>
      <c r="G38" s="689">
        <f t="shared" si="7"/>
        <v>0</v>
      </c>
      <c r="H38" s="689">
        <f t="shared" si="7"/>
        <v>0</v>
      </c>
      <c r="I38" s="689">
        <f t="shared" si="7"/>
        <v>0</v>
      </c>
    </row>
    <row r="39" spans="1:9" x14ac:dyDescent="0.25">
      <c r="A39" s="811"/>
      <c r="B39" s="809"/>
      <c r="C39" s="810" t="s">
        <v>516</v>
      </c>
      <c r="D39" s="690">
        <v>0</v>
      </c>
      <c r="E39" s="690"/>
      <c r="F39" s="690">
        <f>+D39+E39</f>
        <v>0</v>
      </c>
      <c r="G39" s="690"/>
      <c r="H39" s="690"/>
      <c r="I39" s="689">
        <f>+H39-D39</f>
        <v>0</v>
      </c>
    </row>
    <row r="40" spans="1:9" x14ac:dyDescent="0.25">
      <c r="A40" s="811"/>
      <c r="B40" s="1078" t="s">
        <v>517</v>
      </c>
      <c r="C40" s="1079"/>
      <c r="D40" s="689">
        <f t="shared" ref="D40:I40" si="8">SUM(D41:D42)</f>
        <v>0</v>
      </c>
      <c r="E40" s="689">
        <f t="shared" si="8"/>
        <v>0</v>
      </c>
      <c r="F40" s="689">
        <f t="shared" si="8"/>
        <v>0</v>
      </c>
      <c r="G40" s="689">
        <f t="shared" si="8"/>
        <v>0</v>
      </c>
      <c r="H40" s="689">
        <f t="shared" si="8"/>
        <v>0</v>
      </c>
      <c r="I40" s="689">
        <f t="shared" si="8"/>
        <v>0</v>
      </c>
    </row>
    <row r="41" spans="1:9" x14ac:dyDescent="0.25">
      <c r="A41" s="811"/>
      <c r="B41" s="809"/>
      <c r="C41" s="810" t="s">
        <v>518</v>
      </c>
      <c r="D41" s="690">
        <v>0</v>
      </c>
      <c r="E41" s="690">
        <v>0</v>
      </c>
      <c r="F41" s="690">
        <f>+D41+E41</f>
        <v>0</v>
      </c>
      <c r="G41" s="690"/>
      <c r="H41" s="690"/>
      <c r="I41" s="689">
        <f>H41-D41</f>
        <v>0</v>
      </c>
    </row>
    <row r="42" spans="1:9" x14ac:dyDescent="0.25">
      <c r="A42" s="811"/>
      <c r="B42" s="809"/>
      <c r="C42" s="810" t="s">
        <v>519</v>
      </c>
      <c r="D42" s="690">
        <v>0</v>
      </c>
      <c r="E42" s="690">
        <v>0</v>
      </c>
      <c r="F42" s="690">
        <f>+D42+E42</f>
        <v>0</v>
      </c>
      <c r="G42" s="690"/>
      <c r="H42" s="690"/>
      <c r="I42" s="689">
        <f>H42-D42</f>
        <v>0</v>
      </c>
    </row>
    <row r="43" spans="1:9" ht="8.25" customHeight="1" x14ac:dyDescent="0.25">
      <c r="A43" s="811"/>
      <c r="B43" s="809"/>
      <c r="C43" s="810"/>
      <c r="D43" s="685"/>
      <c r="E43" s="685"/>
      <c r="F43" s="685"/>
      <c r="G43" s="685"/>
      <c r="H43" s="685"/>
      <c r="I43" s="689"/>
    </row>
    <row r="44" spans="1:9" ht="15" customHeight="1" x14ac:dyDescent="0.25">
      <c r="A44" s="830" t="s">
        <v>520</v>
      </c>
      <c r="B44" s="664"/>
      <c r="C44" s="684"/>
      <c r="D44" s="1084">
        <f>+D11+D12+D13+D14+D15+D16+D17+D18+D31+D37+D38+D40</f>
        <v>431991645.12</v>
      </c>
      <c r="E44" s="1084">
        <f t="shared" ref="E44:I44" si="9">+E11+E12+E13+E14+E15+E16+E17+E18+E31+E37+E38+E40</f>
        <v>220574126.21000001</v>
      </c>
      <c r="F44" s="1084">
        <f t="shared" si="9"/>
        <v>652565771.33000004</v>
      </c>
      <c r="G44" s="1084">
        <f t="shared" si="9"/>
        <v>408869650.58999997</v>
      </c>
      <c r="H44" s="1084">
        <f t="shared" si="9"/>
        <v>408869650.58999997</v>
      </c>
      <c r="I44" s="1084">
        <f t="shared" si="9"/>
        <v>-23121994.530000031</v>
      </c>
    </row>
    <row r="45" spans="1:9" x14ac:dyDescent="0.25">
      <c r="A45" s="830" t="s">
        <v>521</v>
      </c>
      <c r="B45" s="664"/>
      <c r="C45" s="684"/>
      <c r="D45" s="1084"/>
      <c r="E45" s="1084"/>
      <c r="F45" s="1084"/>
      <c r="G45" s="1084"/>
      <c r="H45" s="1084"/>
      <c r="I45" s="1084"/>
    </row>
    <row r="46" spans="1:9" ht="8.25" customHeight="1" x14ac:dyDescent="0.25">
      <c r="A46" s="831"/>
      <c r="B46" s="812"/>
      <c r="C46" s="813"/>
      <c r="D46" s="1084"/>
      <c r="E46" s="1084"/>
      <c r="F46" s="1084"/>
      <c r="G46" s="1084"/>
      <c r="H46" s="1084"/>
      <c r="I46" s="1084"/>
    </row>
    <row r="47" spans="1:9" x14ac:dyDescent="0.25">
      <c r="A47" s="1081" t="s">
        <v>522</v>
      </c>
      <c r="B47" s="1082"/>
      <c r="C47" s="1088"/>
      <c r="D47" s="692"/>
      <c r="E47" s="692"/>
      <c r="F47" s="692"/>
      <c r="G47" s="692"/>
      <c r="H47" s="692"/>
      <c r="I47" s="693" t="str">
        <f>IF(($H$44-$D$44)&lt;=0," ",$H$44-$D$44)</f>
        <v xml:space="preserve"> </v>
      </c>
    </row>
    <row r="48" spans="1:9" ht="11.25" customHeight="1" x14ac:dyDescent="0.25">
      <c r="A48" s="811"/>
      <c r="B48" s="809"/>
      <c r="C48" s="810"/>
      <c r="D48" s="685"/>
      <c r="E48" s="685"/>
      <c r="F48" s="685"/>
      <c r="G48" s="685"/>
      <c r="H48" s="685"/>
      <c r="I48" s="689"/>
    </row>
    <row r="49" spans="1:9" x14ac:dyDescent="0.25">
      <c r="A49" s="1081" t="s">
        <v>523</v>
      </c>
      <c r="B49" s="1082"/>
      <c r="C49" s="1088"/>
      <c r="D49" s="685"/>
      <c r="E49" s="685"/>
      <c r="F49" s="685"/>
      <c r="G49" s="685"/>
      <c r="H49" s="685"/>
      <c r="I49" s="689"/>
    </row>
    <row r="50" spans="1:9" x14ac:dyDescent="0.25">
      <c r="A50" s="811"/>
      <c r="B50" s="1078" t="s">
        <v>524</v>
      </c>
      <c r="C50" s="1079"/>
      <c r="D50" s="685">
        <f t="shared" ref="D50:I50" si="10">SUM(D51:D58)</f>
        <v>0</v>
      </c>
      <c r="E50" s="685">
        <f t="shared" si="10"/>
        <v>0</v>
      </c>
      <c r="F50" s="685">
        <f t="shared" si="10"/>
        <v>0</v>
      </c>
      <c r="G50" s="685">
        <f t="shared" si="10"/>
        <v>0</v>
      </c>
      <c r="H50" s="685">
        <f t="shared" si="10"/>
        <v>0</v>
      </c>
      <c r="I50" s="689">
        <f t="shared" si="10"/>
        <v>0</v>
      </c>
    </row>
    <row r="51" spans="1:9" x14ac:dyDescent="0.25">
      <c r="A51" s="811"/>
      <c r="B51" s="809"/>
      <c r="C51" s="810" t="s">
        <v>525</v>
      </c>
      <c r="D51" s="690">
        <v>0</v>
      </c>
      <c r="E51" s="690">
        <v>0</v>
      </c>
      <c r="F51" s="690">
        <f t="shared" ref="F51:F79" si="11">+D51+E51</f>
        <v>0</v>
      </c>
      <c r="G51" s="690">
        <v>0</v>
      </c>
      <c r="H51" s="690">
        <v>0</v>
      </c>
      <c r="I51" s="689">
        <f>H51-D51</f>
        <v>0</v>
      </c>
    </row>
    <row r="52" spans="1:9" x14ac:dyDescent="0.25">
      <c r="A52" s="811"/>
      <c r="B52" s="809"/>
      <c r="C52" s="810" t="s">
        <v>526</v>
      </c>
      <c r="D52" s="690">
        <v>0</v>
      </c>
      <c r="E52" s="690"/>
      <c r="F52" s="690">
        <f t="shared" si="11"/>
        <v>0</v>
      </c>
      <c r="G52" s="690"/>
      <c r="H52" s="690"/>
      <c r="I52" s="689">
        <f t="shared" ref="I52:I63" si="12">H52-D52</f>
        <v>0</v>
      </c>
    </row>
    <row r="53" spans="1:9" x14ac:dyDescent="0.25">
      <c r="A53" s="811"/>
      <c r="B53" s="809"/>
      <c r="C53" s="810" t="s">
        <v>527</v>
      </c>
      <c r="D53" s="690">
        <v>0</v>
      </c>
      <c r="E53" s="690"/>
      <c r="F53" s="690">
        <f t="shared" si="11"/>
        <v>0</v>
      </c>
      <c r="G53" s="690"/>
      <c r="H53" s="690"/>
      <c r="I53" s="689">
        <f t="shared" si="12"/>
        <v>0</v>
      </c>
    </row>
    <row r="54" spans="1:9" ht="19.5" x14ac:dyDescent="0.25">
      <c r="A54" s="811"/>
      <c r="B54" s="809"/>
      <c r="C54" s="814" t="s">
        <v>528</v>
      </c>
      <c r="D54" s="690">
        <v>0</v>
      </c>
      <c r="E54" s="690"/>
      <c r="F54" s="690">
        <f t="shared" si="11"/>
        <v>0</v>
      </c>
      <c r="G54" s="690"/>
      <c r="H54" s="690"/>
      <c r="I54" s="689">
        <f t="shared" si="12"/>
        <v>0</v>
      </c>
    </row>
    <row r="55" spans="1:9" x14ac:dyDescent="0.25">
      <c r="A55" s="811"/>
      <c r="B55" s="809"/>
      <c r="C55" s="810" t="s">
        <v>529</v>
      </c>
      <c r="D55" s="690">
        <v>0</v>
      </c>
      <c r="E55" s="690">
        <v>0</v>
      </c>
      <c r="F55" s="690">
        <f t="shared" si="11"/>
        <v>0</v>
      </c>
      <c r="G55" s="690">
        <v>0</v>
      </c>
      <c r="H55" s="690">
        <v>0</v>
      </c>
      <c r="I55" s="689">
        <f t="shared" si="12"/>
        <v>0</v>
      </c>
    </row>
    <row r="56" spans="1:9" x14ac:dyDescent="0.25">
      <c r="A56" s="811"/>
      <c r="B56" s="809"/>
      <c r="C56" s="810" t="s">
        <v>530</v>
      </c>
      <c r="D56" s="690">
        <v>0</v>
      </c>
      <c r="E56" s="690"/>
      <c r="F56" s="690">
        <f t="shared" si="11"/>
        <v>0</v>
      </c>
      <c r="G56" s="690"/>
      <c r="H56" s="690"/>
      <c r="I56" s="689">
        <f t="shared" si="12"/>
        <v>0</v>
      </c>
    </row>
    <row r="57" spans="1:9" ht="19.5" x14ac:dyDescent="0.25">
      <c r="A57" s="811"/>
      <c r="B57" s="809"/>
      <c r="C57" s="814" t="s">
        <v>531</v>
      </c>
      <c r="D57" s="690">
        <v>0</v>
      </c>
      <c r="E57" s="690"/>
      <c r="F57" s="690">
        <f t="shared" si="11"/>
        <v>0</v>
      </c>
      <c r="G57" s="690"/>
      <c r="H57" s="690"/>
      <c r="I57" s="689">
        <f t="shared" si="12"/>
        <v>0</v>
      </c>
    </row>
    <row r="58" spans="1:9" ht="19.5" x14ac:dyDescent="0.25">
      <c r="A58" s="811"/>
      <c r="B58" s="809"/>
      <c r="C58" s="814" t="s">
        <v>532</v>
      </c>
      <c r="D58" s="690">
        <v>0</v>
      </c>
      <c r="E58" s="690"/>
      <c r="F58" s="690">
        <f t="shared" si="11"/>
        <v>0</v>
      </c>
      <c r="G58" s="690"/>
      <c r="H58" s="690"/>
      <c r="I58" s="689">
        <f t="shared" si="12"/>
        <v>0</v>
      </c>
    </row>
    <row r="59" spans="1:9" x14ac:dyDescent="0.25">
      <c r="A59" s="811"/>
      <c r="B59" s="1078" t="s">
        <v>533</v>
      </c>
      <c r="C59" s="1079"/>
      <c r="D59" s="685">
        <f t="shared" ref="D59:I59" si="13">SUM(D60:D63)</f>
        <v>0</v>
      </c>
      <c r="E59" s="685">
        <f t="shared" si="13"/>
        <v>39503957.710000001</v>
      </c>
      <c r="F59" s="685">
        <f t="shared" si="13"/>
        <v>0</v>
      </c>
      <c r="G59" s="685">
        <f t="shared" si="13"/>
        <v>39503957.710000001</v>
      </c>
      <c r="H59" s="685">
        <f t="shared" si="13"/>
        <v>39503957.710000001</v>
      </c>
      <c r="I59" s="689">
        <f t="shared" si="13"/>
        <v>39503957.710000001</v>
      </c>
    </row>
    <row r="60" spans="1:9" x14ac:dyDescent="0.25">
      <c r="A60" s="811"/>
      <c r="B60" s="809"/>
      <c r="C60" s="810" t="s">
        <v>534</v>
      </c>
      <c r="D60" s="690">
        <v>0</v>
      </c>
      <c r="E60" s="690"/>
      <c r="F60" s="690">
        <f t="shared" si="11"/>
        <v>0</v>
      </c>
      <c r="G60" s="690"/>
      <c r="H60" s="690"/>
      <c r="I60" s="689">
        <f t="shared" si="12"/>
        <v>0</v>
      </c>
    </row>
    <row r="61" spans="1:9" x14ac:dyDescent="0.25">
      <c r="A61" s="811"/>
      <c r="B61" s="809"/>
      <c r="C61" s="810" t="s">
        <v>535</v>
      </c>
      <c r="D61" s="690">
        <v>0</v>
      </c>
      <c r="E61" s="690"/>
      <c r="F61" s="690">
        <v>0</v>
      </c>
      <c r="G61" s="690"/>
      <c r="H61" s="690"/>
      <c r="I61" s="689">
        <f t="shared" si="12"/>
        <v>0</v>
      </c>
    </row>
    <row r="62" spans="1:9" x14ac:dyDescent="0.25">
      <c r="A62" s="811"/>
      <c r="B62" s="809"/>
      <c r="C62" s="810" t="s">
        <v>536</v>
      </c>
      <c r="D62" s="690">
        <v>0</v>
      </c>
      <c r="E62" s="690"/>
      <c r="F62" s="690">
        <v>0</v>
      </c>
      <c r="G62" s="690"/>
      <c r="H62" s="690"/>
      <c r="I62" s="689">
        <f t="shared" si="12"/>
        <v>0</v>
      </c>
    </row>
    <row r="63" spans="1:9" x14ac:dyDescent="0.25">
      <c r="A63" s="811"/>
      <c r="B63" s="809"/>
      <c r="C63" s="810" t="s">
        <v>537</v>
      </c>
      <c r="D63" s="690">
        <v>0</v>
      </c>
      <c r="E63" s="690">
        <v>39503957.710000001</v>
      </c>
      <c r="F63" s="690">
        <v>0</v>
      </c>
      <c r="G63" s="690">
        <v>39503957.710000001</v>
      </c>
      <c r="H63" s="690">
        <f>+G63</f>
        <v>39503957.710000001</v>
      </c>
      <c r="I63" s="689">
        <f t="shared" si="12"/>
        <v>39503957.710000001</v>
      </c>
    </row>
    <row r="64" spans="1:9" x14ac:dyDescent="0.25">
      <c r="A64" s="811"/>
      <c r="B64" s="1078" t="s">
        <v>538</v>
      </c>
      <c r="C64" s="1079"/>
      <c r="D64" s="685">
        <f t="shared" ref="D64:I64" si="14">SUM(D65:D66)</f>
        <v>0</v>
      </c>
      <c r="E64" s="685">
        <f t="shared" si="14"/>
        <v>0</v>
      </c>
      <c r="F64" s="685">
        <f t="shared" si="14"/>
        <v>0</v>
      </c>
      <c r="G64" s="685">
        <f t="shared" si="14"/>
        <v>0</v>
      </c>
      <c r="H64" s="685">
        <f t="shared" si="14"/>
        <v>0</v>
      </c>
      <c r="I64" s="689">
        <f t="shared" si="14"/>
        <v>0</v>
      </c>
    </row>
    <row r="65" spans="1:10" ht="20.25" thickBot="1" x14ac:dyDescent="0.3">
      <c r="A65" s="656"/>
      <c r="B65" s="738"/>
      <c r="C65" s="739" t="s">
        <v>539</v>
      </c>
      <c r="D65" s="691">
        <v>0</v>
      </c>
      <c r="E65" s="691">
        <v>0</v>
      </c>
      <c r="F65" s="691">
        <f t="shared" si="11"/>
        <v>0</v>
      </c>
      <c r="G65" s="691">
        <v>0</v>
      </c>
      <c r="H65" s="691">
        <v>0</v>
      </c>
      <c r="I65" s="766">
        <f>H65-D65</f>
        <v>0</v>
      </c>
    </row>
    <row r="66" spans="1:10" x14ac:dyDescent="0.25">
      <c r="A66" s="811"/>
      <c r="B66" s="809"/>
      <c r="C66" s="814" t="s">
        <v>540</v>
      </c>
      <c r="D66" s="690">
        <v>0</v>
      </c>
      <c r="E66" s="690">
        <v>0</v>
      </c>
      <c r="F66" s="791">
        <v>0</v>
      </c>
      <c r="G66" s="690">
        <v>0</v>
      </c>
      <c r="H66" s="690">
        <v>0</v>
      </c>
      <c r="I66" s="689">
        <f>H66-D66</f>
        <v>0</v>
      </c>
    </row>
    <row r="67" spans="1:10" x14ac:dyDescent="0.25">
      <c r="A67" s="811"/>
      <c r="B67" s="1078" t="s">
        <v>541</v>
      </c>
      <c r="C67" s="1079"/>
      <c r="D67" s="690">
        <v>0</v>
      </c>
      <c r="E67" s="690">
        <v>0</v>
      </c>
      <c r="F67" s="690">
        <f t="shared" si="11"/>
        <v>0</v>
      </c>
      <c r="G67" s="690">
        <v>0</v>
      </c>
      <c r="H67" s="690">
        <v>0</v>
      </c>
      <c r="I67" s="689">
        <f>H67-D67</f>
        <v>0</v>
      </c>
    </row>
    <row r="68" spans="1:10" x14ac:dyDescent="0.25">
      <c r="A68" s="811"/>
      <c r="B68" s="1078" t="s">
        <v>542</v>
      </c>
      <c r="C68" s="1079"/>
      <c r="D68" s="690">
        <v>0</v>
      </c>
      <c r="E68" s="690">
        <v>0</v>
      </c>
      <c r="F68" s="690">
        <f t="shared" si="11"/>
        <v>0</v>
      </c>
      <c r="G68" s="690">
        <v>0</v>
      </c>
      <c r="H68" s="690">
        <v>0</v>
      </c>
      <c r="I68" s="689">
        <f>H68-D68</f>
        <v>0</v>
      </c>
    </row>
    <row r="69" spans="1:10" ht="8.25" customHeight="1" x14ac:dyDescent="0.25">
      <c r="A69" s="811"/>
      <c r="B69" s="1078"/>
      <c r="C69" s="1079"/>
      <c r="D69" s="685"/>
      <c r="E69" s="685"/>
      <c r="F69" s="685" t="s">
        <v>258</v>
      </c>
      <c r="G69" s="685"/>
      <c r="H69" s="685"/>
      <c r="I69" s="689"/>
    </row>
    <row r="70" spans="1:10" x14ac:dyDescent="0.25">
      <c r="A70" s="1090" t="s">
        <v>543</v>
      </c>
      <c r="B70" s="1091"/>
      <c r="C70" s="1092"/>
      <c r="D70" s="687">
        <f t="shared" ref="D70:I70" si="15">+D50+D59+D64+D67+D68</f>
        <v>0</v>
      </c>
      <c r="E70" s="687">
        <f t="shared" si="15"/>
        <v>39503957.710000001</v>
      </c>
      <c r="F70" s="687">
        <f t="shared" si="15"/>
        <v>0</v>
      </c>
      <c r="G70" s="687">
        <f t="shared" si="15"/>
        <v>39503957.710000001</v>
      </c>
      <c r="H70" s="687">
        <f t="shared" si="15"/>
        <v>39503957.710000001</v>
      </c>
      <c r="I70" s="767">
        <f t="shared" si="15"/>
        <v>39503957.710000001</v>
      </c>
    </row>
    <row r="71" spans="1:10" ht="6" customHeight="1" x14ac:dyDescent="0.25">
      <c r="A71" s="811"/>
      <c r="B71" s="1078"/>
      <c r="C71" s="1079"/>
      <c r="D71" s="685"/>
      <c r="E71" s="685"/>
      <c r="F71" s="685" t="s">
        <v>258</v>
      </c>
      <c r="G71" s="685"/>
      <c r="H71" s="685"/>
      <c r="I71" s="689"/>
    </row>
    <row r="72" spans="1:10" x14ac:dyDescent="0.25">
      <c r="A72" s="1081" t="s">
        <v>544</v>
      </c>
      <c r="B72" s="1082"/>
      <c r="C72" s="1088"/>
      <c r="D72" s="687">
        <f t="shared" ref="D72:I72" si="16">SUM(D73)</f>
        <v>0</v>
      </c>
      <c r="E72" s="687">
        <f t="shared" si="16"/>
        <v>0</v>
      </c>
      <c r="F72" s="687">
        <f t="shared" si="16"/>
        <v>0</v>
      </c>
      <c r="G72" s="687">
        <f t="shared" si="16"/>
        <v>0</v>
      </c>
      <c r="H72" s="687">
        <f t="shared" si="16"/>
        <v>0</v>
      </c>
      <c r="I72" s="767">
        <f t="shared" si="16"/>
        <v>0</v>
      </c>
    </row>
    <row r="73" spans="1:10" x14ac:dyDescent="0.25">
      <c r="A73" s="811"/>
      <c r="B73" s="1089" t="s">
        <v>545</v>
      </c>
      <c r="C73" s="1079"/>
      <c r="D73" s="690">
        <v>0</v>
      </c>
      <c r="E73" s="690"/>
      <c r="F73" s="690" t="s">
        <v>258</v>
      </c>
      <c r="G73" s="690"/>
      <c r="H73" s="690">
        <v>0</v>
      </c>
      <c r="I73" s="689">
        <f>H73-D73</f>
        <v>0</v>
      </c>
    </row>
    <row r="74" spans="1:10" ht="7.5" customHeight="1" x14ac:dyDescent="0.25">
      <c r="A74" s="811"/>
      <c r="B74" s="1089"/>
      <c r="C74" s="1079"/>
      <c r="D74" s="685"/>
      <c r="E74" s="685"/>
      <c r="F74" s="685" t="s">
        <v>258</v>
      </c>
      <c r="G74" s="685"/>
      <c r="H74" s="685"/>
      <c r="I74" s="689"/>
    </row>
    <row r="75" spans="1:10" x14ac:dyDescent="0.25">
      <c r="A75" s="1081" t="s">
        <v>546</v>
      </c>
      <c r="B75" s="1082"/>
      <c r="C75" s="1088"/>
      <c r="D75" s="687">
        <f t="shared" ref="D75:I75" si="17">+D44+D70+D72</f>
        <v>431991645.12</v>
      </c>
      <c r="E75" s="687">
        <f t="shared" si="17"/>
        <v>260078083.92000002</v>
      </c>
      <c r="F75" s="687">
        <f t="shared" si="17"/>
        <v>652565771.33000004</v>
      </c>
      <c r="G75" s="687">
        <f t="shared" si="17"/>
        <v>448373608.29999995</v>
      </c>
      <c r="H75" s="687">
        <f t="shared" si="17"/>
        <v>448373608.29999995</v>
      </c>
      <c r="I75" s="767">
        <f t="shared" si="17"/>
        <v>16381963.17999997</v>
      </c>
    </row>
    <row r="76" spans="1:10" ht="6" customHeight="1" x14ac:dyDescent="0.25">
      <c r="A76" s="811"/>
      <c r="B76" s="1089"/>
      <c r="C76" s="1079"/>
      <c r="D76" s="685"/>
      <c r="E76" s="685"/>
      <c r="F76" s="685" t="s">
        <v>258</v>
      </c>
      <c r="G76" s="685"/>
      <c r="H76" s="685"/>
      <c r="I76" s="689"/>
    </row>
    <row r="77" spans="1:10" x14ac:dyDescent="0.25">
      <c r="A77" s="811"/>
      <c r="B77" s="1095" t="s">
        <v>547</v>
      </c>
      <c r="C77" s="1088"/>
      <c r="D77" s="689"/>
      <c r="E77" s="689"/>
      <c r="F77" s="689" t="s">
        <v>258</v>
      </c>
      <c r="G77" s="689"/>
      <c r="H77" s="689"/>
      <c r="I77" s="689"/>
    </row>
    <row r="78" spans="1:10" ht="21.75" customHeight="1" x14ac:dyDescent="0.25">
      <c r="A78" s="811"/>
      <c r="B78" s="1096" t="s">
        <v>548</v>
      </c>
      <c r="C78" s="1097"/>
      <c r="D78" s="690">
        <v>0</v>
      </c>
      <c r="E78" s="690">
        <v>0</v>
      </c>
      <c r="F78" s="690">
        <f t="shared" si="11"/>
        <v>0</v>
      </c>
      <c r="G78" s="690">
        <v>0</v>
      </c>
      <c r="H78" s="690">
        <v>0</v>
      </c>
      <c r="I78" s="689">
        <f t="shared" ref="I78:I79" si="18">H78-D78</f>
        <v>0</v>
      </c>
    </row>
    <row r="79" spans="1:10" ht="22.5" customHeight="1" x14ac:dyDescent="0.25">
      <c r="A79" s="811"/>
      <c r="B79" s="1096" t="s">
        <v>549</v>
      </c>
      <c r="C79" s="1097"/>
      <c r="D79" s="690">
        <v>0</v>
      </c>
      <c r="E79" s="690">
        <v>0</v>
      </c>
      <c r="F79" s="690">
        <f t="shared" si="11"/>
        <v>0</v>
      </c>
      <c r="G79" s="690">
        <v>0</v>
      </c>
      <c r="H79" s="690">
        <v>0</v>
      </c>
      <c r="I79" s="689">
        <f t="shared" si="18"/>
        <v>0</v>
      </c>
    </row>
    <row r="80" spans="1:10" x14ac:dyDescent="0.25">
      <c r="A80" s="811"/>
      <c r="B80" s="1095" t="s">
        <v>550</v>
      </c>
      <c r="C80" s="1088"/>
      <c r="D80" s="687">
        <f t="shared" ref="D80:I80" si="19">+D78+D79</f>
        <v>0</v>
      </c>
      <c r="E80" s="687">
        <f t="shared" si="19"/>
        <v>0</v>
      </c>
      <c r="F80" s="687">
        <f t="shared" si="19"/>
        <v>0</v>
      </c>
      <c r="G80" s="687">
        <f t="shared" si="19"/>
        <v>0</v>
      </c>
      <c r="H80" s="687">
        <f t="shared" si="19"/>
        <v>0</v>
      </c>
      <c r="I80" s="767">
        <f t="shared" si="19"/>
        <v>0</v>
      </c>
      <c r="J80" s="522" t="str">
        <f>IF(D75&lt;&gt;'ETCA-II-01'!C24,"ERROR!!!!! EL MONTO ESTIMADO NO COINCIDE CON LO REPORTADO EN EL FORMATO ETCA-II-01 EN EL TOTAL DE INGRESOS","")</f>
        <v/>
      </c>
    </row>
    <row r="81" spans="1:10" ht="15.75" thickBot="1" x14ac:dyDescent="0.3">
      <c r="A81" s="655"/>
      <c r="B81" s="1093"/>
      <c r="C81" s="1094"/>
      <c r="D81" s="686"/>
      <c r="E81" s="686"/>
      <c r="F81" s="686"/>
      <c r="G81" s="686"/>
      <c r="H81" s="686"/>
      <c r="I81" s="686"/>
      <c r="J81" s="522" t="str">
        <f>IF(E75&lt;&gt;'ETCA-II-01'!D24,"ERROR!!!!! EL MONTO NO COINCIDE CON LO REPORTADO EN EL FORMATO ETCA-II-01 EN EL TOTAL DE INGRESOS","")</f>
        <v/>
      </c>
    </row>
    <row r="82" spans="1:10" x14ac:dyDescent="0.25">
      <c r="J82" s="522" t="str">
        <f>IF(F75&lt;&gt;'ETCA-II-01'!E24,"ERROR!!!!! EL MONTO NO COINCIDE CON LO REPORTADO EN EL FORMATO ETCA-II-01 EN EL TOTAL DE INGRESOS","")</f>
        <v>ERROR!!!!! EL MONTO NO COINCIDE CON LO REPORTADO EN EL FORMATO ETCA-II-01 EN EL TOTAL DE INGRESOS</v>
      </c>
    </row>
    <row r="83" spans="1:10" x14ac:dyDescent="0.25">
      <c r="J83" s="522" t="str">
        <f>IF(G75&lt;&gt;'ETCA-II-01'!F24,"ERROR!!!!! EL MONTO NO COINCIDE CON LO REPORTADO EN EL FORMATO ETCA-II-01 EN EL TOTAL DE INGRESOS","")</f>
        <v>ERROR!!!!! EL MONTO NO COINCIDE CON LO REPORTADO EN EL FORMATO ETCA-II-01 EN EL TOTAL DE INGRESOS</v>
      </c>
    </row>
    <row r="84" spans="1:10" x14ac:dyDescent="0.25">
      <c r="J84" s="522" t="str">
        <f>IF(H75&lt;&gt;'ETCA-II-01'!G24,"ERROR!!!!! EL MONTO NO COINCIDE CON LO REPORTADO EN EL FORMATO ETCA-II-01 EN EL TOTAL DE INGRESOS","")</f>
        <v>ERROR!!!!! EL MONTO NO COINCIDE CON LO REPORTADO EN EL FORMATO ETCA-II-01 EN EL TOTAL DE INGRESOS</v>
      </c>
    </row>
    <row r="85" spans="1:10" x14ac:dyDescent="0.25">
      <c r="J85" s="522" t="str">
        <f>IF(I75&lt;&gt;'ETCA-II-01'!H24,"ERROR!!!!! EL MONTO NO COINCIDE CON LO REPORTADO EN EL FORMATO ETCA-II-01 EN EL TOTAL DE INGRESOS","")</f>
        <v>ERROR!!!!! EL MONTO NO COINCIDE CON LO REPORTADO EN EL FORMATO ETCA-II-01 EN EL TOTAL DE INGRESOS</v>
      </c>
    </row>
    <row r="86" spans="1:10" x14ac:dyDescent="0.25">
      <c r="J86" s="522" t="str">
        <f>IF(D75&lt;&gt;'ETCA-II-01'!C51,"ERROR!!!!! EL MONTO NO COINCIDE CON LO REPORTADO EN EL FORMATO ETCA-II-01 EN EL TOTAL DE INGRESOS","")</f>
        <v/>
      </c>
    </row>
    <row r="87" spans="1:10" x14ac:dyDescent="0.25">
      <c r="J87" s="522" t="str">
        <f>IF(E75&lt;&gt;'ETCA-II-01'!D51,"ERROR!!!!! EL MONTO NO COINCIDE CON LO REPORTADO EN EL FORMATO ETCA-II-01 EN EL TOTAL DE INGRESOS","")</f>
        <v/>
      </c>
    </row>
    <row r="88" spans="1:10" x14ac:dyDescent="0.25">
      <c r="J88" s="522" t="str">
        <f>IF(F75&lt;&gt;'ETCA-II-01'!E51,"ERROR!!!!! EL MONTO NO COINCIDE CON LO REPORTADO EN EL FORMATO ETCA-II-01 EN EL TOTAL DE INGRESOS","")</f>
        <v>ERROR!!!!! EL MONTO NO COINCIDE CON LO REPORTADO EN EL FORMATO ETCA-II-01 EN EL TOTAL DE INGRESOS</v>
      </c>
    </row>
    <row r="89" spans="1:10" x14ac:dyDescent="0.25">
      <c r="J89" s="522" t="str">
        <f>IF(G75&lt;&gt;'ETCA-II-01'!F51,"ERROR!!!!! EL MONTO NO COINCIDE CON LO REPORTADO EN EL FORMATO ETCA-II-01 EN EL TOTAL DE INGRESOS","")</f>
        <v>ERROR!!!!! EL MONTO NO COINCIDE CON LO REPORTADO EN EL FORMATO ETCA-II-01 EN EL TOTAL DE INGRESOS</v>
      </c>
    </row>
    <row r="90" spans="1:10" x14ac:dyDescent="0.25">
      <c r="J90" s="522" t="str">
        <f>IF(H75&lt;&gt;'ETCA-II-01'!G51,"ERROR!!!!! EL MONTO NO COINCIDE CON LO REPORTADO EN EL FORMATO ETCA-II-01 EN EL TOTAL DE INGRESOS","")</f>
        <v>ERROR!!!!! EL MONTO NO COINCIDE CON LO REPORTADO EN EL FORMATO ETCA-II-01 EN EL TOTAL DE INGRESOS</v>
      </c>
    </row>
    <row r="91" spans="1:10" x14ac:dyDescent="0.25">
      <c r="J91" s="522" t="str">
        <f>IF(I75&lt;&gt;'ETCA-II-01'!H51,"ERROR!!!!! EL MONTO NO COINCIDE CON LO REPORTADO EN EL FORMATO ETCA-II-01 EN EL TOTAL DE INGRESOS","")</f>
        <v>ERROR!!!!! EL MONTO NO COINCIDE CON LO REPORTADO EN EL FORMATO ETCA-II-01 EN EL TOTAL DE INGRESOS</v>
      </c>
    </row>
  </sheetData>
  <sheetProtection password="C115" sheet="1" scenarios="1" formatColumns="0" formatRows="0" insertHyperlinks="0"/>
  <mergeCells count="63">
    <mergeCell ref="B81:C81"/>
    <mergeCell ref="A75:C75"/>
    <mergeCell ref="B76:C76"/>
    <mergeCell ref="B77:C77"/>
    <mergeCell ref="B78:C78"/>
    <mergeCell ref="B79:C79"/>
    <mergeCell ref="B80:C80"/>
    <mergeCell ref="B74:C74"/>
    <mergeCell ref="A49:C49"/>
    <mergeCell ref="B50:C50"/>
    <mergeCell ref="B59:C59"/>
    <mergeCell ref="B64:C64"/>
    <mergeCell ref="B67:C67"/>
    <mergeCell ref="B68:C68"/>
    <mergeCell ref="B69:C69"/>
    <mergeCell ref="A70:C70"/>
    <mergeCell ref="B71:C71"/>
    <mergeCell ref="A72:C72"/>
    <mergeCell ref="B73:C73"/>
    <mergeCell ref="A47:C47"/>
    <mergeCell ref="B38:C38"/>
    <mergeCell ref="B40:C40"/>
    <mergeCell ref="D44:D46"/>
    <mergeCell ref="F18:F19"/>
    <mergeCell ref="E44:E46"/>
    <mergeCell ref="F44:F46"/>
    <mergeCell ref="G18:G19"/>
    <mergeCell ref="H18:H19"/>
    <mergeCell ref="I18:I19"/>
    <mergeCell ref="D18:D19"/>
    <mergeCell ref="E18:E19"/>
    <mergeCell ref="G44:G46"/>
    <mergeCell ref="H44:H46"/>
    <mergeCell ref="I44:I46"/>
    <mergeCell ref="B31:C31"/>
    <mergeCell ref="B37:C37"/>
    <mergeCell ref="A9:C9"/>
    <mergeCell ref="B17:C17"/>
    <mergeCell ref="A18:A19"/>
    <mergeCell ref="B18:C18"/>
    <mergeCell ref="B19:C19"/>
    <mergeCell ref="B16:C16"/>
    <mergeCell ref="B15:C15"/>
    <mergeCell ref="A10:C10"/>
    <mergeCell ref="B11:C11"/>
    <mergeCell ref="B12:C12"/>
    <mergeCell ref="B13:C13"/>
    <mergeCell ref="B14:C14"/>
    <mergeCell ref="A6:C6"/>
    <mergeCell ref="D6:H6"/>
    <mergeCell ref="I6:I8"/>
    <mergeCell ref="A7:C7"/>
    <mergeCell ref="A8:C8"/>
    <mergeCell ref="D7:D8"/>
    <mergeCell ref="E7:E8"/>
    <mergeCell ref="F7:F8"/>
    <mergeCell ref="G7:G8"/>
    <mergeCell ref="H7:H8"/>
    <mergeCell ref="A5:I5"/>
    <mergeCell ref="A4:I4"/>
    <mergeCell ref="A2:I2"/>
    <mergeCell ref="A1:I1"/>
    <mergeCell ref="A3:I3"/>
  </mergeCells>
  <printOptions horizontalCentered="1"/>
  <pageMargins left="0.25" right="0.25"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B050"/>
    <pageSetUpPr fitToPage="1"/>
  </sheetPr>
  <dimension ref="A1:E23"/>
  <sheetViews>
    <sheetView view="pageBreakPreview" zoomScaleNormal="100" zoomScaleSheetLayoutView="100" workbookViewId="0">
      <selection activeCell="D9" sqref="D9"/>
    </sheetView>
  </sheetViews>
  <sheetFormatPr baseColWidth="10" defaultColWidth="11.28515625" defaultRowHeight="16.5" x14ac:dyDescent="0.25"/>
  <cols>
    <col min="1" max="1" width="1.28515625" style="115" customWidth="1"/>
    <col min="2" max="2" width="43.85546875" style="115" customWidth="1"/>
    <col min="3" max="4" width="25.7109375" style="115" customWidth="1"/>
    <col min="5" max="5" width="62" style="237" customWidth="1"/>
    <col min="6" max="16384" width="11.28515625" style="115"/>
  </cols>
  <sheetData>
    <row r="1" spans="1:5" x14ac:dyDescent="0.25">
      <c r="A1" s="983" t="s">
        <v>25</v>
      </c>
      <c r="B1" s="983"/>
      <c r="C1" s="983"/>
      <c r="D1" s="983"/>
    </row>
    <row r="2" spans="1:5" s="159" customFormat="1" ht="15.75" x14ac:dyDescent="0.25">
      <c r="A2" s="983" t="s">
        <v>551</v>
      </c>
      <c r="B2" s="983"/>
      <c r="C2" s="983"/>
      <c r="D2" s="983"/>
      <c r="E2" s="421"/>
    </row>
    <row r="3" spans="1:5" s="159" customFormat="1" ht="15.75" x14ac:dyDescent="0.25">
      <c r="A3" s="984" t="str">
        <f>'ETCA-I-01'!A3:G3</f>
        <v>Consejo Estatal de Concertacion para la Obra Publica</v>
      </c>
      <c r="B3" s="984"/>
      <c r="C3" s="984"/>
      <c r="D3" s="984"/>
      <c r="E3" s="420"/>
    </row>
    <row r="4" spans="1:5" s="159" customFormat="1" x14ac:dyDescent="0.25">
      <c r="A4" s="985" t="str">
        <f>'ETCA-I-01'!A4:G4</f>
        <v>Al 30 de Septiembre de 2017</v>
      </c>
      <c r="B4" s="985"/>
      <c r="C4" s="985"/>
      <c r="D4" s="985"/>
      <c r="E4" s="420"/>
    </row>
    <row r="5" spans="1:5" s="161" customFormat="1" ht="17.25" thickBot="1" x14ac:dyDescent="0.3">
      <c r="A5" s="160"/>
      <c r="B5" s="986" t="s">
        <v>552</v>
      </c>
      <c r="C5" s="986"/>
      <c r="D5" s="242"/>
      <c r="E5" s="422"/>
    </row>
    <row r="6" spans="1:5" s="162" customFormat="1" ht="27" customHeight="1" thickBot="1" x14ac:dyDescent="0.3">
      <c r="A6" s="1098" t="s">
        <v>553</v>
      </c>
      <c r="B6" s="1099"/>
      <c r="C6" s="251"/>
      <c r="D6" s="252">
        <f>'ETCA-II-01'!F24</f>
        <v>448373608.31</v>
      </c>
      <c r="E6" s="423" t="str">
        <f>IF(D6&lt;&gt;'ETCA-II-01'!F51,"ERROR!!!!! EL MONTO NO COINCIDE CON LO REPORTADO EN EL FORMATO ETCA-II-01 EN EL TOTAL DEVENGADO DEL ANALÍTICO DE INGRESOS","")</f>
        <v/>
      </c>
    </row>
    <row r="7" spans="1:5" s="245" customFormat="1" ht="9.75" customHeight="1" x14ac:dyDescent="0.25">
      <c r="A7" s="264"/>
      <c r="B7" s="243"/>
      <c r="C7" s="244"/>
      <c r="D7" s="266"/>
      <c r="E7" s="424"/>
    </row>
    <row r="8" spans="1:5" s="245" customFormat="1" ht="17.25" customHeight="1" thickBot="1" x14ac:dyDescent="0.3">
      <c r="A8" s="265" t="s">
        <v>554</v>
      </c>
      <c r="B8" s="246"/>
      <c r="C8" s="247"/>
      <c r="D8" s="267"/>
      <c r="E8" s="423"/>
    </row>
    <row r="9" spans="1:5" ht="20.100000000000001" customHeight="1" thickBot="1" x14ac:dyDescent="0.3">
      <c r="A9" s="253" t="s">
        <v>555</v>
      </c>
      <c r="B9" s="254"/>
      <c r="C9" s="255"/>
      <c r="D9" s="256">
        <f>SUM(C10:C14)</f>
        <v>5170631.8</v>
      </c>
      <c r="E9" s="423"/>
    </row>
    <row r="10" spans="1:5" ht="20.100000000000001" customHeight="1" x14ac:dyDescent="0.2">
      <c r="A10" s="163"/>
      <c r="B10" s="273" t="s">
        <v>556</v>
      </c>
      <c r="C10" s="257"/>
      <c r="D10" s="425"/>
      <c r="E10" s="444" t="str">
        <f>IF(C10&lt;&gt;'ETCA-I-03'!C22,"ERROR!!!, NO COINCIDEN LOS MONTOS CON LO REPORTADO EN EL FORMATO ETCA-I-03 EN EL EJERCICIO 2017","")</f>
        <v/>
      </c>
    </row>
    <row r="11" spans="1:5" ht="33" customHeight="1" x14ac:dyDescent="0.2">
      <c r="A11" s="163"/>
      <c r="B11" s="274" t="s">
        <v>557</v>
      </c>
      <c r="C11" s="257"/>
      <c r="D11" s="425"/>
      <c r="E11" s="444" t="str">
        <f>IF(C11&lt;&gt;'ETCA-I-03'!C23,"ERROR!!!, NO COINCIDEN LOS MONTOS CON LO REPORTADO EN EL FORMATO ETCA-I-03 EN EL EJERCICIO 2017","")</f>
        <v/>
      </c>
    </row>
    <row r="12" spans="1:5" ht="20.100000000000001" customHeight="1" x14ac:dyDescent="0.2">
      <c r="A12" s="164"/>
      <c r="B12" s="274" t="s">
        <v>558</v>
      </c>
      <c r="C12" s="257"/>
      <c r="D12" s="425"/>
      <c r="E12" s="444" t="str">
        <f>IF(C12&lt;&gt;'ETCA-I-03'!C24,"ERROR!!!, NO COINCIDEN LOS MONTOS CON LO REPORTADO EN EL FORMATO ETCA-I-03 EN EL EJERCICIO 2017","")</f>
        <v/>
      </c>
    </row>
    <row r="13" spans="1:5" ht="20.100000000000001" customHeight="1" x14ac:dyDescent="0.2">
      <c r="A13" s="164"/>
      <c r="B13" s="274" t="s">
        <v>559</v>
      </c>
      <c r="C13" s="257"/>
      <c r="D13" s="425"/>
      <c r="E13" s="444" t="str">
        <f>IF(C13&lt;&gt;'ETCA-I-03'!C25,"ERROR!!!, NO COINCIDEN LOS MONTOS CON LO REPORTADO EN EL FORMATO ETCA-I-03 EN EL EJERCICIO 2017","")</f>
        <v/>
      </c>
    </row>
    <row r="14" spans="1:5" ht="24.75" customHeight="1" thickBot="1" x14ac:dyDescent="0.3">
      <c r="A14" s="248" t="s">
        <v>560</v>
      </c>
      <c r="B14" s="277"/>
      <c r="C14" s="258">
        <v>5170631.8</v>
      </c>
      <c r="D14" s="426"/>
      <c r="E14" s="423"/>
    </row>
    <row r="15" spans="1:5" ht="7.5" customHeight="1" x14ac:dyDescent="0.25">
      <c r="A15" s="278"/>
      <c r="B15" s="268"/>
      <c r="C15" s="269"/>
      <c r="D15" s="270"/>
      <c r="E15" s="423"/>
    </row>
    <row r="16" spans="1:5" ht="20.100000000000001" customHeight="1" thickBot="1" x14ac:dyDescent="0.3">
      <c r="A16" s="279" t="s">
        <v>561</v>
      </c>
      <c r="B16" s="271"/>
      <c r="C16" s="272"/>
      <c r="D16" s="249"/>
      <c r="E16" s="423"/>
    </row>
    <row r="17" spans="1:5" ht="20.100000000000001" customHeight="1" thickBot="1" x14ac:dyDescent="0.3">
      <c r="A17" s="253" t="s">
        <v>562</v>
      </c>
      <c r="B17" s="254"/>
      <c r="C17" s="255"/>
      <c r="D17" s="256">
        <f>SUM(C18:C22)</f>
        <v>0</v>
      </c>
      <c r="E17" s="423"/>
    </row>
    <row r="18" spans="1:5" ht="20.100000000000001" customHeight="1" x14ac:dyDescent="0.25">
      <c r="A18" s="164"/>
      <c r="B18" s="273" t="s">
        <v>563</v>
      </c>
      <c r="C18" s="259"/>
      <c r="D18" s="425"/>
      <c r="E18" s="423"/>
    </row>
    <row r="19" spans="1:5" ht="20.100000000000001" customHeight="1" x14ac:dyDescent="0.25">
      <c r="A19" s="164"/>
      <c r="B19" s="274" t="s">
        <v>564</v>
      </c>
      <c r="C19" s="259"/>
      <c r="D19" s="425"/>
      <c r="E19" s="423"/>
    </row>
    <row r="20" spans="1:5" ht="20.100000000000001" customHeight="1" x14ac:dyDescent="0.25">
      <c r="A20" s="164"/>
      <c r="B20" s="274" t="s">
        <v>565</v>
      </c>
      <c r="C20" s="259"/>
      <c r="D20" s="425"/>
      <c r="E20" s="423"/>
    </row>
    <row r="21" spans="1:5" ht="20.100000000000001" customHeight="1" x14ac:dyDescent="0.25">
      <c r="A21" s="250" t="s">
        <v>566</v>
      </c>
      <c r="B21" s="275"/>
      <c r="C21" s="259"/>
      <c r="D21" s="425"/>
      <c r="E21" s="423"/>
    </row>
    <row r="22" spans="1:5" ht="20.100000000000001" customHeight="1" thickBot="1" x14ac:dyDescent="0.3">
      <c r="A22" s="164"/>
      <c r="B22" s="276"/>
      <c r="C22" s="260"/>
      <c r="D22" s="425"/>
      <c r="E22" s="423"/>
    </row>
    <row r="23" spans="1:5" ht="26.25" customHeight="1" thickBot="1" x14ac:dyDescent="0.3">
      <c r="A23" s="261" t="s">
        <v>567</v>
      </c>
      <c r="B23" s="262"/>
      <c r="C23" s="263"/>
      <c r="D23" s="252">
        <f>D6+D9-D17</f>
        <v>453544240.11000001</v>
      </c>
      <c r="E23" s="423" t="str">
        <f>IF(D23&lt;&gt;'ETCA-I-03'!C27,"ERROR!!!!! EL MONTO NO COINCIDE CON LO REPORTADO EN EL FORMATO ETCA-I-03 EN EL TOTAL DE INGRESOS Y OTROS BENEFICIOS","")</f>
        <v/>
      </c>
    </row>
  </sheetData>
  <sheetProtection password="C195" sheet="1" scenarios="1" insertHyperlinks="0"/>
  <mergeCells count="6">
    <mergeCell ref="A6:B6"/>
    <mergeCell ref="A1:D1"/>
    <mergeCell ref="A3:D3"/>
    <mergeCell ref="A2:D2"/>
    <mergeCell ref="A4:D4"/>
    <mergeCell ref="B5:C5"/>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91"/>
  <sheetViews>
    <sheetView topLeftCell="A64" zoomScaleNormal="100" zoomScaleSheetLayoutView="98" workbookViewId="0">
      <selection activeCell="F58" sqref="F58"/>
    </sheetView>
  </sheetViews>
  <sheetFormatPr baseColWidth="10" defaultRowHeight="15" x14ac:dyDescent="0.25"/>
  <cols>
    <col min="1" max="1" width="52.28515625" bestFit="1" customWidth="1"/>
    <col min="2" max="2" width="13.7109375" customWidth="1"/>
    <col min="3" max="3" width="15.42578125" customWidth="1"/>
    <col min="4" max="7" width="13.7109375" customWidth="1"/>
  </cols>
  <sheetData>
    <row r="1" spans="1:7" ht="15.75" x14ac:dyDescent="0.25">
      <c r="A1" s="983" t="s">
        <v>25</v>
      </c>
      <c r="B1" s="983"/>
      <c r="C1" s="983"/>
      <c r="D1" s="983"/>
      <c r="E1" s="983"/>
      <c r="F1" s="983"/>
      <c r="G1" s="983"/>
    </row>
    <row r="2" spans="1:7" ht="15.75" x14ac:dyDescent="0.25">
      <c r="A2" s="983" t="s">
        <v>568</v>
      </c>
      <c r="B2" s="983"/>
      <c r="C2" s="983"/>
      <c r="D2" s="983"/>
      <c r="E2" s="983"/>
      <c r="F2" s="983"/>
      <c r="G2" s="983"/>
    </row>
    <row r="3" spans="1:7" ht="15.75" x14ac:dyDescent="0.25">
      <c r="A3" s="983" t="s">
        <v>569</v>
      </c>
      <c r="B3" s="983"/>
      <c r="C3" s="983"/>
      <c r="D3" s="983"/>
      <c r="E3" s="983"/>
      <c r="F3" s="983"/>
      <c r="G3" s="983"/>
    </row>
    <row r="4" spans="1:7" ht="15.75" x14ac:dyDescent="0.25">
      <c r="A4" s="984" t="str">
        <f>'ETCA-I-01'!A3:G3</f>
        <v>Consejo Estatal de Concertacion para la Obra Publica</v>
      </c>
      <c r="B4" s="984"/>
      <c r="C4" s="984"/>
      <c r="D4" s="984"/>
      <c r="E4" s="984"/>
      <c r="F4" s="984"/>
      <c r="G4" s="984"/>
    </row>
    <row r="5" spans="1:7" ht="16.5" x14ac:dyDescent="0.25">
      <c r="A5" s="985" t="str">
        <f>'ETCA-I-03'!A4:D4</f>
        <v>Del 01 de Enero  al 30 de Septiembre de 2017</v>
      </c>
      <c r="B5" s="985"/>
      <c r="C5" s="985"/>
      <c r="D5" s="985"/>
      <c r="E5" s="985"/>
      <c r="F5" s="985"/>
      <c r="G5" s="985"/>
    </row>
    <row r="6" spans="1:7" ht="17.25" thickBot="1" x14ac:dyDescent="0.3">
      <c r="A6" s="1102" t="s">
        <v>570</v>
      </c>
      <c r="B6" s="1102"/>
      <c r="C6" s="1102"/>
      <c r="D6" s="1102"/>
      <c r="E6" s="1102"/>
      <c r="F6" s="242"/>
      <c r="G6" s="161"/>
    </row>
    <row r="7" spans="1:7" ht="38.25" x14ac:dyDescent="0.25">
      <c r="A7" s="1100" t="s">
        <v>571</v>
      </c>
      <c r="B7" s="195" t="s">
        <v>572</v>
      </c>
      <c r="C7" s="195" t="s">
        <v>482</v>
      </c>
      <c r="D7" s="471" t="s">
        <v>573</v>
      </c>
      <c r="E7" s="196" t="s">
        <v>574</v>
      </c>
      <c r="F7" s="196" t="s">
        <v>575</v>
      </c>
      <c r="G7" s="472" t="s">
        <v>576</v>
      </c>
    </row>
    <row r="8" spans="1:7" ht="15.75" thickBot="1" x14ac:dyDescent="0.3">
      <c r="A8" s="1101"/>
      <c r="B8" s="199" t="s">
        <v>447</v>
      </c>
      <c r="C8" s="199" t="s">
        <v>448</v>
      </c>
      <c r="D8" s="473" t="s">
        <v>577</v>
      </c>
      <c r="E8" s="200" t="s">
        <v>450</v>
      </c>
      <c r="F8" s="200" t="s">
        <v>451</v>
      </c>
      <c r="G8" s="474" t="s">
        <v>578</v>
      </c>
    </row>
    <row r="9" spans="1:7" x14ac:dyDescent="0.25">
      <c r="A9" s="475" t="s">
        <v>225</v>
      </c>
      <c r="B9" s="480">
        <f>SUM(B10:B16)</f>
        <v>24059810</v>
      </c>
      <c r="C9" s="480">
        <f>SUM(C10:C16)</f>
        <v>657400.97999999975</v>
      </c>
      <c r="D9" s="480">
        <f>B9+C9</f>
        <v>24717210.98</v>
      </c>
      <c r="E9" s="480">
        <f>SUM(E10:E16)</f>
        <v>15399711.669999998</v>
      </c>
      <c r="F9" s="480">
        <f>SUM(F10:F16)</f>
        <v>15399711.669999998</v>
      </c>
      <c r="G9" s="481">
        <f>D9-E9</f>
        <v>9317499.3100000024</v>
      </c>
    </row>
    <row r="10" spans="1:7" x14ac:dyDescent="0.25">
      <c r="A10" s="476" t="s">
        <v>579</v>
      </c>
      <c r="B10" s="482">
        <v>16196567.16</v>
      </c>
      <c r="C10" s="482">
        <v>-1761022.2600000002</v>
      </c>
      <c r="D10" s="480">
        <f t="shared" ref="D10:D72" si="0">B10+C10</f>
        <v>14435544.9</v>
      </c>
      <c r="E10" s="482">
        <v>8589384.6999999993</v>
      </c>
      <c r="F10" s="482">
        <v>8589384.6999999993</v>
      </c>
      <c r="G10" s="481">
        <f t="shared" ref="G10:G73" si="1">D10-E10</f>
        <v>5846160.2000000011</v>
      </c>
    </row>
    <row r="11" spans="1:7" x14ac:dyDescent="0.25">
      <c r="A11" s="476" t="s">
        <v>580</v>
      </c>
      <c r="B11" s="482">
        <v>0</v>
      </c>
      <c r="C11" s="482">
        <v>1696008.1</v>
      </c>
      <c r="D11" s="480">
        <f t="shared" si="0"/>
        <v>1696008.1</v>
      </c>
      <c r="E11" s="482">
        <v>1686602.89</v>
      </c>
      <c r="F11" s="482">
        <v>1686602.89</v>
      </c>
      <c r="G11" s="481">
        <f t="shared" si="1"/>
        <v>9405.2100000001956</v>
      </c>
    </row>
    <row r="12" spans="1:7" x14ac:dyDescent="0.25">
      <c r="A12" s="476" t="s">
        <v>581</v>
      </c>
      <c r="B12" s="482">
        <v>4378951.2</v>
      </c>
      <c r="C12" s="482">
        <v>-40752.43</v>
      </c>
      <c r="D12" s="480">
        <f t="shared" si="0"/>
        <v>4338198.7700000005</v>
      </c>
      <c r="E12" s="482">
        <v>1102679.29</v>
      </c>
      <c r="F12" s="482">
        <v>1102679.29</v>
      </c>
      <c r="G12" s="481">
        <f t="shared" si="1"/>
        <v>3235519.4800000004</v>
      </c>
    </row>
    <row r="13" spans="1:7" x14ac:dyDescent="0.25">
      <c r="A13" s="476" t="s">
        <v>582</v>
      </c>
      <c r="B13" s="482">
        <v>3484291.64</v>
      </c>
      <c r="C13" s="482">
        <v>763167.57</v>
      </c>
      <c r="D13" s="480">
        <f t="shared" si="0"/>
        <v>4247459.21</v>
      </c>
      <c r="E13" s="482">
        <v>4021044.79</v>
      </c>
      <c r="F13" s="482">
        <v>4021044.79</v>
      </c>
      <c r="G13" s="481">
        <f t="shared" si="1"/>
        <v>226414.41999999993</v>
      </c>
    </row>
    <row r="14" spans="1:7" x14ac:dyDescent="0.25">
      <c r="A14" s="476" t="s">
        <v>583</v>
      </c>
      <c r="B14" s="482"/>
      <c r="C14" s="482"/>
      <c r="D14" s="480">
        <f t="shared" si="0"/>
        <v>0</v>
      </c>
      <c r="E14" s="482"/>
      <c r="F14" s="482"/>
      <c r="G14" s="481">
        <f t="shared" si="1"/>
        <v>0</v>
      </c>
    </row>
    <row r="15" spans="1:7" x14ac:dyDescent="0.25">
      <c r="A15" s="476" t="s">
        <v>584</v>
      </c>
      <c r="B15" s="482"/>
      <c r="C15" s="482"/>
      <c r="D15" s="480">
        <f t="shared" si="0"/>
        <v>0</v>
      </c>
      <c r="E15" s="482"/>
      <c r="F15" s="482"/>
      <c r="G15" s="481">
        <f t="shared" si="1"/>
        <v>0</v>
      </c>
    </row>
    <row r="16" spans="1:7" x14ac:dyDescent="0.25">
      <c r="A16" s="476" t="s">
        <v>585</v>
      </c>
      <c r="B16" s="482"/>
      <c r="C16" s="482"/>
      <c r="D16" s="480">
        <f t="shared" si="0"/>
        <v>0</v>
      </c>
      <c r="E16" s="482"/>
      <c r="F16" s="482"/>
      <c r="G16" s="481">
        <f t="shared" si="1"/>
        <v>0</v>
      </c>
    </row>
    <row r="17" spans="1:7" x14ac:dyDescent="0.25">
      <c r="A17" s="477" t="s">
        <v>226</v>
      </c>
      <c r="B17" s="480">
        <f>SUM(B18:B26)</f>
        <v>2000000</v>
      </c>
      <c r="C17" s="480">
        <f>SUM(C18:C26)</f>
        <v>-887542.24000000022</v>
      </c>
      <c r="D17" s="480">
        <f>B17+C17</f>
        <v>1112457.7599999998</v>
      </c>
      <c r="E17" s="480">
        <f>SUM(E18:E26)</f>
        <v>1082634.53</v>
      </c>
      <c r="F17" s="480">
        <f>SUM(F18:F26)</f>
        <v>1082634.53</v>
      </c>
      <c r="G17" s="481">
        <f t="shared" si="1"/>
        <v>29823.229999999749</v>
      </c>
    </row>
    <row r="18" spans="1:7" ht="25.5" x14ac:dyDescent="0.25">
      <c r="A18" s="476" t="s">
        <v>586</v>
      </c>
      <c r="B18" s="482">
        <v>655932.37999999989</v>
      </c>
      <c r="C18" s="482">
        <v>-365171.73</v>
      </c>
      <c r="D18" s="480">
        <f t="shared" si="0"/>
        <v>290760.64999999991</v>
      </c>
      <c r="E18" s="482">
        <v>282358.36</v>
      </c>
      <c r="F18" s="482">
        <v>282358.36</v>
      </c>
      <c r="G18" s="481">
        <f t="shared" si="1"/>
        <v>8402.2899999999208</v>
      </c>
    </row>
    <row r="19" spans="1:7" x14ac:dyDescent="0.25">
      <c r="A19" s="476" t="s">
        <v>587</v>
      </c>
      <c r="B19" s="482">
        <v>42797.88</v>
      </c>
      <c r="C19" s="482">
        <v>9940</v>
      </c>
      <c r="D19" s="480">
        <f t="shared" si="0"/>
        <v>52737.88</v>
      </c>
      <c r="E19" s="482">
        <v>51951.92</v>
      </c>
      <c r="F19" s="482">
        <v>51951.92</v>
      </c>
      <c r="G19" s="481">
        <f t="shared" si="1"/>
        <v>785.95999999999913</v>
      </c>
    </row>
    <row r="20" spans="1:7" x14ac:dyDescent="0.25">
      <c r="A20" s="476" t="s">
        <v>588</v>
      </c>
      <c r="B20" s="482"/>
      <c r="C20" s="482"/>
      <c r="D20" s="480">
        <f t="shared" si="0"/>
        <v>0</v>
      </c>
      <c r="E20" s="482"/>
      <c r="F20" s="482"/>
      <c r="G20" s="481">
        <f t="shared" si="1"/>
        <v>0</v>
      </c>
    </row>
    <row r="21" spans="1:7" x14ac:dyDescent="0.25">
      <c r="A21" s="476" t="s">
        <v>589</v>
      </c>
      <c r="B21" s="482">
        <v>5000.16</v>
      </c>
      <c r="C21" s="482">
        <v>-4900</v>
      </c>
      <c r="D21" s="480">
        <f t="shared" si="0"/>
        <v>100.15999999999985</v>
      </c>
      <c r="E21" s="482">
        <v>62.93</v>
      </c>
      <c r="F21" s="482">
        <v>62.93</v>
      </c>
      <c r="G21" s="481">
        <f t="shared" si="1"/>
        <v>37.229999999999855</v>
      </c>
    </row>
    <row r="22" spans="1:7" x14ac:dyDescent="0.25">
      <c r="A22" s="476" t="s">
        <v>590</v>
      </c>
      <c r="B22" s="482"/>
      <c r="C22" s="482"/>
      <c r="D22" s="480">
        <f t="shared" si="0"/>
        <v>0</v>
      </c>
      <c r="E22" s="482"/>
      <c r="F22" s="482"/>
      <c r="G22" s="481">
        <f t="shared" si="1"/>
        <v>0</v>
      </c>
    </row>
    <row r="23" spans="1:7" x14ac:dyDescent="0.25">
      <c r="A23" s="476" t="s">
        <v>591</v>
      </c>
      <c r="B23" s="482">
        <v>1242869.3400000001</v>
      </c>
      <c r="C23" s="482">
        <v>-566072.53000000026</v>
      </c>
      <c r="D23" s="480">
        <f t="shared" si="0"/>
        <v>676796.80999999982</v>
      </c>
      <c r="E23" s="482">
        <v>658545.98</v>
      </c>
      <c r="F23" s="482">
        <v>658545.98</v>
      </c>
      <c r="G23" s="481">
        <f t="shared" si="1"/>
        <v>18250.829999999842</v>
      </c>
    </row>
    <row r="24" spans="1:7" x14ac:dyDescent="0.25">
      <c r="A24" s="476" t="s">
        <v>592</v>
      </c>
      <c r="B24" s="482">
        <v>5000.04</v>
      </c>
      <c r="C24" s="482">
        <v>21076.74</v>
      </c>
      <c r="D24" s="480">
        <f t="shared" si="0"/>
        <v>26076.780000000002</v>
      </c>
      <c r="E24" s="482">
        <v>26069.74</v>
      </c>
      <c r="F24" s="482">
        <v>26069.74</v>
      </c>
      <c r="G24" s="481">
        <f t="shared" si="1"/>
        <v>7.0400000000008731</v>
      </c>
    </row>
    <row r="25" spans="1:7" x14ac:dyDescent="0.25">
      <c r="A25" s="476" t="s">
        <v>593</v>
      </c>
      <c r="B25" s="482"/>
      <c r="C25" s="482"/>
      <c r="D25" s="480">
        <f t="shared" si="0"/>
        <v>0</v>
      </c>
      <c r="E25" s="482"/>
      <c r="F25" s="482"/>
      <c r="G25" s="481">
        <f t="shared" si="1"/>
        <v>0</v>
      </c>
    </row>
    <row r="26" spans="1:7" x14ac:dyDescent="0.25">
      <c r="A26" s="476" t="s">
        <v>594</v>
      </c>
      <c r="B26" s="482">
        <v>48400.2</v>
      </c>
      <c r="C26" s="482">
        <v>17585.28</v>
      </c>
      <c r="D26" s="480">
        <f t="shared" si="0"/>
        <v>65985.48</v>
      </c>
      <c r="E26" s="482">
        <v>63645.599999999999</v>
      </c>
      <c r="F26" s="482">
        <v>63645.599999999999</v>
      </c>
      <c r="G26" s="481">
        <f t="shared" si="1"/>
        <v>2339.8799999999974</v>
      </c>
    </row>
    <row r="27" spans="1:7" x14ac:dyDescent="0.25">
      <c r="A27" s="477" t="s">
        <v>227</v>
      </c>
      <c r="B27" s="480">
        <f>SUM(B28:B36)</f>
        <v>0</v>
      </c>
      <c r="C27" s="480">
        <f>SUM(C28:C36)</f>
        <v>2702368.4600000004</v>
      </c>
      <c r="D27" s="480">
        <f>B27+C27</f>
        <v>2702368.4600000004</v>
      </c>
      <c r="E27" s="480">
        <f>SUM(E28:E36)</f>
        <v>2633277.3200000003</v>
      </c>
      <c r="F27" s="480">
        <f>SUM(F28:F36)</f>
        <v>2633277.3200000003</v>
      </c>
      <c r="G27" s="481">
        <f t="shared" si="1"/>
        <v>69091.14000000013</v>
      </c>
    </row>
    <row r="28" spans="1:7" x14ac:dyDescent="0.25">
      <c r="A28" s="476" t="s">
        <v>595</v>
      </c>
      <c r="B28" s="482"/>
      <c r="C28" s="482">
        <v>489480.14</v>
      </c>
      <c r="D28" s="480">
        <f t="shared" si="0"/>
        <v>489480.14</v>
      </c>
      <c r="E28" s="482">
        <v>451312.71</v>
      </c>
      <c r="F28" s="482">
        <v>451312.71</v>
      </c>
      <c r="G28" s="481">
        <f t="shared" si="1"/>
        <v>38167.429999999993</v>
      </c>
    </row>
    <row r="29" spans="1:7" x14ac:dyDescent="0.25">
      <c r="A29" s="476" t="s">
        <v>596</v>
      </c>
      <c r="B29" s="482"/>
      <c r="C29" s="482">
        <v>144850</v>
      </c>
      <c r="D29" s="480">
        <f t="shared" si="0"/>
        <v>144850</v>
      </c>
      <c r="E29" s="482">
        <v>144753.73000000001</v>
      </c>
      <c r="F29" s="482">
        <v>144753.73000000001</v>
      </c>
      <c r="G29" s="481">
        <f t="shared" si="1"/>
        <v>96.269999999989523</v>
      </c>
    </row>
    <row r="30" spans="1:7" x14ac:dyDescent="0.25">
      <c r="A30" s="476" t="s">
        <v>597</v>
      </c>
      <c r="B30" s="482"/>
      <c r="C30" s="482">
        <v>466383</v>
      </c>
      <c r="D30" s="480">
        <f t="shared" si="0"/>
        <v>466383</v>
      </c>
      <c r="E30" s="482">
        <v>464027.45</v>
      </c>
      <c r="F30" s="482">
        <v>464027.45</v>
      </c>
      <c r="G30" s="481">
        <f t="shared" si="1"/>
        <v>2355.5499999999884</v>
      </c>
    </row>
    <row r="31" spans="1:7" x14ac:dyDescent="0.25">
      <c r="A31" s="476" t="s">
        <v>598</v>
      </c>
      <c r="B31" s="482"/>
      <c r="C31" s="482">
        <v>101830.6</v>
      </c>
      <c r="D31" s="480">
        <f t="shared" si="0"/>
        <v>101830.6</v>
      </c>
      <c r="E31" s="482">
        <v>101821.32</v>
      </c>
      <c r="F31" s="482">
        <v>101821.32</v>
      </c>
      <c r="G31" s="481">
        <f t="shared" si="1"/>
        <v>9.2799999999988358</v>
      </c>
    </row>
    <row r="32" spans="1:7" x14ac:dyDescent="0.25">
      <c r="A32" s="476" t="s">
        <v>599</v>
      </c>
      <c r="B32" s="482"/>
      <c r="C32" s="482">
        <v>417104.72</v>
      </c>
      <c r="D32" s="480">
        <f t="shared" si="0"/>
        <v>417104.72</v>
      </c>
      <c r="E32" s="482">
        <v>419419.88</v>
      </c>
      <c r="F32" s="482">
        <v>419419.88</v>
      </c>
      <c r="G32" s="481">
        <f t="shared" si="1"/>
        <v>-2315.1600000000326</v>
      </c>
    </row>
    <row r="33" spans="1:7" x14ac:dyDescent="0.25">
      <c r="A33" s="476" t="s">
        <v>600</v>
      </c>
      <c r="B33" s="482"/>
      <c r="C33" s="482">
        <v>217500</v>
      </c>
      <c r="D33" s="480">
        <f t="shared" si="0"/>
        <v>217500</v>
      </c>
      <c r="E33" s="482">
        <v>217500</v>
      </c>
      <c r="F33" s="482">
        <v>217500</v>
      </c>
      <c r="G33" s="481">
        <f t="shared" si="1"/>
        <v>0</v>
      </c>
    </row>
    <row r="34" spans="1:7" x14ac:dyDescent="0.25">
      <c r="A34" s="476" t="s">
        <v>601</v>
      </c>
      <c r="B34" s="482"/>
      <c r="C34" s="482">
        <v>854217.00000000012</v>
      </c>
      <c r="D34" s="480">
        <f t="shared" si="0"/>
        <v>854217.00000000012</v>
      </c>
      <c r="E34" s="482">
        <v>823979.23</v>
      </c>
      <c r="F34" s="482">
        <v>823979.23</v>
      </c>
      <c r="G34" s="481">
        <f t="shared" si="1"/>
        <v>30237.770000000135</v>
      </c>
    </row>
    <row r="35" spans="1:7" ht="15.75" thickBot="1" x14ac:dyDescent="0.3">
      <c r="A35" s="478" t="s">
        <v>602</v>
      </c>
      <c r="B35" s="483"/>
      <c r="C35" s="483">
        <v>7500</v>
      </c>
      <c r="D35" s="484">
        <f t="shared" si="0"/>
        <v>7500</v>
      </c>
      <c r="E35" s="483">
        <v>6960</v>
      </c>
      <c r="F35" s="483">
        <v>6960</v>
      </c>
      <c r="G35" s="485">
        <f t="shared" si="1"/>
        <v>540</v>
      </c>
    </row>
    <row r="36" spans="1:7" x14ac:dyDescent="0.25">
      <c r="A36" s="476" t="s">
        <v>603</v>
      </c>
      <c r="B36" s="482"/>
      <c r="C36" s="482">
        <v>3503</v>
      </c>
      <c r="D36" s="480">
        <f t="shared" si="0"/>
        <v>3503</v>
      </c>
      <c r="E36" s="482">
        <v>3503</v>
      </c>
      <c r="F36" s="482">
        <v>3503</v>
      </c>
      <c r="G36" s="481">
        <f t="shared" si="1"/>
        <v>0</v>
      </c>
    </row>
    <row r="37" spans="1:7" x14ac:dyDescent="0.25">
      <c r="A37" s="477" t="s">
        <v>469</v>
      </c>
      <c r="B37" s="480">
        <f>SUM(B38:B46)</f>
        <v>0</v>
      </c>
      <c r="C37" s="480">
        <f>SUM(C38:C46)</f>
        <v>0</v>
      </c>
      <c r="D37" s="480">
        <f>B37+C37</f>
        <v>0</v>
      </c>
      <c r="E37" s="480">
        <f>SUM(E38:E46)</f>
        <v>0</v>
      </c>
      <c r="F37" s="480">
        <f>SUM(F38:F46)</f>
        <v>0</v>
      </c>
      <c r="G37" s="481">
        <f t="shared" si="1"/>
        <v>0</v>
      </c>
    </row>
    <row r="38" spans="1:7" x14ac:dyDescent="0.25">
      <c r="A38" s="476" t="s">
        <v>228</v>
      </c>
      <c r="B38" s="482"/>
      <c r="C38" s="482"/>
      <c r="D38" s="480">
        <f t="shared" si="0"/>
        <v>0</v>
      </c>
      <c r="E38" s="482"/>
      <c r="F38" s="482"/>
      <c r="G38" s="481">
        <f t="shared" si="1"/>
        <v>0</v>
      </c>
    </row>
    <row r="39" spans="1:7" x14ac:dyDescent="0.25">
      <c r="A39" s="476" t="s">
        <v>229</v>
      </c>
      <c r="B39" s="482"/>
      <c r="C39" s="482"/>
      <c r="D39" s="480">
        <f t="shared" si="0"/>
        <v>0</v>
      </c>
      <c r="E39" s="482"/>
      <c r="F39" s="482"/>
      <c r="G39" s="481">
        <f t="shared" si="1"/>
        <v>0</v>
      </c>
    </row>
    <row r="40" spans="1:7" x14ac:dyDescent="0.25">
      <c r="A40" s="476" t="s">
        <v>230</v>
      </c>
      <c r="B40" s="482"/>
      <c r="C40" s="482"/>
      <c r="D40" s="480">
        <f t="shared" si="0"/>
        <v>0</v>
      </c>
      <c r="E40" s="482"/>
      <c r="F40" s="482"/>
      <c r="G40" s="481">
        <f t="shared" si="1"/>
        <v>0</v>
      </c>
    </row>
    <row r="41" spans="1:7" x14ac:dyDescent="0.25">
      <c r="A41" s="476" t="s">
        <v>231</v>
      </c>
      <c r="B41" s="482"/>
      <c r="C41" s="482"/>
      <c r="D41" s="480">
        <f t="shared" si="0"/>
        <v>0</v>
      </c>
      <c r="E41" s="482"/>
      <c r="F41" s="482"/>
      <c r="G41" s="481">
        <f t="shared" si="1"/>
        <v>0</v>
      </c>
    </row>
    <row r="42" spans="1:7" x14ac:dyDescent="0.25">
      <c r="A42" s="476" t="s">
        <v>232</v>
      </c>
      <c r="B42" s="482"/>
      <c r="C42" s="482"/>
      <c r="D42" s="480">
        <f t="shared" si="0"/>
        <v>0</v>
      </c>
      <c r="E42" s="482"/>
      <c r="F42" s="482"/>
      <c r="G42" s="481">
        <f t="shared" si="1"/>
        <v>0</v>
      </c>
    </row>
    <row r="43" spans="1:7" x14ac:dyDescent="0.25">
      <c r="A43" s="476" t="s">
        <v>604</v>
      </c>
      <c r="B43" s="482"/>
      <c r="C43" s="482"/>
      <c r="D43" s="480">
        <f t="shared" si="0"/>
        <v>0</v>
      </c>
      <c r="E43" s="482"/>
      <c r="F43" s="482"/>
      <c r="G43" s="481">
        <f t="shared" si="1"/>
        <v>0</v>
      </c>
    </row>
    <row r="44" spans="1:7" x14ac:dyDescent="0.25">
      <c r="A44" s="476" t="s">
        <v>234</v>
      </c>
      <c r="B44" s="482"/>
      <c r="C44" s="482"/>
      <c r="D44" s="480">
        <f t="shared" si="0"/>
        <v>0</v>
      </c>
      <c r="E44" s="482"/>
      <c r="F44" s="482"/>
      <c r="G44" s="481">
        <f t="shared" si="1"/>
        <v>0</v>
      </c>
    </row>
    <row r="45" spans="1:7" x14ac:dyDescent="0.25">
      <c r="A45" s="476" t="s">
        <v>235</v>
      </c>
      <c r="B45" s="482"/>
      <c r="C45" s="482"/>
      <c r="D45" s="480">
        <f t="shared" si="0"/>
        <v>0</v>
      </c>
      <c r="E45" s="482"/>
      <c r="F45" s="482"/>
      <c r="G45" s="481">
        <f t="shared" si="1"/>
        <v>0</v>
      </c>
    </row>
    <row r="46" spans="1:7" x14ac:dyDescent="0.25">
      <c r="A46" s="476" t="s">
        <v>236</v>
      </c>
      <c r="B46" s="482"/>
      <c r="C46" s="482"/>
      <c r="D46" s="480">
        <f t="shared" si="0"/>
        <v>0</v>
      </c>
      <c r="E46" s="482"/>
      <c r="F46" s="482"/>
      <c r="G46" s="481">
        <f t="shared" si="1"/>
        <v>0</v>
      </c>
    </row>
    <row r="47" spans="1:7" x14ac:dyDescent="0.25">
      <c r="A47" s="477" t="s">
        <v>605</v>
      </c>
      <c r="B47" s="480">
        <f>SUM(B48:B56)</f>
        <v>0</v>
      </c>
      <c r="C47" s="480">
        <f>SUM(C48:C56)</f>
        <v>44270.07</v>
      </c>
      <c r="D47" s="480">
        <f>B47+C47</f>
        <v>44270.07</v>
      </c>
      <c r="E47" s="480">
        <f>SUM(E48:E56)</f>
        <v>43970.009999999995</v>
      </c>
      <c r="F47" s="480">
        <f>SUM(F48:F56)</f>
        <v>43970.009999999995</v>
      </c>
      <c r="G47" s="481">
        <f t="shared" si="1"/>
        <v>300.06000000000495</v>
      </c>
    </row>
    <row r="48" spans="1:7" x14ac:dyDescent="0.25">
      <c r="A48" s="476" t="s">
        <v>606</v>
      </c>
      <c r="B48" s="482">
        <v>0</v>
      </c>
      <c r="C48" s="482">
        <v>32770.07</v>
      </c>
      <c r="D48" s="480">
        <f t="shared" si="0"/>
        <v>32770.07</v>
      </c>
      <c r="E48" s="482">
        <v>32602.01</v>
      </c>
      <c r="F48" s="482">
        <v>32602.01</v>
      </c>
      <c r="G48" s="481">
        <f>D48-E48</f>
        <v>168.06000000000131</v>
      </c>
    </row>
    <row r="49" spans="1:7" x14ac:dyDescent="0.25">
      <c r="A49" s="476" t="s">
        <v>607</v>
      </c>
      <c r="B49" s="482"/>
      <c r="C49" s="482"/>
      <c r="D49" s="480">
        <f t="shared" si="0"/>
        <v>0</v>
      </c>
      <c r="E49" s="482"/>
      <c r="F49" s="482"/>
      <c r="G49" s="481">
        <f t="shared" si="1"/>
        <v>0</v>
      </c>
    </row>
    <row r="50" spans="1:7" x14ac:dyDescent="0.25">
      <c r="A50" s="476" t="s">
        <v>608</v>
      </c>
      <c r="B50" s="482"/>
      <c r="C50" s="482"/>
      <c r="D50" s="480">
        <f t="shared" si="0"/>
        <v>0</v>
      </c>
      <c r="E50" s="482"/>
      <c r="F50" s="482"/>
      <c r="G50" s="481">
        <f t="shared" si="1"/>
        <v>0</v>
      </c>
    </row>
    <row r="51" spans="1:7" x14ac:dyDescent="0.25">
      <c r="A51" s="476" t="s">
        <v>609</v>
      </c>
      <c r="B51" s="482"/>
      <c r="C51" s="482"/>
      <c r="D51" s="480">
        <f t="shared" si="0"/>
        <v>0</v>
      </c>
      <c r="E51" s="482"/>
      <c r="F51" s="482"/>
      <c r="G51" s="481">
        <f t="shared" si="1"/>
        <v>0</v>
      </c>
    </row>
    <row r="52" spans="1:7" x14ac:dyDescent="0.25">
      <c r="A52" s="476" t="s">
        <v>610</v>
      </c>
      <c r="B52" s="482"/>
      <c r="C52" s="482"/>
      <c r="D52" s="480">
        <f t="shared" si="0"/>
        <v>0</v>
      </c>
      <c r="E52" s="482"/>
      <c r="F52" s="482"/>
      <c r="G52" s="481">
        <f t="shared" si="1"/>
        <v>0</v>
      </c>
    </row>
    <row r="53" spans="1:7" x14ac:dyDescent="0.25">
      <c r="A53" s="476" t="s">
        <v>611</v>
      </c>
      <c r="B53" s="482"/>
      <c r="C53" s="482">
        <v>11500</v>
      </c>
      <c r="D53" s="480">
        <f t="shared" si="0"/>
        <v>11500</v>
      </c>
      <c r="E53" s="482">
        <v>11368</v>
      </c>
      <c r="F53" s="482">
        <v>11368</v>
      </c>
      <c r="G53" s="481">
        <f t="shared" si="1"/>
        <v>132</v>
      </c>
    </row>
    <row r="54" spans="1:7" x14ac:dyDescent="0.25">
      <c r="A54" s="476" t="s">
        <v>612</v>
      </c>
      <c r="B54" s="482"/>
      <c r="C54" s="482"/>
      <c r="D54" s="480">
        <f t="shared" si="0"/>
        <v>0</v>
      </c>
      <c r="E54" s="482"/>
      <c r="F54" s="482"/>
      <c r="G54" s="481">
        <f t="shared" si="1"/>
        <v>0</v>
      </c>
    </row>
    <row r="55" spans="1:7" x14ac:dyDescent="0.25">
      <c r="A55" s="476" t="s">
        <v>613</v>
      </c>
      <c r="B55" s="482"/>
      <c r="C55" s="482"/>
      <c r="D55" s="480">
        <f t="shared" si="0"/>
        <v>0</v>
      </c>
      <c r="E55" s="482"/>
      <c r="F55" s="482"/>
      <c r="G55" s="481">
        <f t="shared" si="1"/>
        <v>0</v>
      </c>
    </row>
    <row r="56" spans="1:7" x14ac:dyDescent="0.25">
      <c r="A56" s="476" t="s">
        <v>59</v>
      </c>
      <c r="B56" s="482"/>
      <c r="C56" s="482"/>
      <c r="D56" s="480">
        <f t="shared" si="0"/>
        <v>0</v>
      </c>
      <c r="E56" s="482"/>
      <c r="F56" s="482"/>
      <c r="G56" s="481">
        <f t="shared" si="1"/>
        <v>0</v>
      </c>
    </row>
    <row r="57" spans="1:7" x14ac:dyDescent="0.25">
      <c r="A57" s="477" t="s">
        <v>253</v>
      </c>
      <c r="B57" s="480">
        <f>SUM(B58:B60)</f>
        <v>405931835.12</v>
      </c>
      <c r="C57" s="480">
        <f>SUM(C58:C60)</f>
        <v>258871041.19999999</v>
      </c>
      <c r="D57" s="480">
        <f>B57+C57</f>
        <v>664802876.31999993</v>
      </c>
      <c r="E57" s="480">
        <f>SUM(E58:E60)</f>
        <v>202485211.56999999</v>
      </c>
      <c r="F57" s="480">
        <f>SUM(F58:F60)</f>
        <v>202485211.56999999</v>
      </c>
      <c r="G57" s="481">
        <f t="shared" si="1"/>
        <v>462317664.74999994</v>
      </c>
    </row>
    <row r="58" spans="1:7" x14ac:dyDescent="0.25">
      <c r="A58" s="476" t="s">
        <v>614</v>
      </c>
      <c r="B58" s="482">
        <v>405931835.12</v>
      </c>
      <c r="C58" s="482">
        <v>258871041.19999999</v>
      </c>
      <c r="D58" s="480">
        <f t="shared" si="0"/>
        <v>664802876.31999993</v>
      </c>
      <c r="E58" s="482">
        <v>202485211.56999999</v>
      </c>
      <c r="F58" s="482">
        <v>202485211.56999999</v>
      </c>
      <c r="G58" s="481">
        <f t="shared" si="1"/>
        <v>462317664.74999994</v>
      </c>
    </row>
    <row r="59" spans="1:7" x14ac:dyDescent="0.25">
      <c r="A59" s="476" t="s">
        <v>615</v>
      </c>
      <c r="B59" s="482"/>
      <c r="C59" s="482"/>
      <c r="D59" s="480">
        <f t="shared" si="0"/>
        <v>0</v>
      </c>
      <c r="E59" s="482"/>
      <c r="F59" s="482"/>
      <c r="G59" s="481">
        <f t="shared" si="1"/>
        <v>0</v>
      </c>
    </row>
    <row r="60" spans="1:7" x14ac:dyDescent="0.25">
      <c r="A60" s="476" t="s">
        <v>616</v>
      </c>
      <c r="B60" s="482"/>
      <c r="C60" s="482"/>
      <c r="D60" s="480">
        <f t="shared" si="0"/>
        <v>0</v>
      </c>
      <c r="E60" s="482"/>
      <c r="F60" s="482"/>
      <c r="G60" s="481">
        <f t="shared" si="1"/>
        <v>0</v>
      </c>
    </row>
    <row r="61" spans="1:7" x14ac:dyDescent="0.25">
      <c r="A61" s="477" t="s">
        <v>617</v>
      </c>
      <c r="B61" s="480">
        <f>SUM(B62:B68)</f>
        <v>0</v>
      </c>
      <c r="C61" s="480">
        <f>SUM(C62:C68)</f>
        <v>0</v>
      </c>
      <c r="D61" s="480">
        <f>B61+C61</f>
        <v>0</v>
      </c>
      <c r="E61" s="480">
        <f>SUM(E62:E68)</f>
        <v>0</v>
      </c>
      <c r="F61" s="480">
        <f>SUM(F62:F68)</f>
        <v>0</v>
      </c>
      <c r="G61" s="481">
        <f t="shared" si="1"/>
        <v>0</v>
      </c>
    </row>
    <row r="62" spans="1:7" x14ac:dyDescent="0.25">
      <c r="A62" s="476" t="s">
        <v>618</v>
      </c>
      <c r="B62" s="482"/>
      <c r="C62" s="482"/>
      <c r="D62" s="480">
        <f t="shared" si="0"/>
        <v>0</v>
      </c>
      <c r="E62" s="482"/>
      <c r="F62" s="482"/>
      <c r="G62" s="481">
        <f t="shared" si="1"/>
        <v>0</v>
      </c>
    </row>
    <row r="63" spans="1:7" ht="15.75" thickBot="1" x14ac:dyDescent="0.3">
      <c r="A63" s="478" t="s">
        <v>619</v>
      </c>
      <c r="B63" s="483"/>
      <c r="C63" s="483"/>
      <c r="D63" s="484">
        <f t="shared" si="0"/>
        <v>0</v>
      </c>
      <c r="E63" s="483"/>
      <c r="F63" s="483"/>
      <c r="G63" s="485">
        <f t="shared" si="1"/>
        <v>0</v>
      </c>
    </row>
    <row r="64" spans="1:7" x14ac:dyDescent="0.25">
      <c r="A64" s="476" t="s">
        <v>620</v>
      </c>
      <c r="B64" s="482"/>
      <c r="C64" s="482"/>
      <c r="D64" s="480">
        <f t="shared" si="0"/>
        <v>0</v>
      </c>
      <c r="E64" s="482"/>
      <c r="F64" s="482"/>
      <c r="G64" s="481">
        <f t="shared" si="1"/>
        <v>0</v>
      </c>
    </row>
    <row r="65" spans="1:7" x14ac:dyDescent="0.25">
      <c r="A65" s="476" t="s">
        <v>621</v>
      </c>
      <c r="B65" s="482"/>
      <c r="C65" s="482"/>
      <c r="D65" s="480">
        <f t="shared" si="0"/>
        <v>0</v>
      </c>
      <c r="E65" s="482"/>
      <c r="F65" s="482"/>
      <c r="G65" s="481">
        <f t="shared" si="1"/>
        <v>0</v>
      </c>
    </row>
    <row r="66" spans="1:7" x14ac:dyDescent="0.25">
      <c r="A66" s="476" t="s">
        <v>622</v>
      </c>
      <c r="B66" s="482"/>
      <c r="C66" s="482"/>
      <c r="D66" s="480">
        <f t="shared" si="0"/>
        <v>0</v>
      </c>
      <c r="E66" s="482"/>
      <c r="F66" s="482"/>
      <c r="G66" s="481">
        <f t="shared" si="1"/>
        <v>0</v>
      </c>
    </row>
    <row r="67" spans="1:7" x14ac:dyDescent="0.25">
      <c r="A67" s="476" t="s">
        <v>623</v>
      </c>
      <c r="B67" s="482"/>
      <c r="C67" s="482"/>
      <c r="D67" s="480">
        <f t="shared" si="0"/>
        <v>0</v>
      </c>
      <c r="E67" s="482"/>
      <c r="F67" s="482"/>
      <c r="G67" s="481">
        <f t="shared" si="1"/>
        <v>0</v>
      </c>
    </row>
    <row r="68" spans="1:7" x14ac:dyDescent="0.25">
      <c r="A68" s="476" t="s">
        <v>624</v>
      </c>
      <c r="B68" s="482"/>
      <c r="C68" s="482"/>
      <c r="D68" s="480">
        <f t="shared" si="0"/>
        <v>0</v>
      </c>
      <c r="E68" s="482"/>
      <c r="F68" s="482"/>
      <c r="G68" s="481">
        <f t="shared" si="1"/>
        <v>0</v>
      </c>
    </row>
    <row r="69" spans="1:7" x14ac:dyDescent="0.25">
      <c r="A69" s="477" t="s">
        <v>214</v>
      </c>
      <c r="B69" s="480">
        <f>SUM(B70:B72)</f>
        <v>0</v>
      </c>
      <c r="C69" s="480">
        <f>SUM(C70:C72)</f>
        <v>0</v>
      </c>
      <c r="D69" s="480">
        <f>B69+C69</f>
        <v>0</v>
      </c>
      <c r="E69" s="480">
        <f>SUM(E70:E72)</f>
        <v>0</v>
      </c>
      <c r="F69" s="480">
        <f>SUM(F70:F72)</f>
        <v>0</v>
      </c>
      <c r="G69" s="481">
        <f t="shared" si="1"/>
        <v>0</v>
      </c>
    </row>
    <row r="70" spans="1:7" x14ac:dyDescent="0.25">
      <c r="A70" s="476" t="s">
        <v>238</v>
      </c>
      <c r="B70" s="482"/>
      <c r="C70" s="482"/>
      <c r="D70" s="480">
        <f t="shared" si="0"/>
        <v>0</v>
      </c>
      <c r="E70" s="482"/>
      <c r="F70" s="482"/>
      <c r="G70" s="481">
        <f t="shared" si="1"/>
        <v>0</v>
      </c>
    </row>
    <row r="71" spans="1:7" x14ac:dyDescent="0.25">
      <c r="A71" s="476" t="s">
        <v>72</v>
      </c>
      <c r="B71" s="482"/>
      <c r="C71" s="482"/>
      <c r="D71" s="480">
        <f t="shared" si="0"/>
        <v>0</v>
      </c>
      <c r="E71" s="482"/>
      <c r="F71" s="482"/>
      <c r="G71" s="481">
        <f t="shared" si="1"/>
        <v>0</v>
      </c>
    </row>
    <row r="72" spans="1:7" x14ac:dyDescent="0.25">
      <c r="A72" s="476" t="s">
        <v>239</v>
      </c>
      <c r="B72" s="482"/>
      <c r="C72" s="482"/>
      <c r="D72" s="480">
        <f t="shared" si="0"/>
        <v>0</v>
      </c>
      <c r="E72" s="482"/>
      <c r="F72" s="482"/>
      <c r="G72" s="481">
        <f t="shared" si="1"/>
        <v>0</v>
      </c>
    </row>
    <row r="73" spans="1:7" x14ac:dyDescent="0.25">
      <c r="A73" s="477" t="s">
        <v>625</v>
      </c>
      <c r="B73" s="480">
        <f>SUM(B74:B80)</f>
        <v>0</v>
      </c>
      <c r="C73" s="480">
        <f>SUM(C74:C80)</f>
        <v>0</v>
      </c>
      <c r="D73" s="480">
        <f>B73+C73</f>
        <v>0</v>
      </c>
      <c r="E73" s="480">
        <f>SUM(E74:E80)</f>
        <v>0</v>
      </c>
      <c r="F73" s="480">
        <f>SUM(F74:F80)</f>
        <v>0</v>
      </c>
      <c r="G73" s="481">
        <f t="shared" si="1"/>
        <v>0</v>
      </c>
    </row>
    <row r="74" spans="1:7" x14ac:dyDescent="0.25">
      <c r="A74" s="476" t="s">
        <v>626</v>
      </c>
      <c r="B74" s="482"/>
      <c r="C74" s="482"/>
      <c r="D74" s="480">
        <f t="shared" ref="D74:D80" si="2">B74+C74</f>
        <v>0</v>
      </c>
      <c r="E74" s="482"/>
      <c r="F74" s="482"/>
      <c r="G74" s="481">
        <f t="shared" ref="G74:G80" si="3">D74-E74</f>
        <v>0</v>
      </c>
    </row>
    <row r="75" spans="1:7" x14ac:dyDescent="0.25">
      <c r="A75" s="476" t="s">
        <v>241</v>
      </c>
      <c r="B75" s="482"/>
      <c r="C75" s="482"/>
      <c r="D75" s="480">
        <f t="shared" si="2"/>
        <v>0</v>
      </c>
      <c r="E75" s="482"/>
      <c r="F75" s="482"/>
      <c r="G75" s="481">
        <f t="shared" si="3"/>
        <v>0</v>
      </c>
    </row>
    <row r="76" spans="1:7" x14ac:dyDescent="0.25">
      <c r="A76" s="476" t="s">
        <v>242</v>
      </c>
      <c r="B76" s="482"/>
      <c r="C76" s="482"/>
      <c r="D76" s="480">
        <f t="shared" si="2"/>
        <v>0</v>
      </c>
      <c r="E76" s="482"/>
      <c r="F76" s="482"/>
      <c r="G76" s="481">
        <f t="shared" si="3"/>
        <v>0</v>
      </c>
    </row>
    <row r="77" spans="1:7" x14ac:dyDescent="0.25">
      <c r="A77" s="476" t="s">
        <v>243</v>
      </c>
      <c r="B77" s="482"/>
      <c r="C77" s="482"/>
      <c r="D77" s="480">
        <f t="shared" si="2"/>
        <v>0</v>
      </c>
      <c r="E77" s="482"/>
      <c r="F77" s="482"/>
      <c r="G77" s="481">
        <f t="shared" si="3"/>
        <v>0</v>
      </c>
    </row>
    <row r="78" spans="1:7" x14ac:dyDescent="0.25">
      <c r="A78" s="476" t="s">
        <v>244</v>
      </c>
      <c r="B78" s="482"/>
      <c r="C78" s="482"/>
      <c r="D78" s="480">
        <f t="shared" si="2"/>
        <v>0</v>
      </c>
      <c r="E78" s="482"/>
      <c r="F78" s="482"/>
      <c r="G78" s="481">
        <f t="shared" si="3"/>
        <v>0</v>
      </c>
    </row>
    <row r="79" spans="1:7" x14ac:dyDescent="0.25">
      <c r="A79" s="476" t="s">
        <v>245</v>
      </c>
      <c r="B79" s="482"/>
      <c r="C79" s="482"/>
      <c r="D79" s="480">
        <f t="shared" si="2"/>
        <v>0</v>
      </c>
      <c r="E79" s="482"/>
      <c r="F79" s="482"/>
      <c r="G79" s="481">
        <f t="shared" si="3"/>
        <v>0</v>
      </c>
    </row>
    <row r="80" spans="1:7" ht="15.75" thickBot="1" x14ac:dyDescent="0.3">
      <c r="A80" s="478" t="s">
        <v>627</v>
      </c>
      <c r="B80" s="483"/>
      <c r="C80" s="483"/>
      <c r="D80" s="484">
        <f t="shared" si="2"/>
        <v>0</v>
      </c>
      <c r="E80" s="483"/>
      <c r="F80" s="483"/>
      <c r="G80" s="485">
        <f t="shared" si="3"/>
        <v>0</v>
      </c>
    </row>
    <row r="81" spans="1:7" ht="15.75" thickBot="1" x14ac:dyDescent="0.3">
      <c r="A81" s="479" t="s">
        <v>628</v>
      </c>
      <c r="B81" s="452">
        <f>B73+B69+B61+B57+B47+B37+B27+B17+B9</f>
        <v>431991645.12</v>
      </c>
      <c r="C81" s="452">
        <f>C73+C69+C61+C57+C47+C37+C27+C17+C9</f>
        <v>261387538.46999997</v>
      </c>
      <c r="D81" s="452">
        <f>B81+C81</f>
        <v>693379183.58999991</v>
      </c>
      <c r="E81" s="452">
        <f>E73+E69+E61+E57+E47+E37+E27+E17+E9</f>
        <v>221644805.09999996</v>
      </c>
      <c r="F81" s="452">
        <f>F73+F69+F61+F57+F47+F37+F27+F17+F9</f>
        <v>221644805.09999996</v>
      </c>
      <c r="G81" s="486">
        <f>D81-E81</f>
        <v>471734378.48999995</v>
      </c>
    </row>
    <row r="82" spans="1:7" x14ac:dyDescent="0.25">
      <c r="A82" s="613"/>
      <c r="B82" s="614"/>
      <c r="C82" s="614"/>
      <c r="D82" s="614"/>
      <c r="E82" s="614"/>
      <c r="F82" s="614"/>
      <c r="G82" s="614"/>
    </row>
    <row r="83" spans="1:7" x14ac:dyDescent="0.25">
      <c r="A83" s="613"/>
      <c r="B83" s="614"/>
      <c r="C83" s="614"/>
      <c r="D83" s="614"/>
      <c r="E83" s="614"/>
      <c r="F83" s="614"/>
      <c r="G83" s="614"/>
    </row>
    <row r="84" spans="1:7" x14ac:dyDescent="0.25">
      <c r="A84" s="613"/>
      <c r="B84" s="614"/>
      <c r="C84" s="614"/>
      <c r="D84" s="614"/>
      <c r="E84" s="614"/>
      <c r="F84" s="614"/>
      <c r="G84" s="614"/>
    </row>
    <row r="85" spans="1:7" x14ac:dyDescent="0.25">
      <c r="A85" s="613"/>
      <c r="B85" s="614"/>
      <c r="C85" s="614"/>
      <c r="D85" s="614"/>
      <c r="E85" s="614"/>
      <c r="F85" s="614"/>
      <c r="G85" s="614"/>
    </row>
    <row r="86" spans="1:7" x14ac:dyDescent="0.25">
      <c r="A86" s="613"/>
      <c r="B86" s="614"/>
      <c r="C86" s="614"/>
      <c r="D86" s="614"/>
      <c r="E86" s="614"/>
      <c r="F86" s="614"/>
      <c r="G86" s="614"/>
    </row>
    <row r="87" spans="1:7" x14ac:dyDescent="0.25">
      <c r="A87" s="613"/>
      <c r="B87" s="614"/>
      <c r="C87" s="614"/>
      <c r="D87" s="614"/>
      <c r="E87" s="614"/>
      <c r="F87" s="614"/>
      <c r="G87" s="614"/>
    </row>
    <row r="88" spans="1:7" ht="16.5" x14ac:dyDescent="0.25">
      <c r="A88" s="115"/>
      <c r="B88" s="115"/>
      <c r="C88" s="115"/>
      <c r="D88" s="115"/>
      <c r="E88" s="115"/>
      <c r="F88" s="115"/>
      <c r="G88" s="115"/>
    </row>
    <row r="89" spans="1:7" ht="16.5" x14ac:dyDescent="0.25">
      <c r="A89" s="115"/>
      <c r="B89" s="115"/>
      <c r="C89" s="115"/>
      <c r="D89" s="115"/>
      <c r="E89" s="115"/>
      <c r="F89" s="115"/>
      <c r="G89" s="115"/>
    </row>
    <row r="90" spans="1:7" ht="16.5" x14ac:dyDescent="0.25">
      <c r="A90" s="115"/>
      <c r="B90" s="115"/>
      <c r="C90" s="115"/>
      <c r="D90" s="115"/>
      <c r="E90" s="115"/>
      <c r="F90" s="115"/>
      <c r="G90" s="115"/>
    </row>
    <row r="91" spans="1:7" ht="16.5" x14ac:dyDescent="0.25">
      <c r="A91" s="115"/>
      <c r="B91" s="115"/>
      <c r="C91" s="115"/>
      <c r="D91" s="115"/>
      <c r="E91" s="115"/>
      <c r="F91" s="115"/>
      <c r="G91" s="115"/>
    </row>
  </sheetData>
  <sheetProtection password="C195" sheet="1" scenarios="1" formatColumns="0" formatRows="0"/>
  <mergeCells count="7">
    <mergeCell ref="A7:A8"/>
    <mergeCell ref="A1:G1"/>
    <mergeCell ref="A2:G2"/>
    <mergeCell ref="A3:G3"/>
    <mergeCell ref="A4:G4"/>
    <mergeCell ref="A5:G5"/>
    <mergeCell ref="A6:E6"/>
  </mergeCells>
  <pageMargins left="0.70866141732283472" right="0.70866141732283472" top="0.74803149606299213" bottom="0.74803149606299213" header="0.31496062992125984" footer="0.31496062992125984"/>
  <pageSetup scale="85" orientation="landscape" horizontalDpi="1200" verticalDpi="1200" r:id="rId1"/>
  <rowBreaks count="1" manualBreakCount="1">
    <brk id="63"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60"/>
  <sheetViews>
    <sheetView topLeftCell="A134" workbookViewId="0">
      <selection activeCell="F60" sqref="F60:G60"/>
    </sheetView>
  </sheetViews>
  <sheetFormatPr baseColWidth="10" defaultRowHeight="15" x14ac:dyDescent="0.25"/>
  <cols>
    <col min="1" max="1" width="6.140625" customWidth="1"/>
    <col min="2" max="2" width="49.5703125" customWidth="1"/>
    <col min="3" max="3" width="12" bestFit="1" customWidth="1"/>
    <col min="4" max="4" width="12.85546875" bestFit="1" customWidth="1"/>
    <col min="5" max="5" width="12.5703125" customWidth="1"/>
    <col min="6" max="7" width="12.5703125" bestFit="1" customWidth="1"/>
    <col min="8" max="8" width="12.85546875" bestFit="1" customWidth="1"/>
  </cols>
  <sheetData>
    <row r="1" spans="1:8" ht="15.75" x14ac:dyDescent="0.25">
      <c r="A1" s="1118" t="s">
        <v>25</v>
      </c>
      <c r="B1" s="1119"/>
      <c r="C1" s="1119"/>
      <c r="D1" s="1119"/>
      <c r="E1" s="1119"/>
      <c r="F1" s="1119"/>
      <c r="G1" s="1119"/>
      <c r="H1" s="1120"/>
    </row>
    <row r="2" spans="1:8" ht="15.75" x14ac:dyDescent="0.25">
      <c r="A2" s="1121" t="str">
        <f>'ETCA-I-01'!A3:G3</f>
        <v>Consejo Estatal de Concertacion para la Obra Publica</v>
      </c>
      <c r="B2" s="1122"/>
      <c r="C2" s="1122"/>
      <c r="D2" s="1122"/>
      <c r="E2" s="1122"/>
      <c r="F2" s="1122"/>
      <c r="G2" s="1122"/>
      <c r="H2" s="1123"/>
    </row>
    <row r="3" spans="1:8" x14ac:dyDescent="0.25">
      <c r="A3" s="1124" t="s">
        <v>629</v>
      </c>
      <c r="B3" s="1125"/>
      <c r="C3" s="1125"/>
      <c r="D3" s="1125"/>
      <c r="E3" s="1125"/>
      <c r="F3" s="1125"/>
      <c r="G3" s="1125"/>
      <c r="H3" s="1126"/>
    </row>
    <row r="4" spans="1:8" x14ac:dyDescent="0.25">
      <c r="A4" s="1124" t="s">
        <v>630</v>
      </c>
      <c r="B4" s="1125"/>
      <c r="C4" s="1125"/>
      <c r="D4" s="1125"/>
      <c r="E4" s="1125"/>
      <c r="F4" s="1125"/>
      <c r="G4" s="1125"/>
      <c r="H4" s="1126"/>
    </row>
    <row r="5" spans="1:8" x14ac:dyDescent="0.25">
      <c r="A5" s="1124" t="str">
        <f>'ETCA-II-02'!A4:I4</f>
        <v>Del 01 de Enero  al 30 de Septiembre de 2017</v>
      </c>
      <c r="B5" s="1125"/>
      <c r="C5" s="1125"/>
      <c r="D5" s="1125"/>
      <c r="E5" s="1125"/>
      <c r="F5" s="1125"/>
      <c r="G5" s="1125"/>
      <c r="H5" s="1126"/>
    </row>
    <row r="6" spans="1:8" ht="15.75" thickBot="1" x14ac:dyDescent="0.3">
      <c r="A6" s="1109" t="s">
        <v>89</v>
      </c>
      <c r="B6" s="1116"/>
      <c r="C6" s="1116"/>
      <c r="D6" s="1116"/>
      <c r="E6" s="1116"/>
      <c r="F6" s="1116"/>
      <c r="G6" s="1116"/>
      <c r="H6" s="1117"/>
    </row>
    <row r="7" spans="1:8" ht="15.75" thickBot="1" x14ac:dyDescent="0.3">
      <c r="A7" s="1107" t="s">
        <v>90</v>
      </c>
      <c r="B7" s="1108"/>
      <c r="C7" s="1111" t="s">
        <v>631</v>
      </c>
      <c r="D7" s="1112"/>
      <c r="E7" s="1112"/>
      <c r="F7" s="1112"/>
      <c r="G7" s="1113"/>
      <c r="H7" s="1114" t="s">
        <v>632</v>
      </c>
    </row>
    <row r="8" spans="1:8" ht="18.75" thickBot="1" x14ac:dyDescent="0.3">
      <c r="A8" s="1109"/>
      <c r="B8" s="1110"/>
      <c r="C8" s="868" t="s">
        <v>633</v>
      </c>
      <c r="D8" s="729" t="s">
        <v>634</v>
      </c>
      <c r="E8" s="868" t="s">
        <v>635</v>
      </c>
      <c r="F8" s="868" t="s">
        <v>484</v>
      </c>
      <c r="G8" s="868" t="s">
        <v>636</v>
      </c>
      <c r="H8" s="1115"/>
    </row>
    <row r="9" spans="1:8" x14ac:dyDescent="0.25">
      <c r="A9" s="869"/>
      <c r="B9" s="780"/>
      <c r="C9" s="780"/>
      <c r="D9" s="781"/>
      <c r="E9" s="780"/>
      <c r="F9" s="780"/>
      <c r="G9" s="780"/>
      <c r="H9" s="782"/>
    </row>
    <row r="10" spans="1:8" x14ac:dyDescent="0.25">
      <c r="A10" s="1103" t="s">
        <v>637</v>
      </c>
      <c r="B10" s="1104"/>
      <c r="C10" s="723">
        <f t="shared" ref="C10:H10" si="0">+C11+C19+C29+C39+C49+C59+C63+C72+C76</f>
        <v>431991645.12</v>
      </c>
      <c r="D10" s="723">
        <f t="shared" si="0"/>
        <v>261387538.47</v>
      </c>
      <c r="E10" s="723">
        <f t="shared" si="0"/>
        <v>693379183.58999991</v>
      </c>
      <c r="F10" s="723">
        <f t="shared" si="0"/>
        <v>221644805.09999999</v>
      </c>
      <c r="G10" s="723">
        <f t="shared" si="0"/>
        <v>221644805.09999999</v>
      </c>
      <c r="H10" s="723">
        <f t="shared" si="0"/>
        <v>471734378.48999995</v>
      </c>
    </row>
    <row r="11" spans="1:8" x14ac:dyDescent="0.25">
      <c r="A11" s="1105" t="s">
        <v>638</v>
      </c>
      <c r="B11" s="1106"/>
      <c r="C11" s="724">
        <f>SUM(C12:C18)</f>
        <v>24059810</v>
      </c>
      <c r="D11" s="724">
        <f t="shared" ref="D11:H11" si="1">SUM(D12:D18)</f>
        <v>657400.97999999975</v>
      </c>
      <c r="E11" s="727">
        <f t="shared" si="1"/>
        <v>24717210.98</v>
      </c>
      <c r="F11" s="724">
        <f t="shared" si="1"/>
        <v>15399711.669999998</v>
      </c>
      <c r="G11" s="724">
        <f t="shared" si="1"/>
        <v>15399711.669999998</v>
      </c>
      <c r="H11" s="724">
        <f t="shared" si="1"/>
        <v>9317499.3100000005</v>
      </c>
    </row>
    <row r="12" spans="1:8" x14ac:dyDescent="0.25">
      <c r="A12" s="867"/>
      <c r="B12" s="763" t="s">
        <v>639</v>
      </c>
      <c r="C12" s="726">
        <v>16196567.16</v>
      </c>
      <c r="D12" s="726">
        <v>-1761022.2600000002</v>
      </c>
      <c r="E12" s="727">
        <f>C12+D12</f>
        <v>14435544.9</v>
      </c>
      <c r="F12" s="726">
        <v>8589384.6999999993</v>
      </c>
      <c r="G12" s="726">
        <v>8589384.6999999993</v>
      </c>
      <c r="H12" s="725">
        <f t="shared" ref="H12:H18" si="2">+E12-F12</f>
        <v>5846160.2000000011</v>
      </c>
    </row>
    <row r="13" spans="1:8" x14ac:dyDescent="0.25">
      <c r="A13" s="867"/>
      <c r="B13" s="763" t="s">
        <v>640</v>
      </c>
      <c r="C13" s="726">
        <v>0</v>
      </c>
      <c r="D13" s="726">
        <v>1696008.1</v>
      </c>
      <c r="E13" s="727">
        <f t="shared" ref="E13:E77" si="3">C13+D13</f>
        <v>1696008.1</v>
      </c>
      <c r="F13" s="726">
        <v>1686602.89</v>
      </c>
      <c r="G13" s="726">
        <v>1686602.89</v>
      </c>
      <c r="H13" s="725">
        <f t="shared" si="2"/>
        <v>9405.2100000001956</v>
      </c>
    </row>
    <row r="14" spans="1:8" x14ac:dyDescent="0.25">
      <c r="A14" s="867"/>
      <c r="B14" s="763" t="s">
        <v>641</v>
      </c>
      <c r="C14" s="726">
        <v>4378951.2</v>
      </c>
      <c r="D14" s="726">
        <v>-40752.43</v>
      </c>
      <c r="E14" s="727">
        <f t="shared" si="3"/>
        <v>4338198.7700000005</v>
      </c>
      <c r="F14" s="726">
        <v>1102679.29</v>
      </c>
      <c r="G14" s="726">
        <v>1102679.29</v>
      </c>
      <c r="H14" s="725">
        <f t="shared" si="2"/>
        <v>3235519.4800000004</v>
      </c>
    </row>
    <row r="15" spans="1:8" x14ac:dyDescent="0.25">
      <c r="A15" s="867"/>
      <c r="B15" s="763" t="s">
        <v>642</v>
      </c>
      <c r="C15" s="726">
        <v>3484291.64</v>
      </c>
      <c r="D15" s="726">
        <v>763167.57</v>
      </c>
      <c r="E15" s="727">
        <f t="shared" si="3"/>
        <v>4247459.21</v>
      </c>
      <c r="F15" s="726">
        <v>4021044.79</v>
      </c>
      <c r="G15" s="726">
        <v>4021044.79</v>
      </c>
      <c r="H15" s="725">
        <f t="shared" si="2"/>
        <v>226414.41999999993</v>
      </c>
    </row>
    <row r="16" spans="1:8" x14ac:dyDescent="0.25">
      <c r="A16" s="867"/>
      <c r="B16" s="763" t="s">
        <v>643</v>
      </c>
      <c r="C16" s="726">
        <v>0</v>
      </c>
      <c r="D16" s="726">
        <v>0</v>
      </c>
      <c r="E16" s="727">
        <f t="shared" si="3"/>
        <v>0</v>
      </c>
      <c r="F16" s="726">
        <v>0</v>
      </c>
      <c r="G16" s="726">
        <v>0</v>
      </c>
      <c r="H16" s="725">
        <f t="shared" si="2"/>
        <v>0</v>
      </c>
    </row>
    <row r="17" spans="1:8" x14ac:dyDescent="0.25">
      <c r="A17" s="867"/>
      <c r="B17" s="763" t="s">
        <v>644</v>
      </c>
      <c r="C17" s="726">
        <v>0</v>
      </c>
      <c r="D17" s="726">
        <v>0</v>
      </c>
      <c r="E17" s="727">
        <f t="shared" si="3"/>
        <v>0</v>
      </c>
      <c r="F17" s="726">
        <v>0</v>
      </c>
      <c r="G17" s="726">
        <v>0</v>
      </c>
      <c r="H17" s="725">
        <f t="shared" si="2"/>
        <v>0</v>
      </c>
    </row>
    <row r="18" spans="1:8" x14ac:dyDescent="0.25">
      <c r="A18" s="867"/>
      <c r="B18" s="763" t="s">
        <v>645</v>
      </c>
      <c r="C18" s="726">
        <f>+'ETCA II-04'!B16</f>
        <v>0</v>
      </c>
      <c r="D18" s="726">
        <f>+'ETCA II-04'!C16</f>
        <v>0</v>
      </c>
      <c r="E18" s="727">
        <f t="shared" si="3"/>
        <v>0</v>
      </c>
      <c r="F18" s="726">
        <f>+'ETCA II-04'!E16</f>
        <v>0</v>
      </c>
      <c r="G18" s="726">
        <v>0</v>
      </c>
      <c r="H18" s="725">
        <f t="shared" si="2"/>
        <v>0</v>
      </c>
    </row>
    <row r="19" spans="1:8" x14ac:dyDescent="0.25">
      <c r="A19" s="1105" t="s">
        <v>646</v>
      </c>
      <c r="B19" s="1106"/>
      <c r="C19" s="724">
        <f>SUM(C20:C28)</f>
        <v>2000000</v>
      </c>
      <c r="D19" s="724">
        <f t="shared" ref="D19:H19" si="4">SUM(D20:D28)</f>
        <v>-887542.24000000022</v>
      </c>
      <c r="E19" s="727">
        <f t="shared" si="4"/>
        <v>1112457.7599999998</v>
      </c>
      <c r="F19" s="724">
        <f t="shared" si="4"/>
        <v>1082634.53</v>
      </c>
      <c r="G19" s="724">
        <f t="shared" si="4"/>
        <v>1082634.53</v>
      </c>
      <c r="H19" s="724">
        <f t="shared" si="4"/>
        <v>29823.229999999759</v>
      </c>
    </row>
    <row r="20" spans="1:8" x14ac:dyDescent="0.25">
      <c r="A20" s="867"/>
      <c r="B20" s="763" t="s">
        <v>647</v>
      </c>
      <c r="C20" s="726">
        <v>655932.37999999989</v>
      </c>
      <c r="D20" s="726">
        <v>-365171.73</v>
      </c>
      <c r="E20" s="727">
        <f t="shared" si="3"/>
        <v>290760.64999999991</v>
      </c>
      <c r="F20" s="726">
        <v>282358.36</v>
      </c>
      <c r="G20" s="726">
        <v>282358.36</v>
      </c>
      <c r="H20" s="725">
        <f t="shared" ref="H20:H83" si="5">+E20-F20</f>
        <v>8402.2899999999208</v>
      </c>
    </row>
    <row r="21" spans="1:8" x14ac:dyDescent="0.25">
      <c r="A21" s="867"/>
      <c r="B21" s="763" t="s">
        <v>648</v>
      </c>
      <c r="C21" s="726">
        <v>42797.88</v>
      </c>
      <c r="D21" s="726">
        <v>9940</v>
      </c>
      <c r="E21" s="727">
        <f t="shared" si="3"/>
        <v>52737.88</v>
      </c>
      <c r="F21" s="726">
        <v>51951.92</v>
      </c>
      <c r="G21" s="726">
        <v>51951.92</v>
      </c>
      <c r="H21" s="725">
        <f t="shared" si="5"/>
        <v>785.95999999999913</v>
      </c>
    </row>
    <row r="22" spans="1:8" x14ac:dyDescent="0.25">
      <c r="A22" s="867"/>
      <c r="B22" s="763" t="s">
        <v>649</v>
      </c>
      <c r="C22" s="726">
        <v>0</v>
      </c>
      <c r="D22" s="726">
        <v>0</v>
      </c>
      <c r="E22" s="727">
        <f t="shared" si="3"/>
        <v>0</v>
      </c>
      <c r="F22" s="726">
        <v>0</v>
      </c>
      <c r="G22" s="726">
        <v>0</v>
      </c>
      <c r="H22" s="725">
        <f t="shared" si="5"/>
        <v>0</v>
      </c>
    </row>
    <row r="23" spans="1:8" x14ac:dyDescent="0.25">
      <c r="A23" s="867"/>
      <c r="B23" s="763" t="s">
        <v>650</v>
      </c>
      <c r="C23" s="726">
        <v>5000.16</v>
      </c>
      <c r="D23" s="726">
        <v>-4900</v>
      </c>
      <c r="E23" s="727">
        <f t="shared" si="3"/>
        <v>100.15999999999985</v>
      </c>
      <c r="F23" s="726">
        <v>62.93</v>
      </c>
      <c r="G23" s="726">
        <v>62.93</v>
      </c>
      <c r="H23" s="725">
        <f t="shared" si="5"/>
        <v>37.229999999999855</v>
      </c>
    </row>
    <row r="24" spans="1:8" x14ac:dyDescent="0.25">
      <c r="A24" s="867"/>
      <c r="B24" s="763" t="s">
        <v>651</v>
      </c>
      <c r="C24" s="726">
        <v>0</v>
      </c>
      <c r="D24" s="726">
        <v>0</v>
      </c>
      <c r="E24" s="727">
        <f t="shared" si="3"/>
        <v>0</v>
      </c>
      <c r="F24" s="726">
        <v>0</v>
      </c>
      <c r="G24" s="726">
        <v>0</v>
      </c>
      <c r="H24" s="725">
        <f t="shared" si="5"/>
        <v>0</v>
      </c>
    </row>
    <row r="25" spans="1:8" x14ac:dyDescent="0.25">
      <c r="A25" s="867"/>
      <c r="B25" s="763" t="s">
        <v>652</v>
      </c>
      <c r="C25" s="726">
        <v>1242869.3400000001</v>
      </c>
      <c r="D25" s="726">
        <v>-566072.53000000026</v>
      </c>
      <c r="E25" s="727">
        <f t="shared" si="3"/>
        <v>676796.80999999982</v>
      </c>
      <c r="F25" s="726">
        <v>658545.98</v>
      </c>
      <c r="G25" s="726">
        <v>658545.98</v>
      </c>
      <c r="H25" s="725">
        <f t="shared" si="5"/>
        <v>18250.829999999842</v>
      </c>
    </row>
    <row r="26" spans="1:8" x14ac:dyDescent="0.25">
      <c r="A26" s="867"/>
      <c r="B26" s="763" t="s">
        <v>653</v>
      </c>
      <c r="C26" s="726">
        <v>5000.04</v>
      </c>
      <c r="D26" s="726">
        <v>21076.74</v>
      </c>
      <c r="E26" s="727">
        <f t="shared" si="3"/>
        <v>26076.780000000002</v>
      </c>
      <c r="F26" s="726">
        <v>26069.74</v>
      </c>
      <c r="G26" s="726">
        <v>26069.74</v>
      </c>
      <c r="H26" s="725">
        <f t="shared" si="5"/>
        <v>7.0400000000008731</v>
      </c>
    </row>
    <row r="27" spans="1:8" x14ac:dyDescent="0.25">
      <c r="A27" s="867"/>
      <c r="B27" s="763" t="s">
        <v>654</v>
      </c>
      <c r="C27" s="726">
        <v>0</v>
      </c>
      <c r="D27" s="726">
        <v>0</v>
      </c>
      <c r="E27" s="727">
        <f t="shared" si="3"/>
        <v>0</v>
      </c>
      <c r="F27" s="726">
        <v>0</v>
      </c>
      <c r="G27" s="726">
        <v>0</v>
      </c>
      <c r="H27" s="725">
        <f t="shared" si="5"/>
        <v>0</v>
      </c>
    </row>
    <row r="28" spans="1:8" x14ac:dyDescent="0.25">
      <c r="A28" s="867"/>
      <c r="B28" s="763" t="s">
        <v>655</v>
      </c>
      <c r="C28" s="726">
        <v>48400.2</v>
      </c>
      <c r="D28" s="726">
        <v>17585.28</v>
      </c>
      <c r="E28" s="727">
        <f t="shared" si="3"/>
        <v>65985.48</v>
      </c>
      <c r="F28" s="726">
        <v>63645.599999999999</v>
      </c>
      <c r="G28" s="726">
        <v>63645.599999999999</v>
      </c>
      <c r="H28" s="725">
        <f t="shared" si="5"/>
        <v>2339.8799999999974</v>
      </c>
    </row>
    <row r="29" spans="1:8" x14ac:dyDescent="0.25">
      <c r="A29" s="1105" t="s">
        <v>656</v>
      </c>
      <c r="B29" s="1106"/>
      <c r="C29" s="724">
        <f>SUM(C30:C38)</f>
        <v>0</v>
      </c>
      <c r="D29" s="724">
        <f t="shared" ref="D29:H29" si="6">SUM(D30:D38)</f>
        <v>2702368.4600000004</v>
      </c>
      <c r="E29" s="727">
        <f t="shared" si="6"/>
        <v>2702368.4600000004</v>
      </c>
      <c r="F29" s="724">
        <f t="shared" si="6"/>
        <v>2633277.3200000003</v>
      </c>
      <c r="G29" s="724">
        <f t="shared" si="6"/>
        <v>2633277.3200000003</v>
      </c>
      <c r="H29" s="724">
        <f t="shared" si="6"/>
        <v>69091.140000000072</v>
      </c>
    </row>
    <row r="30" spans="1:8" x14ac:dyDescent="0.25">
      <c r="A30" s="867"/>
      <c r="B30" s="763" t="s">
        <v>657</v>
      </c>
      <c r="C30" s="726">
        <v>0</v>
      </c>
      <c r="D30" s="726">
        <v>489480.14</v>
      </c>
      <c r="E30" s="727">
        <f t="shared" si="3"/>
        <v>489480.14</v>
      </c>
      <c r="F30" s="726">
        <v>451312.71</v>
      </c>
      <c r="G30" s="726">
        <v>451312.71</v>
      </c>
      <c r="H30" s="725">
        <f t="shared" si="5"/>
        <v>38167.429999999993</v>
      </c>
    </row>
    <row r="31" spans="1:8" x14ac:dyDescent="0.25">
      <c r="A31" s="867"/>
      <c r="B31" s="763" t="s">
        <v>658</v>
      </c>
      <c r="C31" s="726">
        <v>0</v>
      </c>
      <c r="D31" s="726">
        <v>144850</v>
      </c>
      <c r="E31" s="727">
        <f t="shared" si="3"/>
        <v>144850</v>
      </c>
      <c r="F31" s="726">
        <v>144753.73000000001</v>
      </c>
      <c r="G31" s="726">
        <v>144753.73000000001</v>
      </c>
      <c r="H31" s="725">
        <f t="shared" si="5"/>
        <v>96.269999999989523</v>
      </c>
    </row>
    <row r="32" spans="1:8" x14ac:dyDescent="0.25">
      <c r="A32" s="867"/>
      <c r="B32" s="763" t="s">
        <v>659</v>
      </c>
      <c r="C32" s="726">
        <v>0</v>
      </c>
      <c r="D32" s="726">
        <v>466383</v>
      </c>
      <c r="E32" s="727">
        <f t="shared" si="3"/>
        <v>466383</v>
      </c>
      <c r="F32" s="726">
        <v>464027.45</v>
      </c>
      <c r="G32" s="726">
        <v>464027.45</v>
      </c>
      <c r="H32" s="725">
        <f t="shared" si="5"/>
        <v>2355.5499999999884</v>
      </c>
    </row>
    <row r="33" spans="1:8" x14ac:dyDescent="0.25">
      <c r="A33" s="867"/>
      <c r="B33" s="763" t="s">
        <v>660</v>
      </c>
      <c r="C33" s="726">
        <v>0</v>
      </c>
      <c r="D33" s="726">
        <v>101830.6</v>
      </c>
      <c r="E33" s="727">
        <f t="shared" si="3"/>
        <v>101830.6</v>
      </c>
      <c r="F33" s="726">
        <v>101821.32</v>
      </c>
      <c r="G33" s="726">
        <v>101821.32</v>
      </c>
      <c r="H33" s="725">
        <f t="shared" si="5"/>
        <v>9.2799999999988358</v>
      </c>
    </row>
    <row r="34" spans="1:8" x14ac:dyDescent="0.25">
      <c r="A34" s="867"/>
      <c r="B34" s="763" t="s">
        <v>661</v>
      </c>
      <c r="C34" s="726">
        <v>0</v>
      </c>
      <c r="D34" s="726">
        <v>417104.72</v>
      </c>
      <c r="E34" s="727">
        <f t="shared" si="3"/>
        <v>417104.72</v>
      </c>
      <c r="F34" s="726">
        <v>419419.88</v>
      </c>
      <c r="G34" s="726">
        <v>419419.88</v>
      </c>
      <c r="H34" s="725">
        <f t="shared" si="5"/>
        <v>-2315.1600000000326</v>
      </c>
    </row>
    <row r="35" spans="1:8" x14ac:dyDescent="0.25">
      <c r="A35" s="867"/>
      <c r="B35" s="763" t="s">
        <v>662</v>
      </c>
      <c r="C35" s="726">
        <v>0</v>
      </c>
      <c r="D35" s="726">
        <v>217500</v>
      </c>
      <c r="E35" s="727">
        <f t="shared" si="3"/>
        <v>217500</v>
      </c>
      <c r="F35" s="726">
        <v>217500</v>
      </c>
      <c r="G35" s="726">
        <v>217500</v>
      </c>
      <c r="H35" s="725">
        <f t="shared" si="5"/>
        <v>0</v>
      </c>
    </row>
    <row r="36" spans="1:8" x14ac:dyDescent="0.25">
      <c r="A36" s="867"/>
      <c r="B36" s="763" t="s">
        <v>663</v>
      </c>
      <c r="C36" s="726">
        <v>0</v>
      </c>
      <c r="D36" s="726">
        <v>854217.00000000012</v>
      </c>
      <c r="E36" s="727">
        <f t="shared" si="3"/>
        <v>854217.00000000012</v>
      </c>
      <c r="F36" s="726">
        <v>823979.23</v>
      </c>
      <c r="G36" s="726">
        <v>823979.23</v>
      </c>
      <c r="H36" s="725">
        <f t="shared" si="5"/>
        <v>30237.770000000135</v>
      </c>
    </row>
    <row r="37" spans="1:8" x14ac:dyDescent="0.25">
      <c r="A37" s="867"/>
      <c r="B37" s="763" t="s">
        <v>664</v>
      </c>
      <c r="C37" s="726">
        <v>0</v>
      </c>
      <c r="D37" s="726">
        <v>7500</v>
      </c>
      <c r="E37" s="727">
        <f t="shared" si="3"/>
        <v>7500</v>
      </c>
      <c r="F37" s="726">
        <v>6960</v>
      </c>
      <c r="G37" s="726">
        <v>6960</v>
      </c>
      <c r="H37" s="725">
        <f t="shared" si="5"/>
        <v>540</v>
      </c>
    </row>
    <row r="38" spans="1:8" ht="15.75" thickBot="1" x14ac:dyDescent="0.3">
      <c r="A38" s="762"/>
      <c r="B38" s="697" t="s">
        <v>665</v>
      </c>
      <c r="C38" s="740">
        <v>0</v>
      </c>
      <c r="D38" s="740">
        <v>3503</v>
      </c>
      <c r="E38" s="741">
        <f t="shared" si="3"/>
        <v>3503</v>
      </c>
      <c r="F38" s="740">
        <v>3503</v>
      </c>
      <c r="G38" s="740">
        <v>3503</v>
      </c>
      <c r="H38" s="742">
        <f t="shared" si="5"/>
        <v>0</v>
      </c>
    </row>
    <row r="39" spans="1:8" x14ac:dyDescent="0.25">
      <c r="A39" s="1105" t="s">
        <v>666</v>
      </c>
      <c r="B39" s="1106"/>
      <c r="C39" s="724">
        <f t="shared" ref="C39:H39" si="7">SUM(C40:C48)</f>
        <v>0</v>
      </c>
      <c r="D39" s="724">
        <f t="shared" si="7"/>
        <v>0</v>
      </c>
      <c r="E39" s="724">
        <f t="shared" si="7"/>
        <v>0</v>
      </c>
      <c r="F39" s="724">
        <f t="shared" si="7"/>
        <v>0</v>
      </c>
      <c r="G39" s="724">
        <f t="shared" si="7"/>
        <v>0</v>
      </c>
      <c r="H39" s="724">
        <f t="shared" si="7"/>
        <v>0</v>
      </c>
    </row>
    <row r="40" spans="1:8" x14ac:dyDescent="0.25">
      <c r="A40" s="867"/>
      <c r="B40" s="763" t="s">
        <v>667</v>
      </c>
      <c r="C40" s="726"/>
      <c r="D40" s="726"/>
      <c r="E40" s="727">
        <f t="shared" si="3"/>
        <v>0</v>
      </c>
      <c r="F40" s="726"/>
      <c r="G40" s="726"/>
      <c r="H40" s="725">
        <f t="shared" si="5"/>
        <v>0</v>
      </c>
    </row>
    <row r="41" spans="1:8" x14ac:dyDescent="0.25">
      <c r="A41" s="867"/>
      <c r="B41" s="763" t="s">
        <v>668</v>
      </c>
      <c r="C41" s="726"/>
      <c r="D41" s="726"/>
      <c r="E41" s="727">
        <f t="shared" si="3"/>
        <v>0</v>
      </c>
      <c r="F41" s="726"/>
      <c r="G41" s="726"/>
      <c r="H41" s="725">
        <f t="shared" si="5"/>
        <v>0</v>
      </c>
    </row>
    <row r="42" spans="1:8" x14ac:dyDescent="0.25">
      <c r="A42" s="867"/>
      <c r="B42" s="763" t="s">
        <v>669</v>
      </c>
      <c r="C42" s="726"/>
      <c r="D42" s="726"/>
      <c r="E42" s="727">
        <f t="shared" si="3"/>
        <v>0</v>
      </c>
      <c r="F42" s="726"/>
      <c r="G42" s="726"/>
      <c r="H42" s="725">
        <f t="shared" si="5"/>
        <v>0</v>
      </c>
    </row>
    <row r="43" spans="1:8" x14ac:dyDescent="0.25">
      <c r="A43" s="867"/>
      <c r="B43" s="763" t="s">
        <v>670</v>
      </c>
      <c r="C43" s="726"/>
      <c r="D43" s="726"/>
      <c r="E43" s="727">
        <f t="shared" si="3"/>
        <v>0</v>
      </c>
      <c r="F43" s="726"/>
      <c r="G43" s="726"/>
      <c r="H43" s="725">
        <f t="shared" si="5"/>
        <v>0</v>
      </c>
    </row>
    <row r="44" spans="1:8" x14ac:dyDescent="0.25">
      <c r="A44" s="867"/>
      <c r="B44" s="763" t="s">
        <v>671</v>
      </c>
      <c r="C44" s="726"/>
      <c r="D44" s="726"/>
      <c r="E44" s="727">
        <f t="shared" si="3"/>
        <v>0</v>
      </c>
      <c r="F44" s="726"/>
      <c r="G44" s="726"/>
      <c r="H44" s="725">
        <f t="shared" si="5"/>
        <v>0</v>
      </c>
    </row>
    <row r="45" spans="1:8" x14ac:dyDescent="0.25">
      <c r="A45" s="867"/>
      <c r="B45" s="763" t="s">
        <v>672</v>
      </c>
      <c r="C45" s="726"/>
      <c r="D45" s="726"/>
      <c r="E45" s="727">
        <f t="shared" si="3"/>
        <v>0</v>
      </c>
      <c r="F45" s="726"/>
      <c r="G45" s="726"/>
      <c r="H45" s="725">
        <f t="shared" si="5"/>
        <v>0</v>
      </c>
    </row>
    <row r="46" spans="1:8" x14ac:dyDescent="0.25">
      <c r="A46" s="867"/>
      <c r="B46" s="763" t="s">
        <v>673</v>
      </c>
      <c r="C46" s="726"/>
      <c r="D46" s="726"/>
      <c r="E46" s="727">
        <f t="shared" si="3"/>
        <v>0</v>
      </c>
      <c r="F46" s="726"/>
      <c r="G46" s="726"/>
      <c r="H46" s="725">
        <f t="shared" si="5"/>
        <v>0</v>
      </c>
    </row>
    <row r="47" spans="1:8" x14ac:dyDescent="0.25">
      <c r="A47" s="867"/>
      <c r="B47" s="763" t="s">
        <v>674</v>
      </c>
      <c r="C47" s="726"/>
      <c r="D47" s="726"/>
      <c r="E47" s="727">
        <f t="shared" si="3"/>
        <v>0</v>
      </c>
      <c r="F47" s="726"/>
      <c r="G47" s="726"/>
      <c r="H47" s="725">
        <f t="shared" si="5"/>
        <v>0</v>
      </c>
    </row>
    <row r="48" spans="1:8" x14ac:dyDescent="0.25">
      <c r="A48" s="867"/>
      <c r="B48" s="763" t="s">
        <v>675</v>
      </c>
      <c r="C48" s="726"/>
      <c r="D48" s="726"/>
      <c r="E48" s="727">
        <f t="shared" si="3"/>
        <v>0</v>
      </c>
      <c r="F48" s="726"/>
      <c r="G48" s="726"/>
      <c r="H48" s="725">
        <f t="shared" si="5"/>
        <v>0</v>
      </c>
    </row>
    <row r="49" spans="1:8" x14ac:dyDescent="0.25">
      <c r="A49" s="1105" t="s">
        <v>676</v>
      </c>
      <c r="B49" s="1106"/>
      <c r="C49" s="724">
        <f>SUM(C50:C58)</f>
        <v>0</v>
      </c>
      <c r="D49" s="724">
        <f t="shared" ref="D49:H49" si="8">SUM(D50:D58)</f>
        <v>44270.07</v>
      </c>
      <c r="E49" s="727">
        <f t="shared" si="8"/>
        <v>44270.07</v>
      </c>
      <c r="F49" s="724">
        <f t="shared" si="8"/>
        <v>43970.009999999995</v>
      </c>
      <c r="G49" s="724">
        <f t="shared" si="8"/>
        <v>43970.009999999995</v>
      </c>
      <c r="H49" s="724">
        <f t="shared" si="8"/>
        <v>300.06000000000131</v>
      </c>
    </row>
    <row r="50" spans="1:8" x14ac:dyDescent="0.25">
      <c r="A50" s="867"/>
      <c r="B50" s="763" t="s">
        <v>677</v>
      </c>
      <c r="C50" s="726">
        <v>0</v>
      </c>
      <c r="D50" s="726">
        <v>32770.07</v>
      </c>
      <c r="E50" s="727">
        <f t="shared" si="3"/>
        <v>32770.07</v>
      </c>
      <c r="F50" s="726">
        <v>32602.01</v>
      </c>
      <c r="G50" s="726">
        <v>32602.01</v>
      </c>
      <c r="H50" s="725">
        <f t="shared" si="5"/>
        <v>168.06000000000131</v>
      </c>
    </row>
    <row r="51" spans="1:8" x14ac:dyDescent="0.25">
      <c r="A51" s="867"/>
      <c r="B51" s="763" t="s">
        <v>678</v>
      </c>
      <c r="C51" s="726">
        <v>0</v>
      </c>
      <c r="D51" s="726">
        <v>0</v>
      </c>
      <c r="E51" s="727">
        <f t="shared" si="3"/>
        <v>0</v>
      </c>
      <c r="F51" s="726">
        <f>+'ETCA II-04'!E49</f>
        <v>0</v>
      </c>
      <c r="G51" s="726">
        <f>+'ETCA II-04'!F49</f>
        <v>0</v>
      </c>
      <c r="H51" s="725">
        <f t="shared" si="5"/>
        <v>0</v>
      </c>
    </row>
    <row r="52" spans="1:8" x14ac:dyDescent="0.25">
      <c r="A52" s="867"/>
      <c r="B52" s="763" t="s">
        <v>679</v>
      </c>
      <c r="C52" s="726">
        <v>0</v>
      </c>
      <c r="D52" s="726">
        <v>0</v>
      </c>
      <c r="E52" s="727">
        <f t="shared" si="3"/>
        <v>0</v>
      </c>
      <c r="F52" s="726">
        <f>+'ETCA II-04'!E50</f>
        <v>0</v>
      </c>
      <c r="G52" s="726">
        <f>+'ETCA II-04'!F50</f>
        <v>0</v>
      </c>
      <c r="H52" s="725">
        <f t="shared" si="5"/>
        <v>0</v>
      </c>
    </row>
    <row r="53" spans="1:8" x14ac:dyDescent="0.25">
      <c r="A53" s="867"/>
      <c r="B53" s="763" t="s">
        <v>680</v>
      </c>
      <c r="C53" s="726">
        <v>0</v>
      </c>
      <c r="D53" s="726">
        <v>0</v>
      </c>
      <c r="E53" s="727">
        <f t="shared" si="3"/>
        <v>0</v>
      </c>
      <c r="F53" s="726">
        <f>+'ETCA II-04'!E51</f>
        <v>0</v>
      </c>
      <c r="G53" s="726">
        <f>+'ETCA II-04'!F51</f>
        <v>0</v>
      </c>
      <c r="H53" s="725">
        <f t="shared" si="5"/>
        <v>0</v>
      </c>
    </row>
    <row r="54" spans="1:8" x14ac:dyDescent="0.25">
      <c r="A54" s="867"/>
      <c r="B54" s="763" t="s">
        <v>681</v>
      </c>
      <c r="C54" s="726">
        <v>0</v>
      </c>
      <c r="D54" s="726">
        <v>0</v>
      </c>
      <c r="E54" s="727">
        <f t="shared" si="3"/>
        <v>0</v>
      </c>
      <c r="F54" s="726">
        <f>+'ETCA II-04'!E52</f>
        <v>0</v>
      </c>
      <c r="G54" s="726">
        <f>+'ETCA II-04'!F52</f>
        <v>0</v>
      </c>
      <c r="H54" s="725">
        <f t="shared" si="5"/>
        <v>0</v>
      </c>
    </row>
    <row r="55" spans="1:8" x14ac:dyDescent="0.25">
      <c r="A55" s="867"/>
      <c r="B55" s="763" t="s">
        <v>682</v>
      </c>
      <c r="C55" s="726">
        <v>0</v>
      </c>
      <c r="D55" s="726">
        <v>11500</v>
      </c>
      <c r="E55" s="727">
        <f t="shared" si="3"/>
        <v>11500</v>
      </c>
      <c r="F55" s="726">
        <v>11368</v>
      </c>
      <c r="G55" s="726">
        <v>11368</v>
      </c>
      <c r="H55" s="725">
        <f t="shared" si="5"/>
        <v>132</v>
      </c>
    </row>
    <row r="56" spans="1:8" x14ac:dyDescent="0.25">
      <c r="A56" s="867"/>
      <c r="B56" s="763" t="s">
        <v>683</v>
      </c>
      <c r="C56" s="726">
        <v>0</v>
      </c>
      <c r="D56" s="726">
        <v>0</v>
      </c>
      <c r="E56" s="727">
        <f t="shared" si="3"/>
        <v>0</v>
      </c>
      <c r="F56" s="726">
        <f>+'ETCA II-04'!E54</f>
        <v>0</v>
      </c>
      <c r="G56" s="726">
        <f>+'ETCA II-04'!F54</f>
        <v>0</v>
      </c>
      <c r="H56" s="725">
        <f t="shared" si="5"/>
        <v>0</v>
      </c>
    </row>
    <row r="57" spans="1:8" x14ac:dyDescent="0.25">
      <c r="A57" s="867"/>
      <c r="B57" s="763" t="s">
        <v>684</v>
      </c>
      <c r="C57" s="726">
        <v>0</v>
      </c>
      <c r="D57" s="726">
        <v>0</v>
      </c>
      <c r="E57" s="727">
        <f t="shared" si="3"/>
        <v>0</v>
      </c>
      <c r="F57" s="726">
        <f>+'ETCA II-04'!E55</f>
        <v>0</v>
      </c>
      <c r="G57" s="726">
        <f>+'ETCA II-04'!F55</f>
        <v>0</v>
      </c>
      <c r="H57" s="725">
        <f t="shared" si="5"/>
        <v>0</v>
      </c>
    </row>
    <row r="58" spans="1:8" x14ac:dyDescent="0.25">
      <c r="A58" s="867"/>
      <c r="B58" s="763" t="s">
        <v>685</v>
      </c>
      <c r="C58" s="726">
        <v>0</v>
      </c>
      <c r="D58" s="726">
        <v>0</v>
      </c>
      <c r="E58" s="727">
        <f t="shared" si="3"/>
        <v>0</v>
      </c>
      <c r="F58" s="726">
        <f>+'ETCA II-04'!E56</f>
        <v>0</v>
      </c>
      <c r="G58" s="726">
        <f>+'ETCA II-04'!F56</f>
        <v>0</v>
      </c>
      <c r="H58" s="725">
        <f t="shared" si="5"/>
        <v>0</v>
      </c>
    </row>
    <row r="59" spans="1:8" x14ac:dyDescent="0.25">
      <c r="A59" s="1105" t="s">
        <v>686</v>
      </c>
      <c r="B59" s="1106"/>
      <c r="C59" s="724">
        <f>SUM(C60:C62)</f>
        <v>405931835.12</v>
      </c>
      <c r="D59" s="724">
        <f t="shared" ref="D59:H59" si="9">SUM(D60:D62)</f>
        <v>258871041.19999999</v>
      </c>
      <c r="E59" s="727">
        <f t="shared" si="9"/>
        <v>664802876.31999993</v>
      </c>
      <c r="F59" s="724">
        <f t="shared" si="9"/>
        <v>202485211.56999999</v>
      </c>
      <c r="G59" s="724">
        <f t="shared" si="9"/>
        <v>202485211.56999999</v>
      </c>
      <c r="H59" s="724">
        <f t="shared" si="9"/>
        <v>462317664.74999994</v>
      </c>
    </row>
    <row r="60" spans="1:8" x14ac:dyDescent="0.25">
      <c r="A60" s="867"/>
      <c r="B60" s="763" t="s">
        <v>687</v>
      </c>
      <c r="C60" s="726">
        <v>405931835.12</v>
      </c>
      <c r="D60" s="726">
        <v>258871041.19999999</v>
      </c>
      <c r="E60" s="727">
        <f t="shared" si="3"/>
        <v>664802876.31999993</v>
      </c>
      <c r="F60" s="726">
        <v>202485211.56999999</v>
      </c>
      <c r="G60" s="726">
        <v>202485211.56999999</v>
      </c>
      <c r="H60" s="725">
        <f t="shared" si="5"/>
        <v>462317664.74999994</v>
      </c>
    </row>
    <row r="61" spans="1:8" x14ac:dyDescent="0.25">
      <c r="A61" s="867"/>
      <c r="B61" s="763" t="s">
        <v>688</v>
      </c>
      <c r="C61" s="726"/>
      <c r="D61" s="726"/>
      <c r="E61" s="727">
        <f t="shared" si="3"/>
        <v>0</v>
      </c>
      <c r="F61" s="726"/>
      <c r="G61" s="726"/>
      <c r="H61" s="725">
        <f t="shared" si="5"/>
        <v>0</v>
      </c>
    </row>
    <row r="62" spans="1:8" x14ac:dyDescent="0.25">
      <c r="A62" s="867"/>
      <c r="B62" s="763" t="s">
        <v>689</v>
      </c>
      <c r="C62" s="726"/>
      <c r="D62" s="726"/>
      <c r="E62" s="727">
        <f t="shared" si="3"/>
        <v>0</v>
      </c>
      <c r="F62" s="726"/>
      <c r="G62" s="726"/>
      <c r="H62" s="725">
        <f t="shared" si="5"/>
        <v>0</v>
      </c>
    </row>
    <row r="63" spans="1:8" x14ac:dyDescent="0.25">
      <c r="A63" s="1105" t="s">
        <v>690</v>
      </c>
      <c r="B63" s="1106"/>
      <c r="C63" s="724">
        <f t="shared" ref="C63:H63" si="10">SUM(C64:C71)</f>
        <v>0</v>
      </c>
      <c r="D63" s="724">
        <f t="shared" si="10"/>
        <v>0</v>
      </c>
      <c r="E63" s="724">
        <f t="shared" si="10"/>
        <v>0</v>
      </c>
      <c r="F63" s="724">
        <f t="shared" si="10"/>
        <v>0</v>
      </c>
      <c r="G63" s="724">
        <f t="shared" si="10"/>
        <v>0</v>
      </c>
      <c r="H63" s="724">
        <f t="shared" si="10"/>
        <v>0</v>
      </c>
    </row>
    <row r="64" spans="1:8" x14ac:dyDescent="0.25">
      <c r="A64" s="867"/>
      <c r="B64" s="763" t="s">
        <v>691</v>
      </c>
      <c r="C64" s="726"/>
      <c r="D64" s="726"/>
      <c r="E64" s="727">
        <f t="shared" si="3"/>
        <v>0</v>
      </c>
      <c r="F64" s="726"/>
      <c r="G64" s="726"/>
      <c r="H64" s="725">
        <f t="shared" si="5"/>
        <v>0</v>
      </c>
    </row>
    <row r="65" spans="1:8" x14ac:dyDescent="0.25">
      <c r="A65" s="867"/>
      <c r="B65" s="763" t="s">
        <v>692</v>
      </c>
      <c r="C65" s="726"/>
      <c r="D65" s="726"/>
      <c r="E65" s="727">
        <f t="shared" si="3"/>
        <v>0</v>
      </c>
      <c r="F65" s="726"/>
      <c r="G65" s="726"/>
      <c r="H65" s="725">
        <f t="shared" si="5"/>
        <v>0</v>
      </c>
    </row>
    <row r="66" spans="1:8" x14ac:dyDescent="0.25">
      <c r="A66" s="867"/>
      <c r="B66" s="763" t="s">
        <v>693</v>
      </c>
      <c r="C66" s="726"/>
      <c r="D66" s="726"/>
      <c r="E66" s="727">
        <f t="shared" si="3"/>
        <v>0</v>
      </c>
      <c r="F66" s="726"/>
      <c r="G66" s="726"/>
      <c r="H66" s="725">
        <f t="shared" si="5"/>
        <v>0</v>
      </c>
    </row>
    <row r="67" spans="1:8" x14ac:dyDescent="0.25">
      <c r="A67" s="867"/>
      <c r="B67" s="763" t="s">
        <v>694</v>
      </c>
      <c r="C67" s="726"/>
      <c r="D67" s="726"/>
      <c r="E67" s="727">
        <f t="shared" si="3"/>
        <v>0</v>
      </c>
      <c r="F67" s="726"/>
      <c r="G67" s="726"/>
      <c r="H67" s="725">
        <f t="shared" si="5"/>
        <v>0</v>
      </c>
    </row>
    <row r="68" spans="1:8" x14ac:dyDescent="0.25">
      <c r="A68" s="867"/>
      <c r="B68" s="763" t="s">
        <v>695</v>
      </c>
      <c r="C68" s="726"/>
      <c r="D68" s="726"/>
      <c r="E68" s="727">
        <f t="shared" si="3"/>
        <v>0</v>
      </c>
      <c r="F68" s="726"/>
      <c r="G68" s="726"/>
      <c r="H68" s="725">
        <f t="shared" si="5"/>
        <v>0</v>
      </c>
    </row>
    <row r="69" spans="1:8" x14ac:dyDescent="0.25">
      <c r="A69" s="867"/>
      <c r="B69" s="763" t="s">
        <v>696</v>
      </c>
      <c r="C69" s="726"/>
      <c r="D69" s="726"/>
      <c r="E69" s="727">
        <f t="shared" si="3"/>
        <v>0</v>
      </c>
      <c r="F69" s="726"/>
      <c r="G69" s="726"/>
      <c r="H69" s="725">
        <f t="shared" si="5"/>
        <v>0</v>
      </c>
    </row>
    <row r="70" spans="1:8" x14ac:dyDescent="0.25">
      <c r="A70" s="867"/>
      <c r="B70" s="763" t="s">
        <v>697</v>
      </c>
      <c r="C70" s="726"/>
      <c r="D70" s="726"/>
      <c r="E70" s="727">
        <f t="shared" si="3"/>
        <v>0</v>
      </c>
      <c r="F70" s="726"/>
      <c r="G70" s="726"/>
      <c r="H70" s="725">
        <f t="shared" si="5"/>
        <v>0</v>
      </c>
    </row>
    <row r="71" spans="1:8" x14ac:dyDescent="0.25">
      <c r="A71" s="867"/>
      <c r="B71" s="763" t="s">
        <v>698</v>
      </c>
      <c r="C71" s="726"/>
      <c r="D71" s="726"/>
      <c r="E71" s="727">
        <f t="shared" si="3"/>
        <v>0</v>
      </c>
      <c r="F71" s="726"/>
      <c r="G71" s="726"/>
      <c r="H71" s="725">
        <f t="shared" si="5"/>
        <v>0</v>
      </c>
    </row>
    <row r="72" spans="1:8" x14ac:dyDescent="0.25">
      <c r="A72" s="1105" t="s">
        <v>699</v>
      </c>
      <c r="B72" s="1106"/>
      <c r="C72" s="724">
        <f>SUM(C73:C75)</f>
        <v>0</v>
      </c>
      <c r="D72" s="724">
        <f t="shared" ref="D72:H72" si="11">SUM(D73:D75)</f>
        <v>0</v>
      </c>
      <c r="E72" s="727">
        <f t="shared" si="11"/>
        <v>0</v>
      </c>
      <c r="F72" s="724">
        <f t="shared" si="11"/>
        <v>0</v>
      </c>
      <c r="G72" s="724">
        <f t="shared" si="11"/>
        <v>0</v>
      </c>
      <c r="H72" s="724">
        <f t="shared" si="11"/>
        <v>0</v>
      </c>
    </row>
    <row r="73" spans="1:8" ht="15.75" thickBot="1" x14ac:dyDescent="0.3">
      <c r="A73" s="762"/>
      <c r="B73" s="697" t="s">
        <v>700</v>
      </c>
      <c r="C73" s="740"/>
      <c r="D73" s="740"/>
      <c r="E73" s="741">
        <f t="shared" si="3"/>
        <v>0</v>
      </c>
      <c r="F73" s="740"/>
      <c r="G73" s="740"/>
      <c r="H73" s="742">
        <f t="shared" si="5"/>
        <v>0</v>
      </c>
    </row>
    <row r="74" spans="1:8" x14ac:dyDescent="0.25">
      <c r="A74" s="867"/>
      <c r="B74" s="763" t="s">
        <v>701</v>
      </c>
      <c r="C74" s="726"/>
      <c r="D74" s="726"/>
      <c r="E74" s="727">
        <f t="shared" si="3"/>
        <v>0</v>
      </c>
      <c r="F74" s="726"/>
      <c r="G74" s="726"/>
      <c r="H74" s="725">
        <f t="shared" si="5"/>
        <v>0</v>
      </c>
    </row>
    <row r="75" spans="1:8" x14ac:dyDescent="0.25">
      <c r="A75" s="867"/>
      <c r="B75" s="763" t="s">
        <v>702</v>
      </c>
      <c r="C75" s="726"/>
      <c r="D75" s="726"/>
      <c r="E75" s="727">
        <f t="shared" si="3"/>
        <v>0</v>
      </c>
      <c r="F75" s="726"/>
      <c r="G75" s="726"/>
      <c r="H75" s="725">
        <f t="shared" si="5"/>
        <v>0</v>
      </c>
    </row>
    <row r="76" spans="1:8" x14ac:dyDescent="0.25">
      <c r="A76" s="1105" t="s">
        <v>703</v>
      </c>
      <c r="B76" s="1106"/>
      <c r="C76" s="724">
        <f>SUM(C77:C83)</f>
        <v>0</v>
      </c>
      <c r="D76" s="724">
        <f t="shared" ref="D76:H76" si="12">SUM(D77:D83)</f>
        <v>0</v>
      </c>
      <c r="E76" s="727">
        <f t="shared" si="12"/>
        <v>0</v>
      </c>
      <c r="F76" s="724">
        <f t="shared" si="12"/>
        <v>0</v>
      </c>
      <c r="G76" s="724">
        <f t="shared" si="12"/>
        <v>0</v>
      </c>
      <c r="H76" s="724">
        <f t="shared" si="12"/>
        <v>0</v>
      </c>
    </row>
    <row r="77" spans="1:8" x14ac:dyDescent="0.25">
      <c r="A77" s="867"/>
      <c r="B77" s="763" t="s">
        <v>704</v>
      </c>
      <c r="C77" s="726"/>
      <c r="D77" s="726"/>
      <c r="E77" s="727">
        <f t="shared" si="3"/>
        <v>0</v>
      </c>
      <c r="F77" s="726"/>
      <c r="G77" s="726"/>
      <c r="H77" s="725">
        <f t="shared" si="5"/>
        <v>0</v>
      </c>
    </row>
    <row r="78" spans="1:8" x14ac:dyDescent="0.25">
      <c r="A78" s="867"/>
      <c r="B78" s="763" t="s">
        <v>705</v>
      </c>
      <c r="C78" s="726"/>
      <c r="D78" s="726"/>
      <c r="E78" s="727">
        <f t="shared" ref="E78:E83" si="13">C78+D78</f>
        <v>0</v>
      </c>
      <c r="F78" s="726"/>
      <c r="G78" s="726"/>
      <c r="H78" s="725">
        <f t="shared" si="5"/>
        <v>0</v>
      </c>
    </row>
    <row r="79" spans="1:8" x14ac:dyDescent="0.25">
      <c r="A79" s="867"/>
      <c r="B79" s="763" t="s">
        <v>706</v>
      </c>
      <c r="C79" s="726"/>
      <c r="D79" s="726"/>
      <c r="E79" s="727">
        <f t="shared" si="13"/>
        <v>0</v>
      </c>
      <c r="F79" s="726"/>
      <c r="G79" s="726"/>
      <c r="H79" s="725">
        <f t="shared" si="5"/>
        <v>0</v>
      </c>
    </row>
    <row r="80" spans="1:8" x14ac:dyDescent="0.25">
      <c r="A80" s="867"/>
      <c r="B80" s="763" t="s">
        <v>707</v>
      </c>
      <c r="C80" s="726"/>
      <c r="D80" s="726"/>
      <c r="E80" s="727">
        <f t="shared" si="13"/>
        <v>0</v>
      </c>
      <c r="F80" s="726"/>
      <c r="G80" s="726"/>
      <c r="H80" s="725">
        <f t="shared" si="5"/>
        <v>0</v>
      </c>
    </row>
    <row r="81" spans="1:8" x14ac:dyDescent="0.25">
      <c r="A81" s="867"/>
      <c r="B81" s="763" t="s">
        <v>708</v>
      </c>
      <c r="C81" s="726"/>
      <c r="D81" s="726"/>
      <c r="E81" s="727">
        <f t="shared" si="13"/>
        <v>0</v>
      </c>
      <c r="F81" s="726"/>
      <c r="G81" s="726"/>
      <c r="H81" s="725">
        <f t="shared" si="5"/>
        <v>0</v>
      </c>
    </row>
    <row r="82" spans="1:8" x14ac:dyDescent="0.25">
      <c r="A82" s="867"/>
      <c r="B82" s="763" t="s">
        <v>709</v>
      </c>
      <c r="C82" s="726"/>
      <c r="D82" s="726"/>
      <c r="E82" s="727">
        <f t="shared" si="13"/>
        <v>0</v>
      </c>
      <c r="F82" s="726"/>
      <c r="G82" s="726"/>
      <c r="H82" s="725">
        <f t="shared" si="5"/>
        <v>0</v>
      </c>
    </row>
    <row r="83" spans="1:8" x14ac:dyDescent="0.25">
      <c r="A83" s="867"/>
      <c r="B83" s="763" t="s">
        <v>710</v>
      </c>
      <c r="C83" s="726"/>
      <c r="D83" s="726"/>
      <c r="E83" s="727">
        <f t="shared" si="13"/>
        <v>0</v>
      </c>
      <c r="F83" s="726"/>
      <c r="G83" s="726"/>
      <c r="H83" s="725">
        <f t="shared" si="5"/>
        <v>0</v>
      </c>
    </row>
    <row r="84" spans="1:8" x14ac:dyDescent="0.25">
      <c r="A84" s="1103" t="s">
        <v>711</v>
      </c>
      <c r="B84" s="1104"/>
      <c r="C84" s="723">
        <f>+C85+C93+C103+C113+C123+C133+C137+C146+C150</f>
        <v>0</v>
      </c>
      <c r="D84" s="723">
        <f t="shared" ref="D84:H84" si="14">+D85+D93+D103+D113+D123+D133+D137+D146+D150</f>
        <v>0</v>
      </c>
      <c r="E84" s="728">
        <f t="shared" si="14"/>
        <v>0</v>
      </c>
      <c r="F84" s="723">
        <f t="shared" si="14"/>
        <v>0</v>
      </c>
      <c r="G84" s="723">
        <f t="shared" si="14"/>
        <v>0</v>
      </c>
      <c r="H84" s="723">
        <f t="shared" si="14"/>
        <v>0</v>
      </c>
    </row>
    <row r="85" spans="1:8" x14ac:dyDescent="0.25">
      <c r="A85" s="1105" t="s">
        <v>638</v>
      </c>
      <c r="B85" s="1106"/>
      <c r="C85" s="724">
        <f>SUM(C86:C92)</f>
        <v>0</v>
      </c>
      <c r="D85" s="724">
        <f t="shared" ref="D85:H85" si="15">SUM(D86:D92)</f>
        <v>0</v>
      </c>
      <c r="E85" s="727">
        <f t="shared" si="15"/>
        <v>0</v>
      </c>
      <c r="F85" s="724">
        <f t="shared" si="15"/>
        <v>0</v>
      </c>
      <c r="G85" s="724">
        <f t="shared" si="15"/>
        <v>0</v>
      </c>
      <c r="H85" s="724">
        <f t="shared" si="15"/>
        <v>0</v>
      </c>
    </row>
    <row r="86" spans="1:8" x14ac:dyDescent="0.25">
      <c r="A86" s="867"/>
      <c r="B86" s="763" t="s">
        <v>639</v>
      </c>
      <c r="C86" s="726"/>
      <c r="D86" s="726"/>
      <c r="E86" s="727">
        <f t="shared" ref="E86:E92" si="16">C86+D86</f>
        <v>0</v>
      </c>
      <c r="F86" s="726"/>
      <c r="G86" s="726"/>
      <c r="H86" s="725">
        <f t="shared" ref="H86:H149" si="17">+E86-F86</f>
        <v>0</v>
      </c>
    </row>
    <row r="87" spans="1:8" x14ac:dyDescent="0.25">
      <c r="A87" s="867"/>
      <c r="B87" s="763" t="s">
        <v>640</v>
      </c>
      <c r="C87" s="726"/>
      <c r="D87" s="726"/>
      <c r="E87" s="727">
        <f t="shared" si="16"/>
        <v>0</v>
      </c>
      <c r="F87" s="726"/>
      <c r="G87" s="726"/>
      <c r="H87" s="725">
        <f t="shared" si="17"/>
        <v>0</v>
      </c>
    </row>
    <row r="88" spans="1:8" x14ac:dyDescent="0.25">
      <c r="A88" s="867"/>
      <c r="B88" s="763" t="s">
        <v>641</v>
      </c>
      <c r="C88" s="726"/>
      <c r="D88" s="726"/>
      <c r="E88" s="727">
        <f t="shared" si="16"/>
        <v>0</v>
      </c>
      <c r="F88" s="726"/>
      <c r="G88" s="726"/>
      <c r="H88" s="725">
        <f t="shared" si="17"/>
        <v>0</v>
      </c>
    </row>
    <row r="89" spans="1:8" x14ac:dyDescent="0.25">
      <c r="A89" s="867"/>
      <c r="B89" s="763" t="s">
        <v>642</v>
      </c>
      <c r="C89" s="726"/>
      <c r="D89" s="726"/>
      <c r="E89" s="727">
        <f t="shared" si="16"/>
        <v>0</v>
      </c>
      <c r="F89" s="726"/>
      <c r="G89" s="726"/>
      <c r="H89" s="725">
        <f t="shared" si="17"/>
        <v>0</v>
      </c>
    </row>
    <row r="90" spans="1:8" x14ac:dyDescent="0.25">
      <c r="A90" s="867"/>
      <c r="B90" s="763" t="s">
        <v>643</v>
      </c>
      <c r="C90" s="726"/>
      <c r="D90" s="726"/>
      <c r="E90" s="727">
        <f t="shared" si="16"/>
        <v>0</v>
      </c>
      <c r="F90" s="726"/>
      <c r="G90" s="726"/>
      <c r="H90" s="725">
        <f t="shared" si="17"/>
        <v>0</v>
      </c>
    </row>
    <row r="91" spans="1:8" x14ac:dyDescent="0.25">
      <c r="A91" s="867"/>
      <c r="B91" s="763" t="s">
        <v>644</v>
      </c>
      <c r="C91" s="726"/>
      <c r="D91" s="726"/>
      <c r="E91" s="727">
        <f t="shared" si="16"/>
        <v>0</v>
      </c>
      <c r="F91" s="726"/>
      <c r="G91" s="726"/>
      <c r="H91" s="725">
        <f t="shared" si="17"/>
        <v>0</v>
      </c>
    </row>
    <row r="92" spans="1:8" x14ac:dyDescent="0.25">
      <c r="A92" s="867"/>
      <c r="B92" s="763" t="s">
        <v>645</v>
      </c>
      <c r="C92" s="726"/>
      <c r="D92" s="726"/>
      <c r="E92" s="727">
        <f t="shared" si="16"/>
        <v>0</v>
      </c>
      <c r="F92" s="726"/>
      <c r="G92" s="726"/>
      <c r="H92" s="725">
        <f t="shared" si="17"/>
        <v>0</v>
      </c>
    </row>
    <row r="93" spans="1:8" x14ac:dyDescent="0.25">
      <c r="A93" s="1105" t="s">
        <v>646</v>
      </c>
      <c r="B93" s="1106"/>
      <c r="C93" s="724">
        <f>SUM(C94:C102)</f>
        <v>0</v>
      </c>
      <c r="D93" s="724">
        <f t="shared" ref="D93:H93" si="18">SUM(D94:D102)</f>
        <v>0</v>
      </c>
      <c r="E93" s="727">
        <f t="shared" si="18"/>
        <v>0</v>
      </c>
      <c r="F93" s="724">
        <f t="shared" si="18"/>
        <v>0</v>
      </c>
      <c r="G93" s="724">
        <f t="shared" si="18"/>
        <v>0</v>
      </c>
      <c r="H93" s="724">
        <f t="shared" si="18"/>
        <v>0</v>
      </c>
    </row>
    <row r="94" spans="1:8" x14ac:dyDescent="0.25">
      <c r="A94" s="867"/>
      <c r="B94" s="763" t="s">
        <v>647</v>
      </c>
      <c r="C94" s="726"/>
      <c r="D94" s="726"/>
      <c r="E94" s="727">
        <f t="shared" ref="E94:E102" si="19">C94+D94</f>
        <v>0</v>
      </c>
      <c r="F94" s="726"/>
      <c r="G94" s="726"/>
      <c r="H94" s="725">
        <f t="shared" si="17"/>
        <v>0</v>
      </c>
    </row>
    <row r="95" spans="1:8" x14ac:dyDescent="0.25">
      <c r="A95" s="867"/>
      <c r="B95" s="763" t="s">
        <v>648</v>
      </c>
      <c r="C95" s="726"/>
      <c r="D95" s="726"/>
      <c r="E95" s="727">
        <f t="shared" si="19"/>
        <v>0</v>
      </c>
      <c r="F95" s="726"/>
      <c r="G95" s="726"/>
      <c r="H95" s="725">
        <f t="shared" si="17"/>
        <v>0</v>
      </c>
    </row>
    <row r="96" spans="1:8" x14ac:dyDescent="0.25">
      <c r="A96" s="867"/>
      <c r="B96" s="763" t="s">
        <v>649</v>
      </c>
      <c r="C96" s="726"/>
      <c r="D96" s="726"/>
      <c r="E96" s="727">
        <f t="shared" si="19"/>
        <v>0</v>
      </c>
      <c r="F96" s="726"/>
      <c r="G96" s="726"/>
      <c r="H96" s="725">
        <f t="shared" si="17"/>
        <v>0</v>
      </c>
    </row>
    <row r="97" spans="1:8" x14ac:dyDescent="0.25">
      <c r="A97" s="867"/>
      <c r="B97" s="763" t="s">
        <v>650</v>
      </c>
      <c r="C97" s="726"/>
      <c r="D97" s="726"/>
      <c r="E97" s="727">
        <f t="shared" si="19"/>
        <v>0</v>
      </c>
      <c r="F97" s="726"/>
      <c r="G97" s="726"/>
      <c r="H97" s="725">
        <f t="shared" si="17"/>
        <v>0</v>
      </c>
    </row>
    <row r="98" spans="1:8" x14ac:dyDescent="0.25">
      <c r="A98" s="867"/>
      <c r="B98" s="763" t="s">
        <v>651</v>
      </c>
      <c r="C98" s="726"/>
      <c r="D98" s="726"/>
      <c r="E98" s="727">
        <f t="shared" si="19"/>
        <v>0</v>
      </c>
      <c r="F98" s="726"/>
      <c r="G98" s="726"/>
      <c r="H98" s="725">
        <f t="shared" si="17"/>
        <v>0</v>
      </c>
    </row>
    <row r="99" spans="1:8" x14ac:dyDescent="0.25">
      <c r="A99" s="867"/>
      <c r="B99" s="763" t="s">
        <v>652</v>
      </c>
      <c r="C99" s="726"/>
      <c r="D99" s="726"/>
      <c r="E99" s="727">
        <f t="shared" si="19"/>
        <v>0</v>
      </c>
      <c r="F99" s="726"/>
      <c r="G99" s="726"/>
      <c r="H99" s="725">
        <f t="shared" si="17"/>
        <v>0</v>
      </c>
    </row>
    <row r="100" spans="1:8" x14ac:dyDescent="0.25">
      <c r="A100" s="867"/>
      <c r="B100" s="763" t="s">
        <v>653</v>
      </c>
      <c r="C100" s="726"/>
      <c r="D100" s="726"/>
      <c r="E100" s="727">
        <f t="shared" si="19"/>
        <v>0</v>
      </c>
      <c r="F100" s="726"/>
      <c r="G100" s="726"/>
      <c r="H100" s="725">
        <f t="shared" si="17"/>
        <v>0</v>
      </c>
    </row>
    <row r="101" spans="1:8" x14ac:dyDescent="0.25">
      <c r="A101" s="867"/>
      <c r="B101" s="763" t="s">
        <v>654</v>
      </c>
      <c r="C101" s="726"/>
      <c r="D101" s="726"/>
      <c r="E101" s="727">
        <f t="shared" si="19"/>
        <v>0</v>
      </c>
      <c r="F101" s="726"/>
      <c r="G101" s="726"/>
      <c r="H101" s="725">
        <f t="shared" si="17"/>
        <v>0</v>
      </c>
    </row>
    <row r="102" spans="1:8" x14ac:dyDescent="0.25">
      <c r="A102" s="867"/>
      <c r="B102" s="763" t="s">
        <v>655</v>
      </c>
      <c r="C102" s="726"/>
      <c r="D102" s="726"/>
      <c r="E102" s="727">
        <f t="shared" si="19"/>
        <v>0</v>
      </c>
      <c r="F102" s="726"/>
      <c r="G102" s="726"/>
      <c r="H102" s="725">
        <f t="shared" si="17"/>
        <v>0</v>
      </c>
    </row>
    <row r="103" spans="1:8" x14ac:dyDescent="0.25">
      <c r="A103" s="1105" t="s">
        <v>656</v>
      </c>
      <c r="B103" s="1106"/>
      <c r="C103" s="724">
        <f>SUM(C104:C112)</f>
        <v>0</v>
      </c>
      <c r="D103" s="724">
        <f t="shared" ref="D103:H103" si="20">SUM(D104:D112)</f>
        <v>0</v>
      </c>
      <c r="E103" s="727">
        <f t="shared" si="20"/>
        <v>0</v>
      </c>
      <c r="F103" s="724">
        <f t="shared" si="20"/>
        <v>0</v>
      </c>
      <c r="G103" s="724">
        <f t="shared" si="20"/>
        <v>0</v>
      </c>
      <c r="H103" s="724">
        <f t="shared" si="20"/>
        <v>0</v>
      </c>
    </row>
    <row r="104" spans="1:8" x14ac:dyDescent="0.25">
      <c r="A104" s="867"/>
      <c r="B104" s="763" t="s">
        <v>657</v>
      </c>
      <c r="C104" s="726"/>
      <c r="D104" s="726"/>
      <c r="E104" s="727">
        <f t="shared" ref="E104:E112" si="21">C104+D104</f>
        <v>0</v>
      </c>
      <c r="F104" s="726"/>
      <c r="G104" s="726"/>
      <c r="H104" s="725">
        <f t="shared" si="17"/>
        <v>0</v>
      </c>
    </row>
    <row r="105" spans="1:8" x14ac:dyDescent="0.25">
      <c r="A105" s="867"/>
      <c r="B105" s="763" t="s">
        <v>658</v>
      </c>
      <c r="C105" s="726"/>
      <c r="D105" s="726"/>
      <c r="E105" s="727">
        <f t="shared" si="21"/>
        <v>0</v>
      </c>
      <c r="F105" s="726"/>
      <c r="G105" s="726"/>
      <c r="H105" s="725">
        <f t="shared" si="17"/>
        <v>0</v>
      </c>
    </row>
    <row r="106" spans="1:8" x14ac:dyDescent="0.25">
      <c r="A106" s="867"/>
      <c r="B106" s="763" t="s">
        <v>659</v>
      </c>
      <c r="C106" s="726"/>
      <c r="D106" s="726"/>
      <c r="E106" s="727">
        <f t="shared" si="21"/>
        <v>0</v>
      </c>
      <c r="F106" s="726"/>
      <c r="G106" s="726"/>
      <c r="H106" s="725">
        <f t="shared" si="17"/>
        <v>0</v>
      </c>
    </row>
    <row r="107" spans="1:8" x14ac:dyDescent="0.25">
      <c r="A107" s="867"/>
      <c r="B107" s="763" t="s">
        <v>660</v>
      </c>
      <c r="C107" s="726"/>
      <c r="D107" s="726"/>
      <c r="E107" s="727">
        <f t="shared" si="21"/>
        <v>0</v>
      </c>
      <c r="F107" s="726"/>
      <c r="G107" s="726"/>
      <c r="H107" s="725">
        <f t="shared" si="17"/>
        <v>0</v>
      </c>
    </row>
    <row r="108" spans="1:8" ht="15.75" thickBot="1" x14ac:dyDescent="0.3">
      <c r="A108" s="762"/>
      <c r="B108" s="697" t="s">
        <v>661</v>
      </c>
      <c r="C108" s="740"/>
      <c r="D108" s="740"/>
      <c r="E108" s="741">
        <f t="shared" si="21"/>
        <v>0</v>
      </c>
      <c r="F108" s="740"/>
      <c r="G108" s="740"/>
      <c r="H108" s="742">
        <f t="shared" si="17"/>
        <v>0</v>
      </c>
    </row>
    <row r="109" spans="1:8" x14ac:dyDescent="0.25">
      <c r="A109" s="867"/>
      <c r="B109" s="763" t="s">
        <v>662</v>
      </c>
      <c r="C109" s="726"/>
      <c r="D109" s="726"/>
      <c r="E109" s="727">
        <f t="shared" si="21"/>
        <v>0</v>
      </c>
      <c r="F109" s="726"/>
      <c r="G109" s="726"/>
      <c r="H109" s="725">
        <f t="shared" si="17"/>
        <v>0</v>
      </c>
    </row>
    <row r="110" spans="1:8" x14ac:dyDescent="0.25">
      <c r="A110" s="867"/>
      <c r="B110" s="763" t="s">
        <v>663</v>
      </c>
      <c r="C110" s="726"/>
      <c r="D110" s="726"/>
      <c r="E110" s="727">
        <f t="shared" si="21"/>
        <v>0</v>
      </c>
      <c r="F110" s="726"/>
      <c r="G110" s="726"/>
      <c r="H110" s="725">
        <f t="shared" si="17"/>
        <v>0</v>
      </c>
    </row>
    <row r="111" spans="1:8" x14ac:dyDescent="0.25">
      <c r="A111" s="867"/>
      <c r="B111" s="763" t="s">
        <v>664</v>
      </c>
      <c r="C111" s="726"/>
      <c r="D111" s="726"/>
      <c r="E111" s="727">
        <f t="shared" si="21"/>
        <v>0</v>
      </c>
      <c r="F111" s="726"/>
      <c r="G111" s="726"/>
      <c r="H111" s="725">
        <f t="shared" si="17"/>
        <v>0</v>
      </c>
    </row>
    <row r="112" spans="1:8" x14ac:dyDescent="0.25">
      <c r="A112" s="867"/>
      <c r="B112" s="763" t="s">
        <v>665</v>
      </c>
      <c r="C112" s="726"/>
      <c r="D112" s="726"/>
      <c r="E112" s="727">
        <f t="shared" si="21"/>
        <v>0</v>
      </c>
      <c r="F112" s="726"/>
      <c r="G112" s="726"/>
      <c r="H112" s="725">
        <f t="shared" si="17"/>
        <v>0</v>
      </c>
    </row>
    <row r="113" spans="1:8" x14ac:dyDescent="0.25">
      <c r="A113" s="1105" t="s">
        <v>666</v>
      </c>
      <c r="B113" s="1106"/>
      <c r="C113" s="724">
        <f>SUM(C114:C122)</f>
        <v>0</v>
      </c>
      <c r="D113" s="724">
        <f t="shared" ref="D113:H113" si="22">SUM(D114:D122)</f>
        <v>0</v>
      </c>
      <c r="E113" s="727">
        <f t="shared" si="22"/>
        <v>0</v>
      </c>
      <c r="F113" s="724">
        <f t="shared" si="22"/>
        <v>0</v>
      </c>
      <c r="G113" s="724">
        <f t="shared" si="22"/>
        <v>0</v>
      </c>
      <c r="H113" s="724">
        <f t="shared" si="22"/>
        <v>0</v>
      </c>
    </row>
    <row r="114" spans="1:8" x14ac:dyDescent="0.25">
      <c r="A114" s="867"/>
      <c r="B114" s="763" t="s">
        <v>667</v>
      </c>
      <c r="C114" s="726"/>
      <c r="D114" s="726"/>
      <c r="E114" s="727">
        <f t="shared" ref="E114:E122" si="23">C114+D114</f>
        <v>0</v>
      </c>
      <c r="F114" s="726"/>
      <c r="G114" s="726"/>
      <c r="H114" s="725">
        <f t="shared" si="17"/>
        <v>0</v>
      </c>
    </row>
    <row r="115" spans="1:8" x14ac:dyDescent="0.25">
      <c r="A115" s="867"/>
      <c r="B115" s="763" t="s">
        <v>668</v>
      </c>
      <c r="C115" s="726"/>
      <c r="D115" s="726"/>
      <c r="E115" s="727">
        <f t="shared" si="23"/>
        <v>0</v>
      </c>
      <c r="F115" s="726"/>
      <c r="G115" s="726"/>
      <c r="H115" s="725">
        <f t="shared" si="17"/>
        <v>0</v>
      </c>
    </row>
    <row r="116" spans="1:8" x14ac:dyDescent="0.25">
      <c r="A116" s="867"/>
      <c r="B116" s="763" t="s">
        <v>669</v>
      </c>
      <c r="C116" s="726"/>
      <c r="D116" s="726"/>
      <c r="E116" s="727">
        <f t="shared" si="23"/>
        <v>0</v>
      </c>
      <c r="F116" s="726"/>
      <c r="G116" s="726"/>
      <c r="H116" s="725">
        <f t="shared" si="17"/>
        <v>0</v>
      </c>
    </row>
    <row r="117" spans="1:8" x14ac:dyDescent="0.25">
      <c r="A117" s="867"/>
      <c r="B117" s="763" t="s">
        <v>670</v>
      </c>
      <c r="C117" s="726"/>
      <c r="D117" s="726"/>
      <c r="E117" s="727">
        <f t="shared" si="23"/>
        <v>0</v>
      </c>
      <c r="F117" s="726"/>
      <c r="G117" s="726"/>
      <c r="H117" s="725">
        <f t="shared" si="17"/>
        <v>0</v>
      </c>
    </row>
    <row r="118" spans="1:8" x14ac:dyDescent="0.25">
      <c r="A118" s="867"/>
      <c r="B118" s="763" t="s">
        <v>671</v>
      </c>
      <c r="C118" s="726"/>
      <c r="D118" s="726"/>
      <c r="E118" s="727">
        <f t="shared" si="23"/>
        <v>0</v>
      </c>
      <c r="F118" s="726"/>
      <c r="G118" s="726"/>
      <c r="H118" s="725">
        <f t="shared" si="17"/>
        <v>0</v>
      </c>
    </row>
    <row r="119" spans="1:8" x14ac:dyDescent="0.25">
      <c r="A119" s="867"/>
      <c r="B119" s="763" t="s">
        <v>672</v>
      </c>
      <c r="C119" s="726"/>
      <c r="D119" s="726"/>
      <c r="E119" s="727">
        <f t="shared" si="23"/>
        <v>0</v>
      </c>
      <c r="F119" s="726"/>
      <c r="G119" s="726"/>
      <c r="H119" s="725">
        <f t="shared" si="17"/>
        <v>0</v>
      </c>
    </row>
    <row r="120" spans="1:8" x14ac:dyDescent="0.25">
      <c r="A120" s="867"/>
      <c r="B120" s="763" t="s">
        <v>673</v>
      </c>
      <c r="C120" s="726"/>
      <c r="D120" s="726"/>
      <c r="E120" s="727">
        <f t="shared" si="23"/>
        <v>0</v>
      </c>
      <c r="F120" s="726"/>
      <c r="G120" s="726"/>
      <c r="H120" s="725">
        <f t="shared" si="17"/>
        <v>0</v>
      </c>
    </row>
    <row r="121" spans="1:8" x14ac:dyDescent="0.25">
      <c r="A121" s="867"/>
      <c r="B121" s="763" t="s">
        <v>674</v>
      </c>
      <c r="C121" s="726"/>
      <c r="D121" s="726"/>
      <c r="E121" s="727">
        <f t="shared" si="23"/>
        <v>0</v>
      </c>
      <c r="F121" s="726"/>
      <c r="G121" s="726"/>
      <c r="H121" s="725">
        <f t="shared" si="17"/>
        <v>0</v>
      </c>
    </row>
    <row r="122" spans="1:8" x14ac:dyDescent="0.25">
      <c r="A122" s="867"/>
      <c r="B122" s="763" t="s">
        <v>675</v>
      </c>
      <c r="C122" s="726"/>
      <c r="D122" s="726"/>
      <c r="E122" s="727">
        <f t="shared" si="23"/>
        <v>0</v>
      </c>
      <c r="F122" s="726"/>
      <c r="G122" s="726"/>
      <c r="H122" s="725">
        <f t="shared" si="17"/>
        <v>0</v>
      </c>
    </row>
    <row r="123" spans="1:8" x14ac:dyDescent="0.25">
      <c r="A123" s="1105" t="s">
        <v>676</v>
      </c>
      <c r="B123" s="1106"/>
      <c r="C123" s="724">
        <f>SUM(C124:C132)</f>
        <v>0</v>
      </c>
      <c r="D123" s="724">
        <f t="shared" ref="D123:H123" si="24">SUM(D124:D132)</f>
        <v>0</v>
      </c>
      <c r="E123" s="727">
        <f t="shared" si="24"/>
        <v>0</v>
      </c>
      <c r="F123" s="724">
        <f t="shared" si="24"/>
        <v>0</v>
      </c>
      <c r="G123" s="724">
        <f t="shared" si="24"/>
        <v>0</v>
      </c>
      <c r="H123" s="724">
        <f t="shared" si="24"/>
        <v>0</v>
      </c>
    </row>
    <row r="124" spans="1:8" x14ac:dyDescent="0.25">
      <c r="A124" s="867"/>
      <c r="B124" s="763" t="s">
        <v>677</v>
      </c>
      <c r="C124" s="726">
        <v>0</v>
      </c>
      <c r="D124" s="726"/>
      <c r="E124" s="727">
        <f t="shared" ref="E124:E132" si="25">C124+D124</f>
        <v>0</v>
      </c>
      <c r="F124" s="726"/>
      <c r="G124" s="726"/>
      <c r="H124" s="725">
        <f t="shared" si="17"/>
        <v>0</v>
      </c>
    </row>
    <row r="125" spans="1:8" x14ac:dyDescent="0.25">
      <c r="A125" s="867"/>
      <c r="B125" s="763" t="s">
        <v>678</v>
      </c>
      <c r="C125" s="726"/>
      <c r="D125" s="726"/>
      <c r="E125" s="727">
        <f t="shared" si="25"/>
        <v>0</v>
      </c>
      <c r="F125" s="726"/>
      <c r="G125" s="726"/>
      <c r="H125" s="725">
        <f t="shared" si="17"/>
        <v>0</v>
      </c>
    </row>
    <row r="126" spans="1:8" x14ac:dyDescent="0.25">
      <c r="A126" s="867"/>
      <c r="B126" s="763" t="s">
        <v>679</v>
      </c>
      <c r="C126" s="726"/>
      <c r="D126" s="726"/>
      <c r="E126" s="727">
        <f t="shared" si="25"/>
        <v>0</v>
      </c>
      <c r="F126" s="726"/>
      <c r="G126" s="726"/>
      <c r="H126" s="725">
        <f t="shared" si="17"/>
        <v>0</v>
      </c>
    </row>
    <row r="127" spans="1:8" x14ac:dyDescent="0.25">
      <c r="A127" s="867"/>
      <c r="B127" s="763" t="s">
        <v>680</v>
      </c>
      <c r="C127" s="726"/>
      <c r="D127" s="726"/>
      <c r="E127" s="727">
        <f t="shared" si="25"/>
        <v>0</v>
      </c>
      <c r="F127" s="726"/>
      <c r="G127" s="726"/>
      <c r="H127" s="725">
        <f t="shared" si="17"/>
        <v>0</v>
      </c>
    </row>
    <row r="128" spans="1:8" x14ac:dyDescent="0.25">
      <c r="A128" s="867"/>
      <c r="B128" s="763" t="s">
        <v>681</v>
      </c>
      <c r="C128" s="726"/>
      <c r="D128" s="726"/>
      <c r="E128" s="727">
        <f t="shared" si="25"/>
        <v>0</v>
      </c>
      <c r="F128" s="726"/>
      <c r="G128" s="726"/>
      <c r="H128" s="725">
        <f t="shared" si="17"/>
        <v>0</v>
      </c>
    </row>
    <row r="129" spans="1:8" x14ac:dyDescent="0.25">
      <c r="A129" s="867"/>
      <c r="B129" s="763" t="s">
        <v>682</v>
      </c>
      <c r="C129" s="726"/>
      <c r="D129" s="726"/>
      <c r="E129" s="727">
        <f t="shared" si="25"/>
        <v>0</v>
      </c>
      <c r="F129" s="726"/>
      <c r="G129" s="726"/>
      <c r="H129" s="725">
        <f t="shared" si="17"/>
        <v>0</v>
      </c>
    </row>
    <row r="130" spans="1:8" x14ac:dyDescent="0.25">
      <c r="A130" s="867"/>
      <c r="B130" s="763" t="s">
        <v>683</v>
      </c>
      <c r="C130" s="726"/>
      <c r="D130" s="726"/>
      <c r="E130" s="727">
        <f t="shared" si="25"/>
        <v>0</v>
      </c>
      <c r="F130" s="726"/>
      <c r="G130" s="726"/>
      <c r="H130" s="725">
        <f t="shared" si="17"/>
        <v>0</v>
      </c>
    </row>
    <row r="131" spans="1:8" x14ac:dyDescent="0.25">
      <c r="A131" s="867"/>
      <c r="B131" s="763" t="s">
        <v>684</v>
      </c>
      <c r="C131" s="726"/>
      <c r="D131" s="726"/>
      <c r="E131" s="727">
        <f t="shared" si="25"/>
        <v>0</v>
      </c>
      <c r="F131" s="726"/>
      <c r="G131" s="726"/>
      <c r="H131" s="725">
        <f t="shared" si="17"/>
        <v>0</v>
      </c>
    </row>
    <row r="132" spans="1:8" x14ac:dyDescent="0.25">
      <c r="A132" s="867"/>
      <c r="B132" s="763" t="s">
        <v>685</v>
      </c>
      <c r="C132" s="726"/>
      <c r="D132" s="726"/>
      <c r="E132" s="727">
        <f t="shared" si="25"/>
        <v>0</v>
      </c>
      <c r="F132" s="726"/>
      <c r="G132" s="726"/>
      <c r="H132" s="725">
        <f t="shared" si="17"/>
        <v>0</v>
      </c>
    </row>
    <row r="133" spans="1:8" x14ac:dyDescent="0.25">
      <c r="A133" s="1105" t="s">
        <v>686</v>
      </c>
      <c r="B133" s="1106"/>
      <c r="C133" s="724">
        <f>SUM(C134:C136)</f>
        <v>0</v>
      </c>
      <c r="D133" s="724">
        <f t="shared" ref="D133:H133" si="26">SUM(D134:D136)</f>
        <v>0</v>
      </c>
      <c r="E133" s="727">
        <f t="shared" si="26"/>
        <v>0</v>
      </c>
      <c r="F133" s="724">
        <f t="shared" si="26"/>
        <v>0</v>
      </c>
      <c r="G133" s="724">
        <f t="shared" si="26"/>
        <v>0</v>
      </c>
      <c r="H133" s="724">
        <f t="shared" si="26"/>
        <v>0</v>
      </c>
    </row>
    <row r="134" spans="1:8" x14ac:dyDescent="0.25">
      <c r="A134" s="867"/>
      <c r="B134" s="763" t="s">
        <v>687</v>
      </c>
      <c r="C134" s="726"/>
      <c r="D134" s="726"/>
      <c r="E134" s="727">
        <f t="shared" ref="E134:E136" si="27">C134+D134</f>
        <v>0</v>
      </c>
      <c r="F134" s="726"/>
      <c r="G134" s="726"/>
      <c r="H134" s="725">
        <f t="shared" si="17"/>
        <v>0</v>
      </c>
    </row>
    <row r="135" spans="1:8" x14ac:dyDescent="0.25">
      <c r="A135" s="867"/>
      <c r="B135" s="763" t="s">
        <v>688</v>
      </c>
      <c r="C135" s="726"/>
      <c r="D135" s="726"/>
      <c r="E135" s="727">
        <f t="shared" si="27"/>
        <v>0</v>
      </c>
      <c r="F135" s="726"/>
      <c r="G135" s="726"/>
      <c r="H135" s="725">
        <f t="shared" si="17"/>
        <v>0</v>
      </c>
    </row>
    <row r="136" spans="1:8" x14ac:dyDescent="0.25">
      <c r="A136" s="867"/>
      <c r="B136" s="763" t="s">
        <v>689</v>
      </c>
      <c r="C136" s="726"/>
      <c r="D136" s="726"/>
      <c r="E136" s="727">
        <f t="shared" si="27"/>
        <v>0</v>
      </c>
      <c r="F136" s="726"/>
      <c r="G136" s="726"/>
      <c r="H136" s="725">
        <f t="shared" si="17"/>
        <v>0</v>
      </c>
    </row>
    <row r="137" spans="1:8" x14ac:dyDescent="0.25">
      <c r="A137" s="1105" t="s">
        <v>690</v>
      </c>
      <c r="B137" s="1106"/>
      <c r="C137" s="724">
        <f>SUM(C138:C145)</f>
        <v>0</v>
      </c>
      <c r="D137" s="724">
        <f t="shared" ref="D137:H137" si="28">SUM(D138:D145)</f>
        <v>0</v>
      </c>
      <c r="E137" s="727">
        <f t="shared" si="28"/>
        <v>0</v>
      </c>
      <c r="F137" s="724">
        <f t="shared" si="28"/>
        <v>0</v>
      </c>
      <c r="G137" s="724">
        <f t="shared" si="28"/>
        <v>0</v>
      </c>
      <c r="H137" s="724">
        <f t="shared" si="28"/>
        <v>0</v>
      </c>
    </row>
    <row r="138" spans="1:8" x14ac:dyDescent="0.25">
      <c r="A138" s="867"/>
      <c r="B138" s="763" t="s">
        <v>691</v>
      </c>
      <c r="C138" s="726"/>
      <c r="D138" s="726"/>
      <c r="E138" s="727">
        <f t="shared" ref="E138:E145" si="29">C138+D138</f>
        <v>0</v>
      </c>
      <c r="F138" s="726"/>
      <c r="G138" s="726"/>
      <c r="H138" s="725">
        <f t="shared" si="17"/>
        <v>0</v>
      </c>
    </row>
    <row r="139" spans="1:8" x14ac:dyDescent="0.25">
      <c r="A139" s="867"/>
      <c r="B139" s="763" t="s">
        <v>692</v>
      </c>
      <c r="C139" s="726"/>
      <c r="D139" s="726"/>
      <c r="E139" s="727">
        <f t="shared" si="29"/>
        <v>0</v>
      </c>
      <c r="F139" s="726"/>
      <c r="G139" s="726"/>
      <c r="H139" s="725">
        <f t="shared" si="17"/>
        <v>0</v>
      </c>
    </row>
    <row r="140" spans="1:8" x14ac:dyDescent="0.25">
      <c r="A140" s="867"/>
      <c r="B140" s="763" t="s">
        <v>693</v>
      </c>
      <c r="C140" s="726"/>
      <c r="D140" s="726"/>
      <c r="E140" s="727">
        <f t="shared" si="29"/>
        <v>0</v>
      </c>
      <c r="F140" s="726"/>
      <c r="G140" s="726"/>
      <c r="H140" s="725">
        <f t="shared" si="17"/>
        <v>0</v>
      </c>
    </row>
    <row r="141" spans="1:8" x14ac:dyDescent="0.25">
      <c r="A141" s="867"/>
      <c r="B141" s="763" t="s">
        <v>694</v>
      </c>
      <c r="C141" s="726"/>
      <c r="D141" s="726"/>
      <c r="E141" s="727">
        <f t="shared" si="29"/>
        <v>0</v>
      </c>
      <c r="F141" s="726"/>
      <c r="G141" s="726"/>
      <c r="H141" s="725">
        <f t="shared" si="17"/>
        <v>0</v>
      </c>
    </row>
    <row r="142" spans="1:8" x14ac:dyDescent="0.25">
      <c r="A142" s="867"/>
      <c r="B142" s="763" t="s">
        <v>695</v>
      </c>
      <c r="C142" s="726"/>
      <c r="D142" s="726"/>
      <c r="E142" s="727">
        <f t="shared" si="29"/>
        <v>0</v>
      </c>
      <c r="F142" s="726"/>
      <c r="G142" s="726"/>
      <c r="H142" s="725">
        <f t="shared" si="17"/>
        <v>0</v>
      </c>
    </row>
    <row r="143" spans="1:8" ht="15.75" thickBot="1" x14ac:dyDescent="0.3">
      <c r="A143" s="762"/>
      <c r="B143" s="697" t="s">
        <v>696</v>
      </c>
      <c r="C143" s="740"/>
      <c r="D143" s="740"/>
      <c r="E143" s="741">
        <f t="shared" si="29"/>
        <v>0</v>
      </c>
      <c r="F143" s="740"/>
      <c r="G143" s="740"/>
      <c r="H143" s="742">
        <f t="shared" si="17"/>
        <v>0</v>
      </c>
    </row>
    <row r="144" spans="1:8" x14ac:dyDescent="0.25">
      <c r="A144" s="867"/>
      <c r="B144" s="763" t="s">
        <v>697</v>
      </c>
      <c r="C144" s="726"/>
      <c r="D144" s="726"/>
      <c r="E144" s="727">
        <f t="shared" si="29"/>
        <v>0</v>
      </c>
      <c r="F144" s="726"/>
      <c r="G144" s="726"/>
      <c r="H144" s="725">
        <f t="shared" si="17"/>
        <v>0</v>
      </c>
    </row>
    <row r="145" spans="1:9" x14ac:dyDescent="0.25">
      <c r="A145" s="867"/>
      <c r="B145" s="763" t="s">
        <v>698</v>
      </c>
      <c r="C145" s="726"/>
      <c r="D145" s="726"/>
      <c r="E145" s="727">
        <f t="shared" si="29"/>
        <v>0</v>
      </c>
      <c r="F145" s="726"/>
      <c r="G145" s="726"/>
      <c r="H145" s="725">
        <f t="shared" si="17"/>
        <v>0</v>
      </c>
    </row>
    <row r="146" spans="1:9" x14ac:dyDescent="0.25">
      <c r="A146" s="1105" t="s">
        <v>699</v>
      </c>
      <c r="B146" s="1106"/>
      <c r="C146" s="724">
        <f>SUM(C147:C149)</f>
        <v>0</v>
      </c>
      <c r="D146" s="724">
        <f t="shared" ref="D146:H146" si="30">SUM(D147:D149)</f>
        <v>0</v>
      </c>
      <c r="E146" s="727">
        <f t="shared" si="30"/>
        <v>0</v>
      </c>
      <c r="F146" s="724">
        <f t="shared" si="30"/>
        <v>0</v>
      </c>
      <c r="G146" s="724">
        <f t="shared" si="30"/>
        <v>0</v>
      </c>
      <c r="H146" s="724">
        <f t="shared" si="30"/>
        <v>0</v>
      </c>
    </row>
    <row r="147" spans="1:9" x14ac:dyDescent="0.25">
      <c r="A147" s="867"/>
      <c r="B147" s="763" t="s">
        <v>700</v>
      </c>
      <c r="C147" s="726"/>
      <c r="D147" s="726"/>
      <c r="E147" s="727">
        <f t="shared" ref="E147:E149" si="31">C147+D147</f>
        <v>0</v>
      </c>
      <c r="F147" s="726"/>
      <c r="G147" s="726"/>
      <c r="H147" s="725">
        <f t="shared" si="17"/>
        <v>0</v>
      </c>
    </row>
    <row r="148" spans="1:9" x14ac:dyDescent="0.25">
      <c r="A148" s="867"/>
      <c r="B148" s="763" t="s">
        <v>701</v>
      </c>
      <c r="C148" s="726"/>
      <c r="D148" s="726"/>
      <c r="E148" s="727">
        <f t="shared" si="31"/>
        <v>0</v>
      </c>
      <c r="F148" s="726"/>
      <c r="G148" s="726"/>
      <c r="H148" s="725">
        <f t="shared" si="17"/>
        <v>0</v>
      </c>
    </row>
    <row r="149" spans="1:9" x14ac:dyDescent="0.25">
      <c r="A149" s="867"/>
      <c r="B149" s="763" t="s">
        <v>702</v>
      </c>
      <c r="C149" s="726"/>
      <c r="D149" s="726"/>
      <c r="E149" s="727">
        <f t="shared" si="31"/>
        <v>0</v>
      </c>
      <c r="F149" s="726"/>
      <c r="G149" s="726"/>
      <c r="H149" s="725">
        <f t="shared" si="17"/>
        <v>0</v>
      </c>
    </row>
    <row r="150" spans="1:9" x14ac:dyDescent="0.25">
      <c r="A150" s="1105" t="s">
        <v>703</v>
      </c>
      <c r="B150" s="1106"/>
      <c r="C150" s="724">
        <f>SUM(C151:C157)</f>
        <v>0</v>
      </c>
      <c r="D150" s="724">
        <f t="shared" ref="D150:H150" si="32">SUM(D151:D157)</f>
        <v>0</v>
      </c>
      <c r="E150" s="727">
        <f t="shared" si="32"/>
        <v>0</v>
      </c>
      <c r="F150" s="724">
        <f t="shared" si="32"/>
        <v>0</v>
      </c>
      <c r="G150" s="724">
        <f t="shared" si="32"/>
        <v>0</v>
      </c>
      <c r="H150" s="724">
        <f t="shared" si="32"/>
        <v>0</v>
      </c>
    </row>
    <row r="151" spans="1:9" x14ac:dyDescent="0.25">
      <c r="A151" s="867"/>
      <c r="B151" s="763" t="s">
        <v>704</v>
      </c>
      <c r="C151" s="726"/>
      <c r="D151" s="726"/>
      <c r="E151" s="727">
        <f t="shared" ref="E151:E158" si="33">C151+D151</f>
        <v>0</v>
      </c>
      <c r="F151" s="726"/>
      <c r="G151" s="726"/>
      <c r="H151" s="725">
        <f t="shared" ref="H151:H157" si="34">+E151-F151</f>
        <v>0</v>
      </c>
    </row>
    <row r="152" spans="1:9" x14ac:dyDescent="0.25">
      <c r="A152" s="867"/>
      <c r="B152" s="763" t="s">
        <v>705</v>
      </c>
      <c r="C152" s="726"/>
      <c r="D152" s="726"/>
      <c r="E152" s="727">
        <f t="shared" si="33"/>
        <v>0</v>
      </c>
      <c r="F152" s="726"/>
      <c r="G152" s="726"/>
      <c r="H152" s="725">
        <f t="shared" si="34"/>
        <v>0</v>
      </c>
    </row>
    <row r="153" spans="1:9" x14ac:dyDescent="0.25">
      <c r="A153" s="867"/>
      <c r="B153" s="763" t="s">
        <v>706</v>
      </c>
      <c r="C153" s="726"/>
      <c r="D153" s="726"/>
      <c r="E153" s="727">
        <f t="shared" si="33"/>
        <v>0</v>
      </c>
      <c r="F153" s="726"/>
      <c r="G153" s="726"/>
      <c r="H153" s="725">
        <f t="shared" si="34"/>
        <v>0</v>
      </c>
    </row>
    <row r="154" spans="1:9" x14ac:dyDescent="0.25">
      <c r="A154" s="867"/>
      <c r="B154" s="763" t="s">
        <v>707</v>
      </c>
      <c r="C154" s="726"/>
      <c r="D154" s="726"/>
      <c r="E154" s="727">
        <f t="shared" si="33"/>
        <v>0</v>
      </c>
      <c r="F154" s="726"/>
      <c r="G154" s="726"/>
      <c r="H154" s="725">
        <f t="shared" si="34"/>
        <v>0</v>
      </c>
    </row>
    <row r="155" spans="1:9" x14ac:dyDescent="0.25">
      <c r="A155" s="867"/>
      <c r="B155" s="763" t="s">
        <v>708</v>
      </c>
      <c r="C155" s="726"/>
      <c r="D155" s="726"/>
      <c r="E155" s="727">
        <f t="shared" si="33"/>
        <v>0</v>
      </c>
      <c r="F155" s="726"/>
      <c r="G155" s="726"/>
      <c r="H155" s="725">
        <f t="shared" si="34"/>
        <v>0</v>
      </c>
      <c r="I155" s="522" t="str">
        <f>IF((C159-'ETCA II-04'!B81)&gt;0.9,"ERROR!!!!! EL MONTO NO COINCIDE CON LO REPORTADO EN EL FORMATO ETCA-II-04 EN EL TOTAL DEL GASTO","")</f>
        <v/>
      </c>
    </row>
    <row r="156" spans="1:9" x14ac:dyDescent="0.25">
      <c r="A156" s="867"/>
      <c r="B156" s="763" t="s">
        <v>709</v>
      </c>
      <c r="C156" s="726"/>
      <c r="D156" s="726"/>
      <c r="E156" s="727">
        <f t="shared" si="33"/>
        <v>0</v>
      </c>
      <c r="F156" s="726"/>
      <c r="G156" s="726"/>
      <c r="H156" s="725">
        <f t="shared" si="34"/>
        <v>0</v>
      </c>
      <c r="I156" s="522" t="str">
        <f>IF((D159-'ETCA II-04'!C81)&gt;0.9,"ERROR!!!!! EL MONTO NO COINCIDE CON LO REPORTADO EN EL FORMATO ETCA-II-04 EN EL TOTAL DEL GASTO","")</f>
        <v/>
      </c>
    </row>
    <row r="157" spans="1:9" x14ac:dyDescent="0.25">
      <c r="A157" s="867"/>
      <c r="B157" s="763" t="s">
        <v>710</v>
      </c>
      <c r="C157" s="726"/>
      <c r="D157" s="726"/>
      <c r="E157" s="727">
        <f t="shared" si="33"/>
        <v>0</v>
      </c>
      <c r="F157" s="726"/>
      <c r="G157" s="726"/>
      <c r="H157" s="725">
        <f t="shared" si="34"/>
        <v>0</v>
      </c>
      <c r="I157" s="522" t="str">
        <f>IF((E159-'ETCA II-04'!D81)&gt;0.9,"ERROR!!!!! EL MONTO NO COINCIDE CON LO REPORTADO EN EL FORMATO ETCA-II-04 EN EL TOTAL DEL GASTO","")</f>
        <v/>
      </c>
    </row>
    <row r="158" spans="1:9" x14ac:dyDescent="0.25">
      <c r="A158" s="867"/>
      <c r="B158" s="763"/>
      <c r="C158" s="724"/>
      <c r="D158" s="724"/>
      <c r="E158" s="727">
        <f t="shared" si="33"/>
        <v>0</v>
      </c>
      <c r="F158" s="724"/>
      <c r="G158" s="724"/>
      <c r="H158" s="725"/>
      <c r="I158" s="522" t="str">
        <f>IF((H159-'ETCA II-04'!G81)&gt;0.9,"ERROR!!!!! EL MONTO NO COINCIDE CON LO REPORTADO EN EL FORMATO ETCA-II-04 EN EL TOTAL DEL GASTO","")</f>
        <v/>
      </c>
    </row>
    <row r="159" spans="1:9" x14ac:dyDescent="0.25">
      <c r="A159" s="1103" t="s">
        <v>712</v>
      </c>
      <c r="B159" s="1104"/>
      <c r="C159" s="723">
        <f>+C10+C84</f>
        <v>431991645.12</v>
      </c>
      <c r="D159" s="723">
        <f t="shared" ref="D159:H159" si="35">+D10+D84</f>
        <v>261387538.47</v>
      </c>
      <c r="E159" s="728">
        <f t="shared" si="35"/>
        <v>693379183.58999991</v>
      </c>
      <c r="F159" s="723">
        <f t="shared" si="35"/>
        <v>221644805.09999999</v>
      </c>
      <c r="G159" s="723">
        <f t="shared" si="35"/>
        <v>221644805.09999999</v>
      </c>
      <c r="H159" s="723">
        <f t="shared" si="35"/>
        <v>471734378.48999995</v>
      </c>
      <c r="I159" s="522" t="str">
        <f>IF((F159-'ETCA II-04'!E81)&gt;0.9,"ERROR!!!!! EL MONTO NO COINCIDE CON LO REPORTADO EN EL FORMATO ETCA-II-04 EN EL TOTAL DEL GASTO","")</f>
        <v/>
      </c>
    </row>
    <row r="160" spans="1:9" ht="15.75" thickBot="1" x14ac:dyDescent="0.3">
      <c r="A160" s="762"/>
      <c r="B160" s="697"/>
      <c r="C160" s="698"/>
      <c r="D160" s="698"/>
      <c r="E160" s="698"/>
      <c r="F160" s="698"/>
      <c r="G160" s="698"/>
      <c r="H160" s="699"/>
      <c r="I160" s="522" t="str">
        <f>IF((G159-'ETCA II-04'!F81)&gt;0.9,"ERROR!!!!! EL MONTO NO COINCIDE CON LO REPORTADO EN EL FORMATO ETCA-II-04 EN EL TOTAL DEL GASTO","")</f>
        <v/>
      </c>
    </row>
  </sheetData>
  <sheetProtection password="C2D5" sheet="1" objects="1" scenarios="1" formatColumns="0" formatRows="0"/>
  <mergeCells count="30">
    <mergeCell ref="A6:H6"/>
    <mergeCell ref="A1:H1"/>
    <mergeCell ref="A2:H2"/>
    <mergeCell ref="A3:H3"/>
    <mergeCell ref="A4:H4"/>
    <mergeCell ref="A5:H5"/>
    <mergeCell ref="A72:B72"/>
    <mergeCell ref="A7:B8"/>
    <mergeCell ref="C7:G7"/>
    <mergeCell ref="H7:H8"/>
    <mergeCell ref="A10:B10"/>
    <mergeCell ref="A11:B11"/>
    <mergeCell ref="A19:B19"/>
    <mergeCell ref="A29:B29"/>
    <mergeCell ref="A39:B39"/>
    <mergeCell ref="A49:B49"/>
    <mergeCell ref="A59:B59"/>
    <mergeCell ref="A63:B63"/>
    <mergeCell ref="A159:B159"/>
    <mergeCell ref="A76:B76"/>
    <mergeCell ref="A84:B84"/>
    <mergeCell ref="A85:B85"/>
    <mergeCell ref="A93:B93"/>
    <mergeCell ref="A103:B103"/>
    <mergeCell ref="A113:B113"/>
    <mergeCell ref="A123:B123"/>
    <mergeCell ref="A133:B133"/>
    <mergeCell ref="A137:B137"/>
    <mergeCell ref="A146:B146"/>
    <mergeCell ref="A150:B150"/>
  </mergeCells>
  <pageMargins left="0.70866141732283472" right="0.70866141732283472" top="0.74803149606299213" bottom="0.74803149606299213" header="0.31496062992125984" footer="0.31496062992125984"/>
  <pageSetup scale="90" orientation="landscape"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0"/>
  <sheetViews>
    <sheetView view="pageBreakPreview" zoomScaleNormal="100" zoomScaleSheetLayoutView="100" workbookViewId="0">
      <selection activeCell="E9" sqref="E9:F10"/>
    </sheetView>
  </sheetViews>
  <sheetFormatPr baseColWidth="10" defaultColWidth="11.28515625" defaultRowHeight="16.5" x14ac:dyDescent="0.25"/>
  <cols>
    <col min="1" max="1" width="36.7109375" style="280" customWidth="1"/>
    <col min="2" max="2" width="13.7109375" style="280" customWidth="1"/>
    <col min="3" max="3" width="12" style="280" customWidth="1"/>
    <col min="4" max="4" width="13" style="280" customWidth="1"/>
    <col min="5" max="5" width="13.7109375" style="280" customWidth="1"/>
    <col min="6" max="6" width="15.7109375" style="280" customWidth="1"/>
    <col min="7" max="7" width="12.140625" style="280" customWidth="1"/>
    <col min="8" max="16384" width="11.28515625" style="280"/>
  </cols>
  <sheetData>
    <row r="1" spans="1:8" x14ac:dyDescent="0.25">
      <c r="A1" s="983" t="s">
        <v>25</v>
      </c>
      <c r="B1" s="983"/>
      <c r="C1" s="983"/>
      <c r="D1" s="983"/>
      <c r="E1" s="983"/>
      <c r="F1" s="983"/>
      <c r="G1" s="983"/>
    </row>
    <row r="2" spans="1:8" s="281" customFormat="1" ht="15.75" x14ac:dyDescent="0.25">
      <c r="A2" s="983" t="s">
        <v>568</v>
      </c>
      <c r="B2" s="983"/>
      <c r="C2" s="983"/>
      <c r="D2" s="983"/>
      <c r="E2" s="983"/>
      <c r="F2" s="983"/>
      <c r="G2" s="983"/>
    </row>
    <row r="3" spans="1:8" s="281" customFormat="1" ht="15.75" x14ac:dyDescent="0.25">
      <c r="A3" s="983" t="s">
        <v>713</v>
      </c>
      <c r="B3" s="983"/>
      <c r="C3" s="983"/>
      <c r="D3" s="983"/>
      <c r="E3" s="983"/>
      <c r="F3" s="983"/>
      <c r="G3" s="983"/>
    </row>
    <row r="4" spans="1:8" s="281" customFormat="1" ht="15.75" x14ac:dyDescent="0.25">
      <c r="A4" s="984" t="str">
        <f>'ETCA-I-01'!A3:G3</f>
        <v>Consejo Estatal de Concertacion para la Obra Publica</v>
      </c>
      <c r="B4" s="984"/>
      <c r="C4" s="984"/>
      <c r="D4" s="984"/>
      <c r="E4" s="984"/>
      <c r="F4" s="984"/>
      <c r="G4" s="984"/>
    </row>
    <row r="5" spans="1:8" s="281" customFormat="1" x14ac:dyDescent="0.25">
      <c r="A5" s="985" t="str">
        <f>'ETCA-I-03'!A4:D4</f>
        <v>Del 01 de Enero  al 30 de Septiembre de 2017</v>
      </c>
      <c r="B5" s="985"/>
      <c r="C5" s="985"/>
      <c r="D5" s="985"/>
      <c r="E5" s="985"/>
      <c r="F5" s="985"/>
      <c r="G5" s="985"/>
    </row>
    <row r="6" spans="1:8" s="282" customFormat="1" ht="17.25" thickBot="1" x14ac:dyDescent="0.3">
      <c r="A6" s="1102" t="s">
        <v>714</v>
      </c>
      <c r="B6" s="1102"/>
      <c r="C6" s="1102"/>
      <c r="D6" s="1102"/>
      <c r="E6" s="1102"/>
      <c r="F6" s="160"/>
      <c r="G6" s="802"/>
    </row>
    <row r="7" spans="1:8" s="283" customFormat="1" ht="38.25" x14ac:dyDescent="0.25">
      <c r="A7" s="1047" t="s">
        <v>261</v>
      </c>
      <c r="B7" s="195" t="s">
        <v>572</v>
      </c>
      <c r="C7" s="195" t="s">
        <v>482</v>
      </c>
      <c r="D7" s="195" t="s">
        <v>573</v>
      </c>
      <c r="E7" s="196" t="s">
        <v>574</v>
      </c>
      <c r="F7" s="196" t="s">
        <v>575</v>
      </c>
      <c r="G7" s="197" t="s">
        <v>576</v>
      </c>
    </row>
    <row r="8" spans="1:8" s="284" customFormat="1" ht="15.75" customHeight="1" thickBot="1" x14ac:dyDescent="0.3">
      <c r="A8" s="1049"/>
      <c r="B8" s="199" t="s">
        <v>447</v>
      </c>
      <c r="C8" s="199" t="s">
        <v>448</v>
      </c>
      <c r="D8" s="199" t="s">
        <v>577</v>
      </c>
      <c r="E8" s="199" t="s">
        <v>450</v>
      </c>
      <c r="F8" s="199" t="s">
        <v>451</v>
      </c>
      <c r="G8" s="201" t="s">
        <v>578</v>
      </c>
    </row>
    <row r="9" spans="1:8" ht="21.75" customHeight="1" x14ac:dyDescent="0.25">
      <c r="A9" s="289" t="s">
        <v>715</v>
      </c>
      <c r="B9" s="468">
        <v>26059810</v>
      </c>
      <c r="C9" s="468">
        <v>2516497.27</v>
      </c>
      <c r="D9" s="469">
        <f>C9+B9</f>
        <v>28576307.27</v>
      </c>
      <c r="E9" s="468">
        <v>19159593.529999997</v>
      </c>
      <c r="F9" s="468">
        <v>19159593.529999997</v>
      </c>
      <c r="G9" s="470">
        <f>D9-E9</f>
        <v>9416713.7400000021</v>
      </c>
    </row>
    <row r="10" spans="1:8" ht="22.5" customHeight="1" x14ac:dyDescent="0.25">
      <c r="A10" s="289" t="s">
        <v>716</v>
      </c>
      <c r="B10" s="468">
        <v>405931835.12</v>
      </c>
      <c r="C10" s="468">
        <v>258871041.19999999</v>
      </c>
      <c r="D10" s="469">
        <f>C10+B10</f>
        <v>664802876.31999993</v>
      </c>
      <c r="E10" s="468">
        <v>202485211.56999999</v>
      </c>
      <c r="F10" s="468">
        <v>202485211.56999999</v>
      </c>
      <c r="G10" s="470">
        <f>D10-E10</f>
        <v>462317664.74999994</v>
      </c>
    </row>
    <row r="11" spans="1:8" ht="22.5" customHeight="1" x14ac:dyDescent="0.25">
      <c r="A11" s="289" t="s">
        <v>717</v>
      </c>
      <c r="B11" s="468"/>
      <c r="C11" s="468"/>
      <c r="D11" s="469">
        <f>C11+B11</f>
        <v>0</v>
      </c>
      <c r="E11" s="468"/>
      <c r="F11" s="468"/>
      <c r="G11" s="470">
        <f>D11-E11</f>
        <v>0</v>
      </c>
    </row>
    <row r="12" spans="1:8" ht="23.25" customHeight="1" x14ac:dyDescent="0.25">
      <c r="A12" s="289" t="s">
        <v>232</v>
      </c>
      <c r="B12" s="468"/>
      <c r="C12" s="468"/>
      <c r="D12" s="469">
        <f>C12+B12</f>
        <v>0</v>
      </c>
      <c r="E12" s="468"/>
      <c r="F12" s="468"/>
      <c r="G12" s="470">
        <f>D12-E12</f>
        <v>0</v>
      </c>
    </row>
    <row r="13" spans="1:8" ht="22.5" customHeight="1" x14ac:dyDescent="0.25">
      <c r="A13" s="289" t="s">
        <v>238</v>
      </c>
      <c r="B13" s="468"/>
      <c r="C13" s="468"/>
      <c r="D13" s="469">
        <f>C13+B13</f>
        <v>0</v>
      </c>
      <c r="E13" s="468"/>
      <c r="F13" s="468"/>
      <c r="G13" s="470">
        <f>D13-E13</f>
        <v>0</v>
      </c>
    </row>
    <row r="14" spans="1:8" ht="10.5" customHeight="1" thickBot="1" x14ac:dyDescent="0.3">
      <c r="A14" s="290"/>
      <c r="B14" s="529"/>
      <c r="C14" s="529"/>
      <c r="D14" s="530"/>
      <c r="E14" s="529"/>
      <c r="F14" s="529"/>
      <c r="G14" s="531"/>
    </row>
    <row r="15" spans="1:8" ht="16.5" customHeight="1" thickBot="1" x14ac:dyDescent="0.3">
      <c r="A15" s="815" t="s">
        <v>628</v>
      </c>
      <c r="B15" s="532">
        <f>SUM(B9:B14)</f>
        <v>431991645.12</v>
      </c>
      <c r="C15" s="532">
        <f>SUM(C9:C14)</f>
        <v>261387538.47</v>
      </c>
      <c r="D15" s="533">
        <f>C15+B15</f>
        <v>693379183.59000003</v>
      </c>
      <c r="E15" s="532">
        <f>SUM(E9:E14)</f>
        <v>221644805.09999999</v>
      </c>
      <c r="F15" s="532">
        <f>SUM(F9:F14)</f>
        <v>221644805.09999999</v>
      </c>
      <c r="G15" s="534">
        <f>D15-E15</f>
        <v>471734378.49000001</v>
      </c>
      <c r="H15" s="522" t="str">
        <f>IF((B15-'ETCA II-04'!B81)&gt;0.9,"ERROR!!!!! EL MONTO NO COINCIDE CON LO REPORTADO EN EL FORMATO ETCA-II-04 EN EL TOTAL APROBADO ANUAL DEL ANALÍTICO DE EGRESOS","")</f>
        <v/>
      </c>
    </row>
    <row r="16" spans="1:8" ht="16.5" customHeight="1" x14ac:dyDescent="0.25">
      <c r="A16" s="504"/>
      <c r="B16" s="611"/>
      <c r="C16" s="611"/>
      <c r="D16" s="612"/>
      <c r="E16" s="611"/>
      <c r="F16" s="611"/>
      <c r="G16" s="611"/>
      <c r="H16" s="522"/>
    </row>
    <row r="17" spans="1:8" ht="16.5" customHeight="1" x14ac:dyDescent="0.25">
      <c r="A17" s="504"/>
      <c r="B17" s="611"/>
      <c r="C17" s="611"/>
      <c r="D17" s="612"/>
      <c r="E17" s="611"/>
      <c r="F17" s="611"/>
      <c r="G17" s="611"/>
      <c r="H17" s="522"/>
    </row>
    <row r="18" spans="1:8" ht="16.5" customHeight="1" x14ac:dyDescent="0.25">
      <c r="A18" s="504"/>
      <c r="B18" s="611"/>
      <c r="C18" s="611"/>
      <c r="D18" s="612"/>
      <c r="E18" s="611"/>
      <c r="F18" s="611"/>
      <c r="G18" s="611"/>
      <c r="H18" s="522"/>
    </row>
    <row r="19" spans="1:8" ht="16.5" customHeight="1" x14ac:dyDescent="0.25">
      <c r="A19" s="504"/>
      <c r="B19" s="611"/>
      <c r="C19" s="611"/>
      <c r="D19" s="612"/>
      <c r="E19" s="611"/>
      <c r="F19" s="611"/>
      <c r="G19" s="611"/>
      <c r="H19" s="522"/>
    </row>
    <row r="20" spans="1:8" ht="16.5" customHeight="1" x14ac:dyDescent="0.25">
      <c r="A20" s="504"/>
      <c r="B20" s="611"/>
      <c r="C20" s="611"/>
      <c r="D20" s="612"/>
      <c r="E20" s="611"/>
      <c r="F20" s="611"/>
      <c r="G20" s="611"/>
      <c r="H20" s="522"/>
    </row>
    <row r="21" spans="1:8" ht="16.5" customHeight="1" x14ac:dyDescent="0.25">
      <c r="A21" s="504"/>
      <c r="B21" s="611"/>
      <c r="C21" s="611"/>
      <c r="D21" s="612"/>
      <c r="E21" s="611"/>
      <c r="F21" s="611"/>
      <c r="G21" s="611"/>
      <c r="H21" s="522"/>
    </row>
    <row r="22" spans="1:8" ht="16.5" customHeight="1" x14ac:dyDescent="0.25">
      <c r="A22" s="504"/>
      <c r="B22" s="611"/>
      <c r="C22" s="611"/>
      <c r="D22" s="612"/>
      <c r="E22" s="611"/>
      <c r="F22" s="611"/>
      <c r="G22" s="611"/>
      <c r="H22" s="522"/>
    </row>
    <row r="23" spans="1:8" ht="16.5" customHeight="1" x14ac:dyDescent="0.25">
      <c r="A23" s="504"/>
      <c r="B23" s="611"/>
      <c r="C23" s="611"/>
      <c r="D23" s="612"/>
      <c r="E23" s="611"/>
      <c r="F23" s="611"/>
      <c r="G23" s="611"/>
      <c r="H23" s="522"/>
    </row>
    <row r="24" spans="1:8" ht="16.5" customHeight="1" x14ac:dyDescent="0.25">
      <c r="A24" s="504"/>
      <c r="B24" s="611"/>
      <c r="C24" s="611"/>
      <c r="D24" s="612"/>
      <c r="E24" s="611"/>
      <c r="F24" s="611"/>
      <c r="G24" s="611"/>
      <c r="H24" s="522"/>
    </row>
    <row r="25" spans="1:8" ht="16.5" customHeight="1" x14ac:dyDescent="0.25">
      <c r="A25" s="504"/>
      <c r="B25" s="611"/>
      <c r="C25" s="611"/>
      <c r="D25" s="612"/>
      <c r="E25" s="611"/>
      <c r="F25" s="611"/>
      <c r="G25" s="611"/>
      <c r="H25" s="522"/>
    </row>
    <row r="26" spans="1:8" ht="18.75" customHeight="1" x14ac:dyDescent="0.25">
      <c r="H26" s="522" t="str">
        <f>IF(C15&lt;&gt;'ETCA II-04'!C81,"ERROR!!!!! EL MONTO NO COINCIDE CON LO REPORTADO EN EL FORMATO ETCA-II-11 EN EL TOTAL DE AMPLIACIONES/REDUCCIONES DEL ANALÍTICO DE EGRESOS","")</f>
        <v/>
      </c>
    </row>
    <row r="27" spans="1:8" s="286" customFormat="1" ht="15.75" x14ac:dyDescent="0.25">
      <c r="A27" s="1128" t="s">
        <v>718</v>
      </c>
      <c r="B27" s="1128"/>
      <c r="C27" s="1128"/>
      <c r="D27" s="1128"/>
      <c r="E27" s="1128"/>
      <c r="F27" s="1128"/>
      <c r="G27" s="285"/>
      <c r="H27" s="522" t="str">
        <f>IF(D15&lt;&gt;'ETCA II-04'!D81,"ERROR!!!!! EL MONTO NO COINCIDE CON LO REPORTADO EN EL FORMATO ETCA-II-11 EN EL TOTAL MODIFICADO ANUAL DEL ANALÍTICO DE EGRESOS","")</f>
        <v/>
      </c>
    </row>
    <row r="28" spans="1:8" s="286" customFormat="1" ht="13.5" x14ac:dyDescent="0.25">
      <c r="A28" s="287" t="s">
        <v>719</v>
      </c>
      <c r="B28" s="285"/>
      <c r="C28" s="285"/>
      <c r="D28" s="285"/>
      <c r="E28" s="285"/>
      <c r="F28" s="285"/>
      <c r="G28" s="285"/>
      <c r="H28" s="522" t="str">
        <f>IF(E15&lt;&gt;'ETCA II-04'!D81,"ERROR!!!!! EL MONTO NO COINCIDE CON LO REPORTADO EN EL FORMATO ETCA-II-11 EN EL TOTAL DEVENGADO ANUAL DEL ANALÍTICO DE EGRESOS","")</f>
        <v>ERROR!!!!! EL MONTO NO COINCIDE CON LO REPORTADO EN EL FORMATO ETCA-II-11 EN EL TOTAL DEVENGADO ANUAL DEL ANALÍTICO DE EGRESOS</v>
      </c>
    </row>
    <row r="29" spans="1:8" s="286" customFormat="1" ht="28.5" customHeight="1" x14ac:dyDescent="0.25">
      <c r="A29" s="1127" t="s">
        <v>720</v>
      </c>
      <c r="B29" s="1127"/>
      <c r="C29" s="1127"/>
      <c r="D29" s="1127"/>
      <c r="E29" s="1127"/>
      <c r="F29" s="1127"/>
      <c r="G29" s="1127"/>
      <c r="H29" s="522" t="str">
        <f>IF(F15&lt;&gt;'ETCA II-04'!F81,"ERROR!!!!! EL MONTO NO COINCIDE CON LO REPORTADO EN EL FORMATO ETCA-II-11 EN EL TOTAL PAGADO ANUAL DEL ANALÍTICO DE EGRESOS","")</f>
        <v/>
      </c>
    </row>
    <row r="30" spans="1:8" s="286" customFormat="1" ht="13.5" x14ac:dyDescent="0.25">
      <c r="A30" s="287" t="s">
        <v>721</v>
      </c>
      <c r="B30" s="285"/>
      <c r="C30" s="285"/>
      <c r="D30" s="285"/>
      <c r="E30" s="285"/>
      <c r="F30" s="285"/>
      <c r="G30" s="285"/>
      <c r="H30" s="522" t="str">
        <f>IF(G15&lt;&gt;'ETCA II-04'!G81,"ERROR!!!!! EL MONTO NO COINCIDE CON LO REPORTADO EN EL FORMATO ETCA-II-11 EN EL TOTAL DEL SUBEJERCICIO DEL ANALÍTICO DE EGRESOS","")</f>
        <v/>
      </c>
    </row>
    <row r="31" spans="1:8" s="286" customFormat="1" ht="25.5" customHeight="1" x14ac:dyDescent="0.25">
      <c r="A31" s="1127" t="s">
        <v>722</v>
      </c>
      <c r="B31" s="1127"/>
      <c r="C31" s="1127"/>
      <c r="D31" s="1127"/>
      <c r="E31" s="1127"/>
      <c r="F31" s="1127"/>
      <c r="G31" s="1127"/>
    </row>
    <row r="32" spans="1:8" s="286" customFormat="1" ht="13.5" x14ac:dyDescent="0.25">
      <c r="A32" s="1129" t="s">
        <v>723</v>
      </c>
      <c r="B32" s="1129"/>
      <c r="C32" s="1129"/>
      <c r="D32" s="1129"/>
      <c r="E32" s="285"/>
      <c r="F32" s="285"/>
      <c r="G32" s="285"/>
    </row>
    <row r="33" spans="1:7" s="286" customFormat="1" ht="13.5" customHeight="1" x14ac:dyDescent="0.25">
      <c r="A33" s="1127" t="s">
        <v>724</v>
      </c>
      <c r="B33" s="1127"/>
      <c r="C33" s="1127"/>
      <c r="D33" s="1127"/>
      <c r="E33" s="1127"/>
      <c r="F33" s="1127"/>
      <c r="G33" s="1127"/>
    </row>
    <row r="34" spans="1:7" s="286" customFormat="1" ht="13.5" x14ac:dyDescent="0.25">
      <c r="A34" s="287" t="s">
        <v>725</v>
      </c>
      <c r="B34" s="285"/>
      <c r="C34" s="285"/>
      <c r="D34" s="285"/>
      <c r="E34" s="285"/>
      <c r="F34" s="285"/>
      <c r="G34" s="285"/>
    </row>
    <row r="35" spans="1:7" s="286" customFormat="1" ht="13.5" customHeight="1" x14ac:dyDescent="0.25">
      <c r="A35" s="1127" t="s">
        <v>726</v>
      </c>
      <c r="B35" s="1127"/>
      <c r="C35" s="1127"/>
      <c r="D35" s="1127"/>
      <c r="E35" s="1127"/>
      <c r="F35" s="1127"/>
      <c r="G35" s="1127"/>
    </row>
    <row r="36" spans="1:7" s="286" customFormat="1" ht="13.5" x14ac:dyDescent="0.25">
      <c r="A36" s="288" t="s">
        <v>727</v>
      </c>
      <c r="B36" s="285"/>
      <c r="C36" s="285"/>
      <c r="D36" s="285"/>
      <c r="E36" s="285"/>
      <c r="F36" s="285"/>
      <c r="G36" s="285"/>
    </row>
    <row r="37" spans="1:7" s="286" customFormat="1" ht="13.5" x14ac:dyDescent="0.25">
      <c r="A37" s="287" t="s">
        <v>728</v>
      </c>
      <c r="B37" s="285"/>
      <c r="C37" s="285"/>
      <c r="D37" s="285"/>
      <c r="E37" s="285"/>
      <c r="F37" s="285"/>
      <c r="G37" s="285"/>
    </row>
    <row r="38" spans="1:7" s="286" customFormat="1" ht="13.5" customHeight="1" x14ac:dyDescent="0.25">
      <c r="A38" s="1127" t="s">
        <v>729</v>
      </c>
      <c r="B38" s="1127"/>
      <c r="C38" s="1127"/>
      <c r="D38" s="1127"/>
      <c r="E38" s="1127"/>
      <c r="F38" s="1127"/>
      <c r="G38" s="1127"/>
    </row>
    <row r="39" spans="1:7" s="286" customFormat="1" ht="13.5" x14ac:dyDescent="0.25">
      <c r="A39" s="288" t="s">
        <v>727</v>
      </c>
      <c r="B39" s="285"/>
      <c r="C39" s="285"/>
      <c r="D39" s="285"/>
      <c r="E39" s="285"/>
      <c r="F39" s="285"/>
      <c r="G39" s="285"/>
    </row>
    <row r="40" spans="1:7" ht="8.25" customHeight="1" x14ac:dyDescent="0.25"/>
  </sheetData>
  <sheetProtection password="C115" sheet="1" scenarios="1" formatColumns="0" formatRows="0" insertHyperlinks="0"/>
  <mergeCells count="14">
    <mergeCell ref="A35:G35"/>
    <mergeCell ref="A38:G38"/>
    <mergeCell ref="A27:F27"/>
    <mergeCell ref="A29:G29"/>
    <mergeCell ref="A31:G31"/>
    <mergeCell ref="A32:D32"/>
    <mergeCell ref="A33:G33"/>
    <mergeCell ref="A7:A8"/>
    <mergeCell ref="A1:G1"/>
    <mergeCell ref="A2:G2"/>
    <mergeCell ref="A3:G3"/>
    <mergeCell ref="A4:G4"/>
    <mergeCell ref="A5:G5"/>
    <mergeCell ref="A6:E6"/>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pageSetUpPr fitToPage="1"/>
  </sheetPr>
  <dimension ref="A1:H61"/>
  <sheetViews>
    <sheetView view="pageBreakPreview" zoomScaleNormal="100" zoomScaleSheetLayoutView="100" workbookViewId="0">
      <selection activeCell="C10" sqref="C10"/>
    </sheetView>
  </sheetViews>
  <sheetFormatPr baseColWidth="10" defaultColWidth="11.28515625" defaultRowHeight="16.5" x14ac:dyDescent="0.3"/>
  <cols>
    <col min="1" max="1" width="51.140625" style="41" customWidth="1"/>
    <col min="2" max="2" width="16" style="41" customWidth="1"/>
    <col min="3" max="3" width="15.7109375" style="41" customWidth="1"/>
    <col min="4" max="4" width="38.7109375" style="41" customWidth="1"/>
    <col min="5" max="5" width="10.28515625" style="41" customWidth="1"/>
    <col min="6" max="6" width="15.28515625" style="41" bestFit="1" customWidth="1"/>
    <col min="7" max="7" width="15.7109375" style="41" customWidth="1"/>
    <col min="8" max="8" width="164.28515625" style="41" customWidth="1"/>
    <col min="9" max="16384" width="11.28515625" style="41"/>
  </cols>
  <sheetData>
    <row r="1" spans="1:7" x14ac:dyDescent="0.3">
      <c r="A1" s="965" t="s">
        <v>25</v>
      </c>
      <c r="B1" s="965"/>
      <c r="C1" s="965"/>
      <c r="D1" s="965"/>
      <c r="E1" s="965"/>
      <c r="F1" s="965"/>
      <c r="G1" s="965"/>
    </row>
    <row r="2" spans="1:7" x14ac:dyDescent="0.3">
      <c r="A2" s="966" t="s">
        <v>26</v>
      </c>
      <c r="B2" s="966"/>
      <c r="C2" s="966"/>
      <c r="D2" s="966"/>
      <c r="E2" s="966"/>
      <c r="F2" s="966"/>
      <c r="G2" s="966"/>
    </row>
    <row r="3" spans="1:7" x14ac:dyDescent="0.3">
      <c r="A3" s="966" t="s">
        <v>1061</v>
      </c>
      <c r="B3" s="966"/>
      <c r="C3" s="966"/>
      <c r="D3" s="966"/>
      <c r="E3" s="966"/>
      <c r="F3" s="966"/>
      <c r="G3" s="966"/>
    </row>
    <row r="4" spans="1:7" x14ac:dyDescent="0.3">
      <c r="A4" s="967" t="s">
        <v>1062</v>
      </c>
      <c r="B4" s="967"/>
      <c r="C4" s="967"/>
      <c r="D4" s="967"/>
      <c r="E4" s="967"/>
      <c r="F4" s="967"/>
      <c r="G4" s="967"/>
    </row>
    <row r="5" spans="1:7" ht="17.25" thickBot="1" x14ac:dyDescent="0.35">
      <c r="A5" s="969" t="s">
        <v>27</v>
      </c>
      <c r="B5" s="969"/>
      <c r="C5" s="969"/>
      <c r="D5" s="969"/>
      <c r="E5" s="90"/>
      <c r="F5" s="964"/>
      <c r="G5" s="964"/>
    </row>
    <row r="6" spans="1:7" ht="24" customHeight="1" thickBot="1" x14ac:dyDescent="0.35">
      <c r="A6" s="89" t="s">
        <v>28</v>
      </c>
      <c r="B6" s="876">
        <v>2017</v>
      </c>
      <c r="C6" s="876">
        <v>2016</v>
      </c>
      <c r="D6" s="113" t="s">
        <v>29</v>
      </c>
      <c r="E6" s="113"/>
      <c r="F6" s="876">
        <v>2017</v>
      </c>
      <c r="G6" s="877">
        <v>2016</v>
      </c>
    </row>
    <row r="7" spans="1:7" ht="17.25" thickTop="1" x14ac:dyDescent="0.3">
      <c r="A7" s="46"/>
      <c r="B7" s="47"/>
      <c r="C7" s="47"/>
      <c r="D7" s="47"/>
      <c r="E7" s="47"/>
      <c r="F7" s="47"/>
      <c r="G7" s="48"/>
    </row>
    <row r="8" spans="1:7" x14ac:dyDescent="0.3">
      <c r="A8" s="49" t="s">
        <v>30</v>
      </c>
      <c r="B8" s="50"/>
      <c r="C8" s="50"/>
      <c r="D8" s="52" t="s">
        <v>31</v>
      </c>
      <c r="E8" s="52"/>
      <c r="F8" s="50"/>
      <c r="G8" s="53"/>
    </row>
    <row r="9" spans="1:7" x14ac:dyDescent="0.3">
      <c r="A9" s="54" t="s">
        <v>32</v>
      </c>
      <c r="B9" s="55">
        <v>168500674.05000001</v>
      </c>
      <c r="C9" s="55">
        <v>109329311.7</v>
      </c>
      <c r="D9" s="968" t="s">
        <v>33</v>
      </c>
      <c r="E9" s="968"/>
      <c r="F9" s="55">
        <v>12623054.33</v>
      </c>
      <c r="G9" s="55">
        <v>73854041.169999987</v>
      </c>
    </row>
    <row r="10" spans="1:7" x14ac:dyDescent="0.3">
      <c r="A10" s="54" t="s">
        <v>34</v>
      </c>
      <c r="B10" s="55">
        <v>497719.2</v>
      </c>
      <c r="C10" s="55">
        <v>520682.20999999996</v>
      </c>
      <c r="D10" s="968" t="s">
        <v>35</v>
      </c>
      <c r="E10" s="968"/>
      <c r="F10" s="55">
        <v>0</v>
      </c>
      <c r="G10" s="55">
        <v>0</v>
      </c>
    </row>
    <row r="11" spans="1:7" x14ac:dyDescent="0.3">
      <c r="A11" s="54" t="s">
        <v>36</v>
      </c>
      <c r="B11" s="55">
        <v>41984815.640000001</v>
      </c>
      <c r="C11" s="55">
        <v>29263097.66</v>
      </c>
      <c r="D11" s="968" t="s">
        <v>37</v>
      </c>
      <c r="E11" s="968"/>
      <c r="F11" s="55">
        <v>0</v>
      </c>
      <c r="G11" s="55">
        <v>0</v>
      </c>
    </row>
    <row r="12" spans="1:7" x14ac:dyDescent="0.3">
      <c r="A12" s="54" t="s">
        <v>38</v>
      </c>
      <c r="B12" s="55">
        <v>0</v>
      </c>
      <c r="C12" s="55">
        <v>0</v>
      </c>
      <c r="D12" s="968" t="s">
        <v>39</v>
      </c>
      <c r="E12" s="968"/>
      <c r="F12" s="55">
        <v>0</v>
      </c>
      <c r="G12" s="55">
        <v>0</v>
      </c>
    </row>
    <row r="13" spans="1:7" x14ac:dyDescent="0.3">
      <c r="A13" s="54" t="s">
        <v>40</v>
      </c>
      <c r="B13" s="55">
        <v>0</v>
      </c>
      <c r="C13" s="55">
        <v>0</v>
      </c>
      <c r="D13" s="968" t="s">
        <v>41</v>
      </c>
      <c r="E13" s="968"/>
      <c r="F13" s="55">
        <v>0</v>
      </c>
      <c r="G13" s="55">
        <v>0</v>
      </c>
    </row>
    <row r="14" spans="1:7" ht="33" customHeight="1" x14ac:dyDescent="0.3">
      <c r="A14" s="536" t="s">
        <v>42</v>
      </c>
      <c r="B14" s="55">
        <v>0</v>
      </c>
      <c r="C14" s="55">
        <v>0</v>
      </c>
      <c r="D14" s="968" t="s">
        <v>43</v>
      </c>
      <c r="E14" s="968"/>
      <c r="F14" s="55">
        <v>0</v>
      </c>
      <c r="G14" s="55">
        <v>0</v>
      </c>
    </row>
    <row r="15" spans="1:7" x14ac:dyDescent="0.3">
      <c r="A15" s="54" t="s">
        <v>44</v>
      </c>
      <c r="B15" s="55">
        <v>0</v>
      </c>
      <c r="C15" s="55">
        <v>0</v>
      </c>
      <c r="D15" s="968" t="s">
        <v>45</v>
      </c>
      <c r="E15" s="968"/>
      <c r="F15" s="55">
        <v>0</v>
      </c>
      <c r="G15" s="55">
        <v>0</v>
      </c>
    </row>
    <row r="16" spans="1:7" x14ac:dyDescent="0.3">
      <c r="A16" s="59"/>
      <c r="B16" s="55"/>
      <c r="C16" s="55"/>
      <c r="D16" s="968" t="s">
        <v>46</v>
      </c>
      <c r="E16" s="968"/>
      <c r="F16" s="55">
        <v>859033.65</v>
      </c>
      <c r="G16" s="55">
        <v>54222.74</v>
      </c>
    </row>
    <row r="17" spans="1:7" x14ac:dyDescent="0.3">
      <c r="A17" s="59"/>
      <c r="B17" s="60"/>
      <c r="C17" s="60"/>
      <c r="D17" s="51"/>
      <c r="E17" s="51"/>
      <c r="F17" s="55"/>
      <c r="G17" s="57"/>
    </row>
    <row r="18" spans="1:7" x14ac:dyDescent="0.3">
      <c r="A18" s="93" t="s">
        <v>47</v>
      </c>
      <c r="B18" s="39">
        <f>SUM(B9:B17)</f>
        <v>210983208.88999999</v>
      </c>
      <c r="C18" s="39">
        <f>SUM(C9:C17)</f>
        <v>139113091.56999999</v>
      </c>
      <c r="D18" s="94" t="s">
        <v>48</v>
      </c>
      <c r="E18" s="94"/>
      <c r="F18" s="39">
        <f>SUM(F9:F17)</f>
        <v>13482087.98</v>
      </c>
      <c r="G18" s="82">
        <f>SUM(G9:G17)</f>
        <v>73908263.909999982</v>
      </c>
    </row>
    <row r="19" spans="1:7" x14ac:dyDescent="0.3">
      <c r="A19" s="59"/>
      <c r="B19" s="61"/>
      <c r="C19" s="61"/>
      <c r="D19" s="62"/>
      <c r="E19" s="62"/>
      <c r="F19" s="61"/>
      <c r="G19" s="63"/>
    </row>
    <row r="20" spans="1:7" x14ac:dyDescent="0.3">
      <c r="A20" s="49" t="s">
        <v>49</v>
      </c>
      <c r="B20" s="55"/>
      <c r="C20" s="55"/>
      <c r="D20" s="52" t="s">
        <v>50</v>
      </c>
      <c r="E20" s="52"/>
      <c r="F20" s="64"/>
      <c r="G20" s="65"/>
    </row>
    <row r="21" spans="1:7" x14ac:dyDescent="0.3">
      <c r="A21" s="54" t="s">
        <v>51</v>
      </c>
      <c r="B21" s="55">
        <v>0</v>
      </c>
      <c r="C21" s="55">
        <v>0</v>
      </c>
      <c r="D21" s="56" t="s">
        <v>52</v>
      </c>
      <c r="E21" s="56"/>
      <c r="F21" s="55">
        <v>0</v>
      </c>
      <c r="G21" s="57">
        <v>0</v>
      </c>
    </row>
    <row r="22" spans="1:7" x14ac:dyDescent="0.3">
      <c r="A22" s="58" t="s">
        <v>53</v>
      </c>
      <c r="B22" s="55">
        <v>0</v>
      </c>
      <c r="C22" s="55">
        <v>0</v>
      </c>
      <c r="D22" s="803" t="s">
        <v>54</v>
      </c>
      <c r="E22" s="803"/>
      <c r="F22" s="55">
        <v>0</v>
      </c>
      <c r="G22" s="57">
        <v>0</v>
      </c>
    </row>
    <row r="23" spans="1:7" ht="16.5" customHeight="1" x14ac:dyDescent="0.3">
      <c r="A23" s="535" t="s">
        <v>55</v>
      </c>
      <c r="B23" s="55">
        <v>538275821.13</v>
      </c>
      <c r="C23" s="55">
        <v>553939912.18000007</v>
      </c>
      <c r="D23" s="56" t="s">
        <v>56</v>
      </c>
      <c r="E23" s="56"/>
      <c r="F23" s="55">
        <v>0</v>
      </c>
      <c r="G23" s="57">
        <v>0</v>
      </c>
    </row>
    <row r="24" spans="1:7" ht="16.5" customHeight="1" x14ac:dyDescent="0.3">
      <c r="A24" s="54" t="s">
        <v>57</v>
      </c>
      <c r="B24" s="55">
        <v>8944262.9000000004</v>
      </c>
      <c r="C24" s="55">
        <v>6915005.4500000002</v>
      </c>
      <c r="D24" s="56" t="s">
        <v>58</v>
      </c>
      <c r="E24" s="56"/>
      <c r="F24" s="55">
        <v>0</v>
      </c>
      <c r="G24" s="57">
        <v>0</v>
      </c>
    </row>
    <row r="25" spans="1:7" ht="33" customHeight="1" x14ac:dyDescent="0.3">
      <c r="A25" s="537" t="s">
        <v>59</v>
      </c>
      <c r="B25" s="55">
        <v>0</v>
      </c>
      <c r="C25" s="55">
        <v>0</v>
      </c>
      <c r="D25" s="968" t="s">
        <v>60</v>
      </c>
      <c r="E25" s="968"/>
      <c r="F25" s="55">
        <v>0</v>
      </c>
      <c r="G25" s="57">
        <v>0</v>
      </c>
    </row>
    <row r="26" spans="1:7" x14ac:dyDescent="0.3">
      <c r="A26" s="58" t="s">
        <v>61</v>
      </c>
      <c r="B26" s="55">
        <v>-5703586.3799999999</v>
      </c>
      <c r="C26" s="55">
        <v>-5166013.6500000004</v>
      </c>
      <c r="D26" s="56" t="s">
        <v>62</v>
      </c>
      <c r="E26" s="56"/>
      <c r="F26" s="55">
        <v>0</v>
      </c>
      <c r="G26" s="57">
        <v>0</v>
      </c>
    </row>
    <row r="27" spans="1:7" x14ac:dyDescent="0.3">
      <c r="A27" s="54" t="s">
        <v>63</v>
      </c>
      <c r="B27" s="55">
        <v>0</v>
      </c>
      <c r="C27" s="55">
        <v>0</v>
      </c>
      <c r="D27" s="56"/>
      <c r="E27" s="56"/>
      <c r="F27" s="55"/>
      <c r="G27" s="57"/>
    </row>
    <row r="28" spans="1:7" x14ac:dyDescent="0.3">
      <c r="A28" s="58" t="s">
        <v>64</v>
      </c>
      <c r="B28" s="55">
        <v>0</v>
      </c>
      <c r="C28" s="55">
        <v>0</v>
      </c>
      <c r="D28" s="66"/>
      <c r="E28" s="66"/>
      <c r="F28" s="55"/>
      <c r="G28" s="57"/>
    </row>
    <row r="29" spans="1:7" x14ac:dyDescent="0.3">
      <c r="A29" s="54" t="s">
        <v>65</v>
      </c>
      <c r="B29" s="55">
        <v>0</v>
      </c>
      <c r="C29" s="55">
        <v>-0.01</v>
      </c>
      <c r="D29" s="66"/>
      <c r="E29" s="66"/>
      <c r="F29" s="64"/>
      <c r="G29" s="65"/>
    </row>
    <row r="30" spans="1:7" x14ac:dyDescent="0.3">
      <c r="A30" s="67"/>
      <c r="B30" s="55"/>
      <c r="C30" s="55"/>
      <c r="D30" s="66"/>
      <c r="E30" s="66"/>
      <c r="F30" s="64"/>
      <c r="G30" s="65"/>
    </row>
    <row r="31" spans="1:7" x14ac:dyDescent="0.3">
      <c r="A31" s="93" t="s">
        <v>66</v>
      </c>
      <c r="B31" s="39">
        <f>SUM(B21:B29)</f>
        <v>541516497.64999998</v>
      </c>
      <c r="C31" s="39">
        <f>SUM(C21:C29)</f>
        <v>555688903.97000015</v>
      </c>
      <c r="D31" s="95" t="s">
        <v>67</v>
      </c>
      <c r="E31" s="95"/>
      <c r="F31" s="39">
        <f>SUM(F21:F29)</f>
        <v>0</v>
      </c>
      <c r="G31" s="82">
        <f>SUM(G21:G29)</f>
        <v>0</v>
      </c>
    </row>
    <row r="32" spans="1:7" x14ac:dyDescent="0.3">
      <c r="A32" s="67"/>
      <c r="B32" s="55"/>
      <c r="C32" s="55"/>
      <c r="D32" s="66"/>
      <c r="E32" s="66"/>
      <c r="F32" s="60"/>
      <c r="G32" s="68"/>
    </row>
    <row r="33" spans="1:7" x14ac:dyDescent="0.3">
      <c r="A33" s="93" t="s">
        <v>68</v>
      </c>
      <c r="B33" s="39">
        <f>B31+B18</f>
        <v>752499706.53999996</v>
      </c>
      <c r="C33" s="39">
        <f>C31+C18</f>
        <v>694801995.5400002</v>
      </c>
      <c r="D33" s="95" t="s">
        <v>69</v>
      </c>
      <c r="E33" s="95"/>
      <c r="F33" s="39">
        <f>F31+F18</f>
        <v>13482087.98</v>
      </c>
      <c r="G33" s="82">
        <f>G31+G18</f>
        <v>73908263.909999982</v>
      </c>
    </row>
    <row r="34" spans="1:7" x14ac:dyDescent="0.3">
      <c r="A34" s="59"/>
      <c r="B34" s="69"/>
      <c r="C34" s="69"/>
      <c r="D34" s="66"/>
      <c r="E34" s="66"/>
      <c r="F34" s="64"/>
      <c r="G34" s="65"/>
    </row>
    <row r="35" spans="1:7" x14ac:dyDescent="0.3">
      <c r="A35" s="59"/>
      <c r="B35" s="55"/>
      <c r="C35" s="55"/>
      <c r="D35" s="70" t="s">
        <v>70</v>
      </c>
      <c r="E35" s="70"/>
      <c r="F35" s="60"/>
      <c r="G35" s="68"/>
    </row>
    <row r="36" spans="1:7" x14ac:dyDescent="0.3">
      <c r="A36" s="59"/>
      <c r="B36" s="60"/>
      <c r="C36" s="60"/>
      <c r="D36" s="95" t="s">
        <v>71</v>
      </c>
      <c r="E36" s="95"/>
      <c r="F36" s="83">
        <f>SUM(F37:F39)</f>
        <v>0</v>
      </c>
      <c r="G36" s="84">
        <f>SUM(G37:G39)</f>
        <v>0</v>
      </c>
    </row>
    <row r="37" spans="1:7" x14ac:dyDescent="0.3">
      <c r="A37" s="59"/>
      <c r="B37" s="60"/>
      <c r="C37" s="60"/>
      <c r="D37" s="56" t="s">
        <v>72</v>
      </c>
      <c r="E37" s="56"/>
      <c r="F37" s="55">
        <v>0</v>
      </c>
      <c r="G37" s="57">
        <v>0</v>
      </c>
    </row>
    <row r="38" spans="1:7" x14ac:dyDescent="0.3">
      <c r="A38" s="59"/>
      <c r="B38" s="60"/>
      <c r="C38" s="60"/>
      <c r="D38" s="56" t="s">
        <v>73</v>
      </c>
      <c r="E38" s="56"/>
      <c r="F38" s="55">
        <v>0</v>
      </c>
      <c r="G38" s="57">
        <v>0</v>
      </c>
    </row>
    <row r="39" spans="1:7" ht="33" x14ac:dyDescent="0.3">
      <c r="A39" s="59"/>
      <c r="B39" s="60"/>
      <c r="C39" s="60"/>
      <c r="D39" s="56" t="s">
        <v>74</v>
      </c>
      <c r="E39" s="56"/>
      <c r="F39" s="55">
        <v>0</v>
      </c>
      <c r="G39" s="57">
        <v>0</v>
      </c>
    </row>
    <row r="40" spans="1:7" x14ac:dyDescent="0.3">
      <c r="A40" s="67"/>
      <c r="B40" s="61"/>
      <c r="C40" s="61"/>
      <c r="D40" s="95" t="s">
        <v>75</v>
      </c>
      <c r="E40" s="95"/>
      <c r="F40" s="83">
        <f>SUM(F41:F45)</f>
        <v>739017618.55999994</v>
      </c>
      <c r="G40" s="84">
        <f>SUM(G41:G45)</f>
        <v>620893731.63</v>
      </c>
    </row>
    <row r="41" spans="1:7" x14ac:dyDescent="0.3">
      <c r="A41" s="67"/>
      <c r="B41" s="61"/>
      <c r="C41" s="61"/>
      <c r="D41" s="56" t="s">
        <v>76</v>
      </c>
      <c r="E41" s="56"/>
      <c r="F41" s="55">
        <v>368004688.57999998</v>
      </c>
      <c r="G41" s="57">
        <v>373029203.76999998</v>
      </c>
    </row>
    <row r="42" spans="1:7" x14ac:dyDescent="0.3">
      <c r="A42" s="67"/>
      <c r="B42" s="61"/>
      <c r="C42" s="61"/>
      <c r="D42" s="56" t="s">
        <v>77</v>
      </c>
      <c r="E42" s="56"/>
      <c r="F42" s="55">
        <v>371012929.98000002</v>
      </c>
      <c r="G42" s="57">
        <v>247864527.86000001</v>
      </c>
    </row>
    <row r="43" spans="1:7" x14ac:dyDescent="0.3">
      <c r="A43" s="59"/>
      <c r="B43" s="60"/>
      <c r="C43" s="60"/>
      <c r="D43" s="56" t="s">
        <v>78</v>
      </c>
      <c r="E43" s="56"/>
      <c r="F43" s="55">
        <v>0</v>
      </c>
      <c r="G43" s="57">
        <v>0</v>
      </c>
    </row>
    <row r="44" spans="1:7" x14ac:dyDescent="0.3">
      <c r="A44" s="59"/>
      <c r="B44" s="60"/>
      <c r="C44" s="60"/>
      <c r="D44" s="56" t="s">
        <v>79</v>
      </c>
      <c r="E44" s="56"/>
      <c r="F44" s="55">
        <v>0</v>
      </c>
      <c r="G44" s="57">
        <v>0</v>
      </c>
    </row>
    <row r="45" spans="1:7" ht="33" x14ac:dyDescent="0.3">
      <c r="A45" s="59"/>
      <c r="B45" s="60"/>
      <c r="C45" s="60"/>
      <c r="D45" s="56" t="s">
        <v>80</v>
      </c>
      <c r="E45" s="56"/>
      <c r="F45" s="55">
        <v>0</v>
      </c>
      <c r="G45" s="57">
        <v>0</v>
      </c>
    </row>
    <row r="46" spans="1:7" ht="33" x14ac:dyDescent="0.3">
      <c r="A46" s="59"/>
      <c r="B46" s="60"/>
      <c r="C46" s="60"/>
      <c r="D46" s="96" t="s">
        <v>81</v>
      </c>
      <c r="E46" s="96"/>
      <c r="F46" s="85">
        <f>SUM(F47:F48)</f>
        <v>0</v>
      </c>
      <c r="G46" s="86">
        <f>SUM(G47:G48)</f>
        <v>0</v>
      </c>
    </row>
    <row r="47" spans="1:7" x14ac:dyDescent="0.3">
      <c r="A47" s="54"/>
      <c r="B47" s="60"/>
      <c r="C47" s="60"/>
      <c r="D47" s="56" t="s">
        <v>82</v>
      </c>
      <c r="E47" s="56"/>
      <c r="F47" s="55">
        <v>0</v>
      </c>
      <c r="G47" s="57">
        <v>0</v>
      </c>
    </row>
    <row r="48" spans="1:7" ht="33" x14ac:dyDescent="0.3">
      <c r="A48" s="71"/>
      <c r="B48" s="72"/>
      <c r="C48" s="72"/>
      <c r="D48" s="56" t="s">
        <v>83</v>
      </c>
      <c r="E48" s="56"/>
      <c r="F48" s="55">
        <v>0</v>
      </c>
      <c r="G48" s="57">
        <v>0</v>
      </c>
    </row>
    <row r="49" spans="1:8" x14ac:dyDescent="0.3">
      <c r="A49" s="59"/>
      <c r="B49" s="72"/>
      <c r="C49" s="72"/>
      <c r="D49" s="73"/>
      <c r="E49" s="73"/>
      <c r="F49" s="72"/>
      <c r="G49" s="74"/>
    </row>
    <row r="50" spans="1:8" x14ac:dyDescent="0.3">
      <c r="A50" s="54"/>
      <c r="B50" s="72"/>
      <c r="C50" s="72"/>
      <c r="D50" s="95" t="s">
        <v>84</v>
      </c>
      <c r="E50" s="95"/>
      <c r="F50" s="87">
        <f>F46+F40+F36</f>
        <v>739017618.55999994</v>
      </c>
      <c r="G50" s="88">
        <f>G46+G40+G36</f>
        <v>620893731.63</v>
      </c>
    </row>
    <row r="51" spans="1:8" x14ac:dyDescent="0.3">
      <c r="A51" s="71"/>
      <c r="B51" s="72"/>
      <c r="C51" s="72"/>
      <c r="D51" s="62"/>
      <c r="E51" s="62"/>
      <c r="F51" s="75"/>
      <c r="G51" s="76"/>
    </row>
    <row r="52" spans="1:8" ht="33" x14ac:dyDescent="0.3">
      <c r="A52" s="59"/>
      <c r="D52" s="95" t="s">
        <v>85</v>
      </c>
      <c r="E52" s="95"/>
      <c r="F52" s="87">
        <f>F50+F33</f>
        <v>752499706.53999996</v>
      </c>
      <c r="G52" s="88">
        <f>G50+G33</f>
        <v>694801995.53999996</v>
      </c>
      <c r="H52" s="765" t="str">
        <f>IF($B$33=$F$52,"","VALOR INCORRECTO EJERCICIO 2017, TOTAL DE ACTIVOS TIENE QUE SER IGUAL AL TOTAL DE LA SUMA DE PASIVO Y HCIENDA")</f>
        <v/>
      </c>
    </row>
    <row r="53" spans="1:8" ht="17.25" thickBot="1" x14ac:dyDescent="0.35">
      <c r="A53" s="77"/>
      <c r="B53" s="78"/>
      <c r="C53" s="78"/>
      <c r="D53" s="79"/>
      <c r="E53" s="79"/>
      <c r="F53" s="80"/>
      <c r="G53" s="81"/>
      <c r="H53" s="765" t="str">
        <f>IF($C$33=$G$52,"","VALOR INCORRECTO EJERCICIO 2016, TOTAL DE ACTIVOS TIENE QUE SER IGUAL AL TOTAL DE LA SUMA DE PASIVO Y HCIENDA")</f>
        <v/>
      </c>
    </row>
    <row r="54" spans="1:8" x14ac:dyDescent="0.3">
      <c r="A54" s="41" t="s">
        <v>86</v>
      </c>
      <c r="B54" s="499"/>
      <c r="C54" s="499"/>
      <c r="D54" s="43"/>
      <c r="E54" s="43"/>
      <c r="F54" s="500"/>
      <c r="G54" s="500"/>
      <c r="H54" s="765"/>
    </row>
    <row r="55" spans="1:8" x14ac:dyDescent="0.3">
      <c r="B55" s="499"/>
      <c r="C55" s="499"/>
      <c r="D55" s="43"/>
      <c r="E55" s="43"/>
      <c r="F55" s="500"/>
      <c r="G55" s="500"/>
      <c r="H55" s="765"/>
    </row>
    <row r="56" spans="1:8" x14ac:dyDescent="0.3">
      <c r="A56" s="43"/>
      <c r="B56" s="499"/>
      <c r="C56" s="499"/>
      <c r="D56" s="43"/>
      <c r="E56" s="43"/>
      <c r="F56" s="500"/>
      <c r="G56" s="500"/>
      <c r="H56" s="765"/>
    </row>
    <row r="57" spans="1:8" x14ac:dyDescent="0.3">
      <c r="A57" s="43"/>
      <c r="B57" s="499"/>
      <c r="C57" s="499"/>
      <c r="D57" s="43"/>
      <c r="E57" s="43"/>
      <c r="F57" s="500"/>
      <c r="G57" s="500"/>
      <c r="H57" s="765"/>
    </row>
    <row r="58" spans="1:8" x14ac:dyDescent="0.3">
      <c r="A58" s="43"/>
      <c r="B58" s="499"/>
      <c r="C58" s="499"/>
      <c r="D58" s="43"/>
      <c r="E58" s="43"/>
      <c r="F58" s="500"/>
      <c r="G58" s="500"/>
      <c r="H58" s="765"/>
    </row>
    <row r="61" spans="1:8" x14ac:dyDescent="0.3">
      <c r="B61" s="91"/>
      <c r="C61" s="92" t="s">
        <v>87</v>
      </c>
    </row>
  </sheetData>
  <sheetProtection password="C115" sheet="1" scenarios="1" formatColumns="0" formatRows="0" insertHyperlinks="0"/>
  <mergeCells count="15">
    <mergeCell ref="D13:E13"/>
    <mergeCell ref="D14:E14"/>
    <mergeCell ref="D15:E15"/>
    <mergeCell ref="D16:E16"/>
    <mergeCell ref="D25:E25"/>
    <mergeCell ref="D9:E9"/>
    <mergeCell ref="D10:E10"/>
    <mergeCell ref="D11:E11"/>
    <mergeCell ref="D12:E12"/>
    <mergeCell ref="A5:D5"/>
    <mergeCell ref="F5:G5"/>
    <mergeCell ref="A1:G1"/>
    <mergeCell ref="A2:G2"/>
    <mergeCell ref="A3:G3"/>
    <mergeCell ref="A4:G4"/>
  </mergeCells>
  <printOptions horizontalCentered="1"/>
  <pageMargins left="0.27559055118110237" right="0.15748031496062992" top="0.39370078740157483" bottom="0.51181102362204722" header="0.31496062992125984" footer="0.31496062992125984"/>
  <pageSetup scale="6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7"/>
  <sheetViews>
    <sheetView view="pageBreakPreview" zoomScale="115" zoomScaleNormal="100" zoomScaleSheetLayoutView="115" workbookViewId="0">
      <selection activeCell="E10" sqref="E10"/>
    </sheetView>
  </sheetViews>
  <sheetFormatPr baseColWidth="10" defaultColWidth="11.28515625" defaultRowHeight="16.5" x14ac:dyDescent="0.25"/>
  <cols>
    <col min="1" max="1" width="39.85546875" style="280" customWidth="1"/>
    <col min="2" max="7" width="13.7109375" style="280" customWidth="1"/>
    <col min="8" max="16384" width="11.28515625" style="280"/>
  </cols>
  <sheetData>
    <row r="1" spans="1:7" x14ac:dyDescent="0.25">
      <c r="A1" s="983" t="s">
        <v>25</v>
      </c>
      <c r="B1" s="983"/>
      <c r="C1" s="983"/>
      <c r="D1" s="983"/>
      <c r="E1" s="983"/>
      <c r="F1" s="983"/>
      <c r="G1" s="983"/>
    </row>
    <row r="2" spans="1:7" s="282" customFormat="1" x14ac:dyDescent="0.25">
      <c r="A2" s="983" t="s">
        <v>568</v>
      </c>
      <c r="B2" s="983"/>
      <c r="C2" s="983"/>
      <c r="D2" s="983"/>
      <c r="E2" s="983"/>
      <c r="F2" s="983"/>
      <c r="G2" s="983"/>
    </row>
    <row r="3" spans="1:7" s="282" customFormat="1" x14ac:dyDescent="0.25">
      <c r="A3" s="983" t="s">
        <v>730</v>
      </c>
      <c r="B3" s="983"/>
      <c r="C3" s="983"/>
      <c r="D3" s="983"/>
      <c r="E3" s="983"/>
      <c r="F3" s="983"/>
      <c r="G3" s="983"/>
    </row>
    <row r="4" spans="1:7" s="282" customFormat="1" x14ac:dyDescent="0.25">
      <c r="A4" s="984" t="str">
        <f>'ETCA-I-01'!A3:G3</f>
        <v>Consejo Estatal de Concertacion para la Obra Publica</v>
      </c>
      <c r="B4" s="984"/>
      <c r="C4" s="984"/>
      <c r="D4" s="984"/>
      <c r="E4" s="984"/>
      <c r="F4" s="984"/>
      <c r="G4" s="984"/>
    </row>
    <row r="5" spans="1:7" s="282" customFormat="1" x14ac:dyDescent="0.25">
      <c r="A5" s="985" t="str">
        <f>'ETCA-I-03'!A4:D4</f>
        <v>Del 01 de Enero  al 30 de Septiembre de 2017</v>
      </c>
      <c r="B5" s="985"/>
      <c r="C5" s="985"/>
      <c r="D5" s="985"/>
      <c r="E5" s="985"/>
      <c r="F5" s="985"/>
      <c r="G5" s="985"/>
    </row>
    <row r="6" spans="1:7" s="282" customFormat="1" ht="17.25" thickBot="1" x14ac:dyDescent="0.3">
      <c r="A6" s="1102" t="s">
        <v>731</v>
      </c>
      <c r="B6" s="1102"/>
      <c r="C6" s="1102"/>
      <c r="D6" s="1102"/>
      <c r="E6" s="1102"/>
      <c r="F6" s="160"/>
      <c r="G6" s="802"/>
    </row>
    <row r="7" spans="1:7" s="293" customFormat="1" ht="38.25" x14ac:dyDescent="0.25">
      <c r="A7" s="1130" t="s">
        <v>730</v>
      </c>
      <c r="B7" s="195" t="s">
        <v>572</v>
      </c>
      <c r="C7" s="195" t="s">
        <v>482</v>
      </c>
      <c r="D7" s="195" t="s">
        <v>573</v>
      </c>
      <c r="E7" s="196" t="s">
        <v>574</v>
      </c>
      <c r="F7" s="196" t="s">
        <v>575</v>
      </c>
      <c r="G7" s="197" t="s">
        <v>576</v>
      </c>
    </row>
    <row r="8" spans="1:7" s="296" customFormat="1" ht="17.25" thickBot="1" x14ac:dyDescent="0.3">
      <c r="A8" s="1131"/>
      <c r="B8" s="294" t="s">
        <v>447</v>
      </c>
      <c r="C8" s="294" t="s">
        <v>448</v>
      </c>
      <c r="D8" s="294" t="s">
        <v>577</v>
      </c>
      <c r="E8" s="294" t="s">
        <v>450</v>
      </c>
      <c r="F8" s="294" t="s">
        <v>451</v>
      </c>
      <c r="G8" s="295" t="s">
        <v>578</v>
      </c>
    </row>
    <row r="9" spans="1:7" ht="21" customHeight="1" x14ac:dyDescent="0.25">
      <c r="A9" s="628" t="s">
        <v>1222</v>
      </c>
      <c r="B9" s="717">
        <v>5183685.5999999996</v>
      </c>
      <c r="C9" s="717">
        <v>96075.690000000061</v>
      </c>
      <c r="D9" s="468">
        <f>IF($A9="","",B9+C9)</f>
        <v>5279761.29</v>
      </c>
      <c r="E9" s="717">
        <v>2446583.27</v>
      </c>
      <c r="F9" s="717">
        <v>2446583.27</v>
      </c>
      <c r="G9" s="525">
        <f>IF($A9="","",D9-E9)</f>
        <v>2833178.02</v>
      </c>
    </row>
    <row r="10" spans="1:7" ht="21" customHeight="1" x14ac:dyDescent="0.25">
      <c r="A10" s="628" t="s">
        <v>1223</v>
      </c>
      <c r="B10" s="717">
        <v>413701300.48000002</v>
      </c>
      <c r="C10" s="717">
        <v>259519627.17000002</v>
      </c>
      <c r="D10" s="468">
        <f t="shared" ref="D10:D31" si="0">IF($A10="","",B10+C10)</f>
        <v>673220927.6500001</v>
      </c>
      <c r="E10" s="717">
        <v>208630220.35000002</v>
      </c>
      <c r="F10" s="717">
        <v>208630220.35000002</v>
      </c>
      <c r="G10" s="525">
        <f t="shared" ref="G10:G31" si="1">IF($A10="","",D10-E10)</f>
        <v>464590707.30000007</v>
      </c>
    </row>
    <row r="11" spans="1:7" ht="21" customHeight="1" x14ac:dyDescent="0.25">
      <c r="A11" s="628" t="s">
        <v>1224</v>
      </c>
      <c r="B11" s="717">
        <v>6593987.0599999996</v>
      </c>
      <c r="C11" s="717">
        <v>1517766.9200000004</v>
      </c>
      <c r="D11" s="468">
        <f t="shared" si="0"/>
        <v>8111753.9800000004</v>
      </c>
      <c r="E11" s="717">
        <v>5980836.1699999999</v>
      </c>
      <c r="F11" s="717">
        <v>5980836.1699999999</v>
      </c>
      <c r="G11" s="525">
        <f t="shared" si="1"/>
        <v>2130917.8100000005</v>
      </c>
    </row>
    <row r="12" spans="1:7" ht="21" customHeight="1" x14ac:dyDescent="0.25">
      <c r="A12" s="628" t="s">
        <v>1225</v>
      </c>
      <c r="B12" s="717">
        <v>6512671.9800000004</v>
      </c>
      <c r="C12" s="717">
        <v>254068.68999999994</v>
      </c>
      <c r="D12" s="468">
        <f t="shared" si="0"/>
        <v>6766740.6699999999</v>
      </c>
      <c r="E12" s="717">
        <v>4587165.3099999996</v>
      </c>
      <c r="F12" s="717">
        <v>4587165.3099999996</v>
      </c>
      <c r="G12" s="525">
        <f t="shared" si="1"/>
        <v>2179575.3600000003</v>
      </c>
    </row>
    <row r="13" spans="1:7" ht="21" customHeight="1" x14ac:dyDescent="0.25">
      <c r="A13" s="297"/>
      <c r="B13" s="468"/>
      <c r="C13" s="468"/>
      <c r="D13" s="468" t="str">
        <f t="shared" si="0"/>
        <v/>
      </c>
      <c r="E13" s="468"/>
      <c r="F13" s="468"/>
      <c r="G13" s="525" t="str">
        <f t="shared" si="1"/>
        <v/>
      </c>
    </row>
    <row r="14" spans="1:7" ht="21" customHeight="1" x14ac:dyDescent="0.25">
      <c r="A14" s="297"/>
      <c r="B14" s="468"/>
      <c r="C14" s="468"/>
      <c r="D14" s="468" t="str">
        <f t="shared" si="0"/>
        <v/>
      </c>
      <c r="E14" s="468"/>
      <c r="F14" s="468"/>
      <c r="G14" s="525" t="str">
        <f t="shared" si="1"/>
        <v/>
      </c>
    </row>
    <row r="15" spans="1:7" ht="21" customHeight="1" x14ac:dyDescent="0.25">
      <c r="A15" s="297"/>
      <c r="B15" s="468"/>
      <c r="C15" s="468"/>
      <c r="D15" s="468" t="str">
        <f t="shared" si="0"/>
        <v/>
      </c>
      <c r="E15" s="468"/>
      <c r="F15" s="468"/>
      <c r="G15" s="525" t="str">
        <f t="shared" si="1"/>
        <v/>
      </c>
    </row>
    <row r="16" spans="1:7" ht="21" customHeight="1" x14ac:dyDescent="0.25">
      <c r="A16" s="297"/>
      <c r="B16" s="468"/>
      <c r="C16" s="468"/>
      <c r="D16" s="468" t="str">
        <f t="shared" si="0"/>
        <v/>
      </c>
      <c r="E16" s="468"/>
      <c r="F16" s="468"/>
      <c r="G16" s="525" t="str">
        <f t="shared" si="1"/>
        <v/>
      </c>
    </row>
    <row r="17" spans="1:8" ht="21" customHeight="1" x14ac:dyDescent="0.25">
      <c r="A17" s="297"/>
      <c r="B17" s="468"/>
      <c r="C17" s="468"/>
      <c r="D17" s="468" t="str">
        <f t="shared" si="0"/>
        <v/>
      </c>
      <c r="E17" s="468"/>
      <c r="F17" s="468"/>
      <c r="G17" s="525" t="str">
        <f t="shared" si="1"/>
        <v/>
      </c>
    </row>
    <row r="18" spans="1:8" ht="21" customHeight="1" x14ac:dyDescent="0.25">
      <c r="A18" s="297"/>
      <c r="B18" s="468"/>
      <c r="C18" s="468"/>
      <c r="D18" s="468" t="str">
        <f t="shared" si="0"/>
        <v/>
      </c>
      <c r="E18" s="468"/>
      <c r="F18" s="468"/>
      <c r="G18" s="525" t="str">
        <f t="shared" si="1"/>
        <v/>
      </c>
    </row>
    <row r="19" spans="1:8" ht="21" customHeight="1" x14ac:dyDescent="0.25">
      <c r="A19" s="297"/>
      <c r="B19" s="468"/>
      <c r="C19" s="468"/>
      <c r="D19" s="468" t="str">
        <f t="shared" si="0"/>
        <v/>
      </c>
      <c r="E19" s="468"/>
      <c r="F19" s="468"/>
      <c r="G19" s="525" t="str">
        <f t="shared" si="1"/>
        <v/>
      </c>
    </row>
    <row r="20" spans="1:8" ht="21" customHeight="1" x14ac:dyDescent="0.25">
      <c r="A20" s="297"/>
      <c r="B20" s="468"/>
      <c r="C20" s="468"/>
      <c r="D20" s="468" t="str">
        <f t="shared" si="0"/>
        <v/>
      </c>
      <c r="E20" s="468"/>
      <c r="F20" s="468"/>
      <c r="G20" s="525" t="str">
        <f t="shared" si="1"/>
        <v/>
      </c>
    </row>
    <row r="21" spans="1:8" ht="21" customHeight="1" x14ac:dyDescent="0.25">
      <c r="A21" s="297"/>
      <c r="B21" s="468"/>
      <c r="C21" s="468"/>
      <c r="D21" s="468" t="str">
        <f t="shared" si="0"/>
        <v/>
      </c>
      <c r="E21" s="468"/>
      <c r="F21" s="468"/>
      <c r="G21" s="525" t="str">
        <f t="shared" si="1"/>
        <v/>
      </c>
    </row>
    <row r="22" spans="1:8" ht="21" customHeight="1" x14ac:dyDescent="0.25">
      <c r="A22" s="297"/>
      <c r="B22" s="468"/>
      <c r="C22" s="468"/>
      <c r="D22" s="468" t="str">
        <f t="shared" si="0"/>
        <v/>
      </c>
      <c r="E22" s="468"/>
      <c r="F22" s="468"/>
      <c r="G22" s="525" t="str">
        <f t="shared" si="1"/>
        <v/>
      </c>
    </row>
    <row r="23" spans="1:8" ht="21" customHeight="1" x14ac:dyDescent="0.25">
      <c r="A23" s="297"/>
      <c r="B23" s="468"/>
      <c r="C23" s="468"/>
      <c r="D23" s="468" t="str">
        <f t="shared" si="0"/>
        <v/>
      </c>
      <c r="E23" s="468"/>
      <c r="F23" s="468"/>
      <c r="G23" s="525" t="str">
        <f t="shared" si="1"/>
        <v/>
      </c>
    </row>
    <row r="24" spans="1:8" ht="21" customHeight="1" x14ac:dyDescent="0.25">
      <c r="A24" s="297"/>
      <c r="B24" s="468"/>
      <c r="C24" s="468"/>
      <c r="D24" s="468" t="str">
        <f t="shared" si="0"/>
        <v/>
      </c>
      <c r="E24" s="468"/>
      <c r="F24" s="468"/>
      <c r="G24" s="525" t="str">
        <f t="shared" si="1"/>
        <v/>
      </c>
    </row>
    <row r="25" spans="1:8" ht="21" customHeight="1" x14ac:dyDescent="0.25">
      <c r="A25" s="297"/>
      <c r="B25" s="468"/>
      <c r="C25" s="468"/>
      <c r="D25" s="468" t="str">
        <f t="shared" si="0"/>
        <v/>
      </c>
      <c r="E25" s="468"/>
      <c r="F25" s="468"/>
      <c r="G25" s="525" t="str">
        <f t="shared" si="1"/>
        <v/>
      </c>
    </row>
    <row r="26" spans="1:8" ht="21" customHeight="1" x14ac:dyDescent="0.25">
      <c r="A26" s="297"/>
      <c r="B26" s="468"/>
      <c r="C26" s="468"/>
      <c r="D26" s="468" t="str">
        <f t="shared" si="0"/>
        <v/>
      </c>
      <c r="E26" s="468"/>
      <c r="F26" s="468"/>
      <c r="G26" s="525" t="str">
        <f t="shared" si="1"/>
        <v/>
      </c>
    </row>
    <row r="27" spans="1:8" ht="21" customHeight="1" x14ac:dyDescent="0.25">
      <c r="A27" s="297"/>
      <c r="B27" s="468"/>
      <c r="C27" s="468"/>
      <c r="D27" s="468" t="str">
        <f t="shared" si="0"/>
        <v/>
      </c>
      <c r="E27" s="468"/>
      <c r="F27" s="468"/>
      <c r="G27" s="525" t="str">
        <f t="shared" si="1"/>
        <v/>
      </c>
    </row>
    <row r="28" spans="1:8" ht="21" customHeight="1" x14ac:dyDescent="0.25">
      <c r="A28" s="297"/>
      <c r="B28" s="468"/>
      <c r="C28" s="468"/>
      <c r="D28" s="468" t="str">
        <f t="shared" si="0"/>
        <v/>
      </c>
      <c r="E28" s="468"/>
      <c r="F28" s="468"/>
      <c r="G28" s="525" t="str">
        <f t="shared" si="1"/>
        <v/>
      </c>
    </row>
    <row r="29" spans="1:8" ht="21" customHeight="1" x14ac:dyDescent="0.25">
      <c r="A29" s="297"/>
      <c r="B29" s="468"/>
      <c r="C29" s="468"/>
      <c r="D29" s="468" t="str">
        <f t="shared" si="0"/>
        <v/>
      </c>
      <c r="E29" s="468"/>
      <c r="F29" s="468"/>
      <c r="G29" s="525" t="str">
        <f t="shared" si="1"/>
        <v/>
      </c>
    </row>
    <row r="30" spans="1:8" ht="21" customHeight="1" x14ac:dyDescent="0.25">
      <c r="A30" s="297"/>
      <c r="B30" s="468"/>
      <c r="C30" s="468"/>
      <c r="D30" s="468" t="str">
        <f t="shared" si="0"/>
        <v/>
      </c>
      <c r="E30" s="468"/>
      <c r="F30" s="468"/>
      <c r="G30" s="525" t="str">
        <f t="shared" si="1"/>
        <v/>
      </c>
    </row>
    <row r="31" spans="1:8" ht="21" customHeight="1" thickBot="1" x14ac:dyDescent="0.3">
      <c r="A31" s="297"/>
      <c r="B31" s="468"/>
      <c r="C31" s="468"/>
      <c r="D31" s="468" t="str">
        <f t="shared" si="0"/>
        <v/>
      </c>
      <c r="E31" s="468"/>
      <c r="F31" s="468"/>
      <c r="G31" s="525" t="str">
        <f t="shared" si="1"/>
        <v/>
      </c>
    </row>
    <row r="32" spans="1:8" ht="21" customHeight="1" thickBot="1" x14ac:dyDescent="0.3">
      <c r="A32" s="298" t="s">
        <v>628</v>
      </c>
      <c r="B32" s="462">
        <f>SUM(B9:B31)</f>
        <v>431991645.12000006</v>
      </c>
      <c r="C32" s="462">
        <f>SUM(C9:C31)</f>
        <v>261387538.47</v>
      </c>
      <c r="D32" s="462">
        <f>IF($A32="","",B32+C32)</f>
        <v>693379183.59000003</v>
      </c>
      <c r="E32" s="462">
        <f>SUM(E9:E31)</f>
        <v>221644805.10000002</v>
      </c>
      <c r="F32" s="462">
        <f>SUM(F9:F31)</f>
        <v>221644805.10000002</v>
      </c>
      <c r="G32" s="463">
        <f>IF($A32="","",D32-E32)</f>
        <v>471734378.49000001</v>
      </c>
      <c r="H32" s="283" t="str">
        <f>IF(($B$32-'ETCA II-04'!B81)&gt;0.9,"ERROR!!!!! EL MONTO NO COINCIDE CON LO REPORTADO EN EL FORMATO ETCA-II-04 EN EL TOTAL APROBADO ANUAL DEL ANALÍTICO DE EGRESOS","")</f>
        <v/>
      </c>
    </row>
    <row r="33" spans="8:8" x14ac:dyDescent="0.25">
      <c r="H33" s="283" t="str">
        <f>IF(($C$32-'ETCA II-04'!C81)&gt;0.9,"ERROR!!!!! EL MONTO NO COINCIDE CON LO REPORTADO EN EL FORMATO ETCA-II-04 EN EL TOTAL APROBADO ANUAL DEL ANALÍTICO DE EGRESOS","")</f>
        <v/>
      </c>
    </row>
    <row r="34" spans="8:8" x14ac:dyDescent="0.25">
      <c r="H34" s="283" t="str">
        <f>IF(($D$32-'ETCA II-04'!D81)&gt;0.9,"ERROR!!!!! EL MONTO NO COINCIDE CON LO REPORTADO EN EL FORMATO ETCA-II-04 EN EL TOTAL APROBADO ANUAL DEL ANALÍTICO DE EGRESOS","")</f>
        <v/>
      </c>
    </row>
    <row r="35" spans="8:8" x14ac:dyDescent="0.25">
      <c r="H35" s="283" t="str">
        <f>IF(($E$32-'ETCA II-04'!E81)&gt;0.9,"ERROR!!!!! EL MONTO NO COINCIDE CON LO REPORTADO EN EL FORMATO ETCA-II-04 EN EL TOTAL APROBADO ANUAL DEL ANALÍTICO DE EGRESOS","")</f>
        <v/>
      </c>
    </row>
    <row r="36" spans="8:8" x14ac:dyDescent="0.25">
      <c r="H36" s="283" t="str">
        <f>IF(($F$32-'ETCA II-04'!F81)&gt;0.9,"ERROR!!!!! EL MONTO NO COINCIDE CON LO REPORTADO EN EL FORMATO ETCA-II-04 EN EL TOTAL APROBADO ANUAL DEL ANALÍTICO DE EGRESOS","")</f>
        <v/>
      </c>
    </row>
    <row r="37" spans="8:8" x14ac:dyDescent="0.25">
      <c r="H37" s="283" t="str">
        <f>IF(($G$32-'ETCA II-04'!G81)&gt;0.9,"ERROR!!!!! EL MONTO NO COINCIDE CON LO REPORTADO EN EL FORMATO ETCA-II-04 EN EL TOTAL APROBADO ANUAL DEL ANALÍTICO DE EGRESOS","")</f>
        <v/>
      </c>
    </row>
  </sheetData>
  <sheetProtection formatColumns="0" formatRows="0" insertRows="0" deleteColumns="0" deleteRows="0"/>
  <mergeCells count="7">
    <mergeCell ref="A7:A8"/>
    <mergeCell ref="A1:G1"/>
    <mergeCell ref="A2:G2"/>
    <mergeCell ref="A3:G3"/>
    <mergeCell ref="A4:G4"/>
    <mergeCell ref="A5:G5"/>
    <mergeCell ref="A6:E6"/>
  </mergeCells>
  <printOptions horizontalCentered="1"/>
  <pageMargins left="0.51181102362204722" right="0.1574803149606299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6"/>
  <sheetViews>
    <sheetView topLeftCell="A7" workbookViewId="0">
      <selection activeCell="E22" sqref="E22:F22"/>
    </sheetView>
  </sheetViews>
  <sheetFormatPr baseColWidth="10" defaultColWidth="11.42578125" defaultRowHeight="15" x14ac:dyDescent="0.2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745" customFormat="1" ht="15.75" x14ac:dyDescent="0.2">
      <c r="A1" s="1137" t="s">
        <v>25</v>
      </c>
      <c r="B1" s="1138"/>
      <c r="C1" s="1138"/>
      <c r="D1" s="1138"/>
      <c r="E1" s="1138"/>
      <c r="F1" s="1138"/>
      <c r="G1" s="1139"/>
    </row>
    <row r="2" spans="1:7" s="745" customFormat="1" ht="15.75" x14ac:dyDescent="0.2">
      <c r="A2" s="1146" t="str">
        <f>'ETCA-I-01'!A3:G3</f>
        <v>Consejo Estatal de Concertacion para la Obra Publica</v>
      </c>
      <c r="B2" s="1147"/>
      <c r="C2" s="1147"/>
      <c r="D2" s="1147"/>
      <c r="E2" s="1147"/>
      <c r="F2" s="1147"/>
      <c r="G2" s="1148"/>
    </row>
    <row r="3" spans="1:7" s="745" customFormat="1" ht="12.75" x14ac:dyDescent="0.2">
      <c r="A3" s="1140" t="s">
        <v>629</v>
      </c>
      <c r="B3" s="1141"/>
      <c r="C3" s="1141"/>
      <c r="D3" s="1141"/>
      <c r="E3" s="1141"/>
      <c r="F3" s="1141"/>
      <c r="G3" s="1142"/>
    </row>
    <row r="4" spans="1:7" s="745" customFormat="1" ht="12.75" x14ac:dyDescent="0.2">
      <c r="A4" s="1140" t="s">
        <v>732</v>
      </c>
      <c r="B4" s="1141"/>
      <c r="C4" s="1141"/>
      <c r="D4" s="1141"/>
      <c r="E4" s="1141"/>
      <c r="F4" s="1141"/>
      <c r="G4" s="1142"/>
    </row>
    <row r="5" spans="1:7" s="745" customFormat="1" ht="12.75" x14ac:dyDescent="0.2">
      <c r="A5" s="1140" t="str">
        <f>'ETCA-I-03'!A4:D4</f>
        <v>Del 01 de Enero  al 30 de Septiembre de 2017</v>
      </c>
      <c r="B5" s="1141"/>
      <c r="C5" s="1141"/>
      <c r="D5" s="1141"/>
      <c r="E5" s="1141"/>
      <c r="F5" s="1141"/>
      <c r="G5" s="1142"/>
    </row>
    <row r="6" spans="1:7" s="745" customFormat="1" ht="20.25" customHeight="1" thickBot="1" x14ac:dyDescent="0.25">
      <c r="A6" s="1143" t="s">
        <v>89</v>
      </c>
      <c r="B6" s="1144"/>
      <c r="C6" s="1144"/>
      <c r="D6" s="1144"/>
      <c r="E6" s="1144"/>
      <c r="F6" s="1144"/>
      <c r="G6" s="1145"/>
    </row>
    <row r="7" spans="1:7" s="745" customFormat="1" ht="13.5" thickBot="1" x14ac:dyDescent="0.25">
      <c r="A7" s="1132" t="s">
        <v>90</v>
      </c>
      <c r="B7" s="1134" t="s">
        <v>631</v>
      </c>
      <c r="C7" s="1135"/>
      <c r="D7" s="1135"/>
      <c r="E7" s="1135"/>
      <c r="F7" s="1136"/>
      <c r="G7" s="1132" t="s">
        <v>632</v>
      </c>
    </row>
    <row r="8" spans="1:7" s="745" customFormat="1" ht="26.25" thickBot="1" x14ac:dyDescent="0.25">
      <c r="A8" s="1133"/>
      <c r="B8" s="816" t="s">
        <v>633</v>
      </c>
      <c r="C8" s="816" t="s">
        <v>482</v>
      </c>
      <c r="D8" s="816" t="s">
        <v>483</v>
      </c>
      <c r="E8" s="816" t="s">
        <v>484</v>
      </c>
      <c r="F8" s="816" t="s">
        <v>733</v>
      </c>
      <c r="G8" s="1133"/>
    </row>
    <row r="9" spans="1:7" s="528" customFormat="1" ht="12.75" x14ac:dyDescent="0.2">
      <c r="A9" s="627" t="s">
        <v>734</v>
      </c>
      <c r="B9" s="743"/>
      <c r="C9" s="743"/>
      <c r="D9" s="743"/>
      <c r="E9" s="743"/>
      <c r="F9" s="743"/>
      <c r="G9" s="743"/>
    </row>
    <row r="10" spans="1:7" s="528" customFormat="1" ht="12.75" x14ac:dyDescent="0.2">
      <c r="A10" s="627" t="s">
        <v>735</v>
      </c>
      <c r="B10" s="717">
        <f>SUM(B11:B18)</f>
        <v>431991645.12000006</v>
      </c>
      <c r="C10" s="717">
        <f t="shared" ref="C10:G10" si="0">SUM(C11:C18)</f>
        <v>221883580.75999999</v>
      </c>
      <c r="D10" s="717">
        <f t="shared" si="0"/>
        <v>653875225.88</v>
      </c>
      <c r="E10" s="717">
        <f t="shared" si="0"/>
        <v>212733222.03000003</v>
      </c>
      <c r="F10" s="717">
        <f t="shared" si="0"/>
        <v>212733222.03000003</v>
      </c>
      <c r="G10" s="717">
        <f t="shared" si="0"/>
        <v>441142003.85000002</v>
      </c>
    </row>
    <row r="11" spans="1:7" s="528" customFormat="1" ht="12.75" x14ac:dyDescent="0.2">
      <c r="A11" s="628" t="s">
        <v>1222</v>
      </c>
      <c r="B11" s="717">
        <v>5183685.5999999996</v>
      </c>
      <c r="C11" s="717">
        <v>96075.690000000061</v>
      </c>
      <c r="D11" s="717">
        <f>B11+C11</f>
        <v>5279761.29</v>
      </c>
      <c r="E11" s="717">
        <v>2446583.27</v>
      </c>
      <c r="F11" s="717">
        <v>2446583.27</v>
      </c>
      <c r="G11" s="717">
        <f>+D11-E11</f>
        <v>2833178.02</v>
      </c>
    </row>
    <row r="12" spans="1:7" s="528" customFormat="1" ht="25.5" x14ac:dyDescent="0.2">
      <c r="A12" s="628" t="s">
        <v>1223</v>
      </c>
      <c r="B12" s="717">
        <f>349526107.48+64175193</f>
        <v>413701300.48000002</v>
      </c>
      <c r="C12" s="717">
        <v>220015669.46000001</v>
      </c>
      <c r="D12" s="717">
        <f t="shared" ref="D12:D18" si="1">B12+C12</f>
        <v>633716969.94000006</v>
      </c>
      <c r="E12" s="717">
        <v>199718637.28000003</v>
      </c>
      <c r="F12" s="717">
        <v>199718637.28000003</v>
      </c>
      <c r="G12" s="717">
        <f t="shared" ref="G12:G18" si="2">+D12-E12</f>
        <v>433998332.66000003</v>
      </c>
    </row>
    <row r="13" spans="1:7" s="528" customFormat="1" ht="25.5" x14ac:dyDescent="0.2">
      <c r="A13" s="628" t="s">
        <v>1224</v>
      </c>
      <c r="B13" s="717">
        <v>6593987.0599999996</v>
      </c>
      <c r="C13" s="717">
        <v>1517766.9200000004</v>
      </c>
      <c r="D13" s="717">
        <f t="shared" si="1"/>
        <v>8111753.9800000004</v>
      </c>
      <c r="E13" s="717">
        <v>5980836.1699999999</v>
      </c>
      <c r="F13" s="717">
        <v>5980836.1699999999</v>
      </c>
      <c r="G13" s="717">
        <f t="shared" si="2"/>
        <v>2130917.8100000005</v>
      </c>
    </row>
    <row r="14" spans="1:7" s="528" customFormat="1" ht="25.5" x14ac:dyDescent="0.2">
      <c r="A14" s="628" t="s">
        <v>1225</v>
      </c>
      <c r="B14" s="717">
        <v>6512671.9800000004</v>
      </c>
      <c r="C14" s="717">
        <v>254068.68999999994</v>
      </c>
      <c r="D14" s="717">
        <f t="shared" si="1"/>
        <v>6766740.6699999999</v>
      </c>
      <c r="E14" s="717">
        <v>4587165.3099999996</v>
      </c>
      <c r="F14" s="717">
        <v>4587165.3099999996</v>
      </c>
      <c r="G14" s="717">
        <f t="shared" si="2"/>
        <v>2179575.3600000003</v>
      </c>
    </row>
    <row r="15" spans="1:7" s="528" customFormat="1" ht="12.75" x14ac:dyDescent="0.2">
      <c r="A15" s="628"/>
      <c r="B15" s="717"/>
      <c r="C15" s="717"/>
      <c r="D15" s="717">
        <f t="shared" si="1"/>
        <v>0</v>
      </c>
      <c r="E15" s="717"/>
      <c r="F15" s="717"/>
      <c r="G15" s="717">
        <f t="shared" si="2"/>
        <v>0</v>
      </c>
    </row>
    <row r="16" spans="1:7" s="528" customFormat="1" ht="12.75" x14ac:dyDescent="0.2">
      <c r="A16" s="628"/>
      <c r="B16" s="717"/>
      <c r="C16" s="717"/>
      <c r="D16" s="717">
        <f t="shared" si="1"/>
        <v>0</v>
      </c>
      <c r="E16" s="717"/>
      <c r="F16" s="717"/>
      <c r="G16" s="717">
        <f t="shared" si="2"/>
        <v>0</v>
      </c>
    </row>
    <row r="17" spans="1:8" s="528" customFormat="1" ht="12.75" x14ac:dyDescent="0.2">
      <c r="A17" s="628"/>
      <c r="B17" s="717"/>
      <c r="C17" s="717"/>
      <c r="D17" s="717">
        <f t="shared" si="1"/>
        <v>0</v>
      </c>
      <c r="E17" s="717"/>
      <c r="F17" s="717"/>
      <c r="G17" s="717">
        <f t="shared" si="2"/>
        <v>0</v>
      </c>
    </row>
    <row r="18" spans="1:8" s="528" customFormat="1" ht="12.75" x14ac:dyDescent="0.2">
      <c r="A18" s="628"/>
      <c r="B18" s="717"/>
      <c r="C18" s="717"/>
      <c r="D18" s="717">
        <f t="shared" si="1"/>
        <v>0</v>
      </c>
      <c r="E18" s="717"/>
      <c r="F18" s="717"/>
      <c r="G18" s="717">
        <f t="shared" si="2"/>
        <v>0</v>
      </c>
    </row>
    <row r="19" spans="1:8" s="528" customFormat="1" ht="12.75" x14ac:dyDescent="0.2">
      <c r="A19" s="628"/>
      <c r="B19" s="717"/>
      <c r="C19" s="717"/>
      <c r="D19" s="717"/>
      <c r="E19" s="717"/>
      <c r="F19" s="717"/>
      <c r="G19" s="717"/>
    </row>
    <row r="20" spans="1:8" s="528" customFormat="1" ht="12.75" x14ac:dyDescent="0.2">
      <c r="A20" s="636" t="s">
        <v>736</v>
      </c>
      <c r="B20" s="717"/>
      <c r="C20" s="717"/>
      <c r="D20" s="717"/>
      <c r="E20" s="717"/>
      <c r="F20" s="717"/>
      <c r="G20" s="717"/>
    </row>
    <row r="21" spans="1:8" s="528" customFormat="1" ht="12.75" x14ac:dyDescent="0.2">
      <c r="A21" s="636" t="s">
        <v>737</v>
      </c>
      <c r="B21" s="717">
        <f>SUM(B22:B29)</f>
        <v>0</v>
      </c>
      <c r="C21" s="717">
        <f t="shared" ref="C21:G21" si="3">SUM(C22:C29)</f>
        <v>39503957.710000001</v>
      </c>
      <c r="D21" s="717">
        <f t="shared" si="3"/>
        <v>39503957.710000001</v>
      </c>
      <c r="E21" s="717">
        <f t="shared" si="3"/>
        <v>8911583.0700000003</v>
      </c>
      <c r="F21" s="717">
        <f t="shared" si="3"/>
        <v>8911583.0700000003</v>
      </c>
      <c r="G21" s="717">
        <f t="shared" si="3"/>
        <v>30592374.640000001</v>
      </c>
    </row>
    <row r="22" spans="1:8" s="528" customFormat="1" ht="25.5" x14ac:dyDescent="0.2">
      <c r="A22" s="628" t="s">
        <v>1223</v>
      </c>
      <c r="B22" s="717">
        <v>0</v>
      </c>
      <c r="C22" s="717">
        <v>39503957.710000001</v>
      </c>
      <c r="D22" s="717">
        <f t="shared" ref="D22:D29" si="4">B22+C22</f>
        <v>39503957.710000001</v>
      </c>
      <c r="E22" s="717">
        <v>8911583.0700000003</v>
      </c>
      <c r="F22" s="717">
        <v>8911583.0700000003</v>
      </c>
      <c r="G22" s="717">
        <f>+D22-E22</f>
        <v>30592374.640000001</v>
      </c>
    </row>
    <row r="23" spans="1:8" s="528" customFormat="1" ht="12.75" x14ac:dyDescent="0.2">
      <c r="A23" s="628"/>
      <c r="B23" s="717"/>
      <c r="C23" s="717"/>
      <c r="D23" s="717">
        <f t="shared" si="4"/>
        <v>0</v>
      </c>
      <c r="E23" s="717"/>
      <c r="F23" s="717"/>
      <c r="G23" s="717">
        <f t="shared" ref="G23:G29" si="5">+D23-E23</f>
        <v>0</v>
      </c>
    </row>
    <row r="24" spans="1:8" s="528" customFormat="1" ht="12.75" x14ac:dyDescent="0.2">
      <c r="A24" s="628"/>
      <c r="B24" s="717"/>
      <c r="C24" s="717"/>
      <c r="D24" s="717">
        <f t="shared" si="4"/>
        <v>0</v>
      </c>
      <c r="E24" s="717"/>
      <c r="F24" s="717"/>
      <c r="G24" s="717">
        <f t="shared" si="5"/>
        <v>0</v>
      </c>
    </row>
    <row r="25" spans="1:8" s="528" customFormat="1" ht="12.75" x14ac:dyDescent="0.2">
      <c r="A25" s="628"/>
      <c r="B25" s="717"/>
      <c r="C25" s="717"/>
      <c r="D25" s="717">
        <f t="shared" si="4"/>
        <v>0</v>
      </c>
      <c r="E25" s="717"/>
      <c r="F25" s="717"/>
      <c r="G25" s="717">
        <f t="shared" si="5"/>
        <v>0</v>
      </c>
    </row>
    <row r="26" spans="1:8" s="528" customFormat="1" ht="12.75" x14ac:dyDescent="0.2">
      <c r="A26" s="628"/>
      <c r="B26" s="717"/>
      <c r="C26" s="717"/>
      <c r="D26" s="717">
        <f t="shared" si="4"/>
        <v>0</v>
      </c>
      <c r="E26" s="717"/>
      <c r="F26" s="717"/>
      <c r="G26" s="717">
        <f t="shared" si="5"/>
        <v>0</v>
      </c>
    </row>
    <row r="27" spans="1:8" s="528" customFormat="1" ht="12.75" x14ac:dyDescent="0.2">
      <c r="A27" s="628"/>
      <c r="B27" s="717"/>
      <c r="C27" s="717"/>
      <c r="D27" s="717">
        <f t="shared" si="4"/>
        <v>0</v>
      </c>
      <c r="E27" s="717"/>
      <c r="F27" s="717"/>
      <c r="G27" s="717">
        <f t="shared" si="5"/>
        <v>0</v>
      </c>
    </row>
    <row r="28" spans="1:8" s="528" customFormat="1" ht="12.75" x14ac:dyDescent="0.2">
      <c r="A28" s="628"/>
      <c r="B28" s="717"/>
      <c r="C28" s="717"/>
      <c r="D28" s="717">
        <f t="shared" si="4"/>
        <v>0</v>
      </c>
      <c r="E28" s="717"/>
      <c r="F28" s="717"/>
      <c r="G28" s="717">
        <f t="shared" si="5"/>
        <v>0</v>
      </c>
    </row>
    <row r="29" spans="1:8" s="528" customFormat="1" ht="12.75" x14ac:dyDescent="0.2">
      <c r="A29" s="628"/>
      <c r="B29" s="717"/>
      <c r="C29" s="717"/>
      <c r="D29" s="717">
        <f t="shared" si="4"/>
        <v>0</v>
      </c>
      <c r="E29" s="717"/>
      <c r="F29" s="717"/>
      <c r="G29" s="717">
        <f t="shared" si="5"/>
        <v>0</v>
      </c>
    </row>
    <row r="30" spans="1:8" s="528" customFormat="1" ht="12.75" x14ac:dyDescent="0.2">
      <c r="A30" s="716"/>
      <c r="B30" s="717"/>
      <c r="C30" s="717"/>
      <c r="D30" s="717"/>
      <c r="E30" s="717"/>
      <c r="F30" s="717"/>
      <c r="G30" s="717"/>
    </row>
    <row r="31" spans="1:8" s="528" customFormat="1" ht="12.75" x14ac:dyDescent="0.2">
      <c r="A31" s="627" t="s">
        <v>712</v>
      </c>
      <c r="B31" s="717">
        <f>+B10+B21</f>
        <v>431991645.12000006</v>
      </c>
      <c r="C31" s="717">
        <f t="shared" ref="C31:G31" si="6">+C10+C21</f>
        <v>261387538.47</v>
      </c>
      <c r="D31" s="717">
        <f t="shared" si="6"/>
        <v>693379183.59000003</v>
      </c>
      <c r="E31" s="717">
        <f t="shared" si="6"/>
        <v>221644805.10000002</v>
      </c>
      <c r="F31" s="717">
        <f t="shared" si="6"/>
        <v>221644805.10000002</v>
      </c>
      <c r="G31" s="717">
        <f t="shared" si="6"/>
        <v>471734378.49000001</v>
      </c>
      <c r="H31" s="744" t="str">
        <f>IF((B31-'ETCA-II-07'!B32)&gt;0.9,"ERROR!!!!! EL MONTO NO COINCIDE CON LO REPORTADO EN EL FORMATO ETCA-II-07 EN EL TOTAL DEL GASTO","")</f>
        <v/>
      </c>
    </row>
    <row r="32" spans="1:8" ht="15.75" thickBot="1" x14ac:dyDescent="0.3">
      <c r="A32" s="700"/>
      <c r="B32" s="702"/>
      <c r="C32" s="702"/>
      <c r="D32" s="702"/>
      <c r="E32" s="702"/>
      <c r="F32" s="702"/>
      <c r="G32" s="702"/>
      <c r="H32" s="522" t="str">
        <f>IF((C31-'ETCA-II-07'!C32)&gt;0.9,"ERROR!!!!! EL MONTO NO COINCIDE CON LO REPORTADO EN EL FORMATO ETCA-II-07 EN EL TOTAL DEL GASTO","")</f>
        <v/>
      </c>
    </row>
    <row r="33" spans="8:8" x14ac:dyDescent="0.25">
      <c r="H33" s="522" t="str">
        <f>IF((D31-'ETCA-II-07'!D32)&gt;0.9,"ERROR!!!!! EL MONTO NO COINCIDE CON LO REPORTADO EN EL FORMATO ETCA-II-07 EN EL TOTAL DEL GASTO","")</f>
        <v/>
      </c>
    </row>
    <row r="34" spans="8:8" x14ac:dyDescent="0.25">
      <c r="H34" s="522" t="str">
        <f>IF((D31-'ETCA-II-07'!D32)&gt;0.9,"ERROR!!!!! EL MONTO NO COINCIDE CON LO REPORTADO EN EL FORMATO ETCA-II-07 EN EL TOTAL DEL GASTO","")</f>
        <v/>
      </c>
    </row>
    <row r="35" spans="8:8" x14ac:dyDescent="0.25">
      <c r="H35" s="522" t="str">
        <f>IF((F31-'ETCA-II-07'!F32)&gt;0.9,"ERROR!!!!! EL MONTO NO COINCIDE CON LO REPORTADO EN EL FORMATO ETCA-II-07 EN EL TOTAL DEL GASTO","")</f>
        <v/>
      </c>
    </row>
    <row r="36" spans="8:8" x14ac:dyDescent="0.25">
      <c r="H36" s="522" t="str">
        <f>IF((G31-'ETCA-II-07'!G32)&gt;0.9,"ERROR!!!!! EL MONTO NO COINCIDE CON LO REPORTADO EN EL FORMATO ETCA-II-07 EN EL TOTAL DEL GASTO","")</f>
        <v/>
      </c>
    </row>
  </sheetData>
  <mergeCells count="9">
    <mergeCell ref="A7:A8"/>
    <mergeCell ref="B7:F7"/>
    <mergeCell ref="G7:G8"/>
    <mergeCell ref="A1:G1"/>
    <mergeCell ref="A3:G3"/>
    <mergeCell ref="A4:G4"/>
    <mergeCell ref="A5:G5"/>
    <mergeCell ref="A6:G6"/>
    <mergeCell ref="A2:G2"/>
  </mergeCells>
  <pageMargins left="0.70866141732283472" right="0.70866141732283472" top="0.35433070866141736" bottom="0.35433070866141736"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2"/>
  <sheetViews>
    <sheetView view="pageBreakPreview" zoomScaleNormal="100" zoomScaleSheetLayoutView="100" workbookViewId="0">
      <selection activeCell="E10" sqref="E10:F10"/>
    </sheetView>
  </sheetViews>
  <sheetFormatPr baseColWidth="10" defaultColWidth="11.28515625" defaultRowHeight="16.5" x14ac:dyDescent="0.25"/>
  <cols>
    <col min="1" max="1" width="39.85546875" style="280" customWidth="1"/>
    <col min="2" max="7" width="13.7109375" style="280" customWidth="1"/>
    <col min="8" max="16384" width="11.28515625" style="280"/>
  </cols>
  <sheetData>
    <row r="1" spans="1:8" x14ac:dyDescent="0.25">
      <c r="A1" s="983" t="s">
        <v>25</v>
      </c>
      <c r="B1" s="983"/>
      <c r="C1" s="983"/>
      <c r="D1" s="983"/>
      <c r="E1" s="983"/>
      <c r="F1" s="983"/>
      <c r="G1" s="983"/>
    </row>
    <row r="2" spans="1:8" s="282" customFormat="1" x14ac:dyDescent="0.25">
      <c r="A2" s="983" t="s">
        <v>568</v>
      </c>
      <c r="B2" s="983"/>
      <c r="C2" s="983"/>
      <c r="D2" s="983"/>
      <c r="E2" s="983"/>
      <c r="F2" s="983"/>
      <c r="G2" s="983"/>
    </row>
    <row r="3" spans="1:8" s="282" customFormat="1" x14ac:dyDescent="0.25">
      <c r="A3" s="1151" t="s">
        <v>738</v>
      </c>
      <c r="B3" s="1151"/>
      <c r="C3" s="1151"/>
      <c r="D3" s="1151"/>
      <c r="E3" s="1151"/>
      <c r="F3" s="1151"/>
      <c r="G3" s="1151"/>
    </row>
    <row r="4" spans="1:8" s="282" customFormat="1" x14ac:dyDescent="0.25">
      <c r="A4" s="984" t="str">
        <f>'ETCA-I-01'!A3:G3</f>
        <v>Consejo Estatal de Concertacion para la Obra Publica</v>
      </c>
      <c r="B4" s="984"/>
      <c r="C4" s="984"/>
      <c r="D4" s="984"/>
      <c r="E4" s="984"/>
      <c r="F4" s="984"/>
      <c r="G4" s="984"/>
    </row>
    <row r="5" spans="1:8" s="282" customFormat="1" x14ac:dyDescent="0.25">
      <c r="A5" s="985" t="str">
        <f>'ETCA-I-03'!A4:D4</f>
        <v>Del 01 de Enero  al 30 de Septiembre de 2017</v>
      </c>
      <c r="B5" s="985"/>
      <c r="C5" s="985"/>
      <c r="D5" s="985"/>
      <c r="E5" s="985"/>
      <c r="F5" s="985"/>
      <c r="G5" s="985"/>
    </row>
    <row r="6" spans="1:8" s="282" customFormat="1" ht="17.25" thickBot="1" x14ac:dyDescent="0.3">
      <c r="A6" s="1102" t="s">
        <v>739</v>
      </c>
      <c r="B6" s="1102"/>
      <c r="C6" s="1102"/>
      <c r="D6" s="1102"/>
      <c r="E6" s="1102"/>
      <c r="F6" s="42"/>
      <c r="G6" s="433"/>
    </row>
    <row r="7" spans="1:8" s="293" customFormat="1" ht="53.25" customHeight="1" x14ac:dyDescent="0.25">
      <c r="A7" s="1149" t="s">
        <v>738</v>
      </c>
      <c r="B7" s="300" t="s">
        <v>572</v>
      </c>
      <c r="C7" s="300" t="s">
        <v>482</v>
      </c>
      <c r="D7" s="300" t="s">
        <v>573</v>
      </c>
      <c r="E7" s="300" t="s">
        <v>574</v>
      </c>
      <c r="F7" s="300" t="s">
        <v>575</v>
      </c>
      <c r="G7" s="301" t="s">
        <v>576</v>
      </c>
    </row>
    <row r="8" spans="1:8" s="299" customFormat="1" ht="15.75" customHeight="1" thickBot="1" x14ac:dyDescent="0.3">
      <c r="A8" s="1150"/>
      <c r="B8" s="294" t="s">
        <v>447</v>
      </c>
      <c r="C8" s="294" t="s">
        <v>448</v>
      </c>
      <c r="D8" s="294" t="s">
        <v>577</v>
      </c>
      <c r="E8" s="294" t="s">
        <v>450</v>
      </c>
      <c r="F8" s="294" t="s">
        <v>451</v>
      </c>
      <c r="G8" s="295" t="s">
        <v>578</v>
      </c>
    </row>
    <row r="9" spans="1:8" ht="30" customHeight="1" x14ac:dyDescent="0.25">
      <c r="A9" s="527"/>
      <c r="B9" s="303"/>
      <c r="C9" s="303"/>
      <c r="D9" s="303"/>
      <c r="E9" s="303"/>
      <c r="F9" s="303"/>
      <c r="G9" s="304"/>
    </row>
    <row r="10" spans="1:8" ht="30" customHeight="1" x14ac:dyDescent="0.25">
      <c r="A10" s="289" t="s">
        <v>740</v>
      </c>
      <c r="B10" s="456">
        <v>431991645.12</v>
      </c>
      <c r="C10" s="456">
        <v>261387538.46999994</v>
      </c>
      <c r="D10" s="457">
        <f>B10+C10</f>
        <v>693379183.58999991</v>
      </c>
      <c r="E10" s="456">
        <v>221644805.09999996</v>
      </c>
      <c r="F10" s="456">
        <v>221644805.09999996</v>
      </c>
      <c r="G10" s="458">
        <f>D10-E10</f>
        <v>471734378.48999995</v>
      </c>
    </row>
    <row r="11" spans="1:8" ht="30" customHeight="1" x14ac:dyDescent="0.25">
      <c r="A11" s="289" t="s">
        <v>741</v>
      </c>
      <c r="B11" s="456"/>
      <c r="C11" s="456"/>
      <c r="D11" s="457">
        <f>B11+C11</f>
        <v>0</v>
      </c>
      <c r="E11" s="456"/>
      <c r="F11" s="456"/>
      <c r="G11" s="458">
        <f>D11-E11</f>
        <v>0</v>
      </c>
    </row>
    <row r="12" spans="1:8" ht="30" customHeight="1" x14ac:dyDescent="0.25">
      <c r="A12" s="289" t="s">
        <v>742</v>
      </c>
      <c r="B12" s="456"/>
      <c r="C12" s="456"/>
      <c r="D12" s="457">
        <f>B12+C12</f>
        <v>0</v>
      </c>
      <c r="E12" s="456"/>
      <c r="F12" s="456"/>
      <c r="G12" s="458">
        <f>D12-E12</f>
        <v>0</v>
      </c>
    </row>
    <row r="13" spans="1:8" ht="30" customHeight="1" x14ac:dyDescent="0.25">
      <c r="A13" s="289" t="s">
        <v>743</v>
      </c>
      <c r="B13" s="456"/>
      <c r="C13" s="456"/>
      <c r="D13" s="457">
        <f>B13+C13</f>
        <v>0</v>
      </c>
      <c r="E13" s="456"/>
      <c r="F13" s="456"/>
      <c r="G13" s="458">
        <f>D13-E13</f>
        <v>0</v>
      </c>
    </row>
    <row r="14" spans="1:8" ht="30" customHeight="1" thickBot="1" x14ac:dyDescent="0.3">
      <c r="A14" s="526"/>
      <c r="B14" s="464"/>
      <c r="C14" s="464"/>
      <c r="D14" s="464"/>
      <c r="E14" s="464"/>
      <c r="F14" s="464"/>
      <c r="G14" s="465"/>
    </row>
    <row r="15" spans="1:8" s="293" customFormat="1" ht="30" customHeight="1" thickBot="1" x14ac:dyDescent="0.3">
      <c r="A15" s="815" t="s">
        <v>628</v>
      </c>
      <c r="B15" s="466">
        <f>SUM(B10:B13)</f>
        <v>431991645.12</v>
      </c>
      <c r="C15" s="466">
        <f>SUM(C10:C13)</f>
        <v>261387538.46999994</v>
      </c>
      <c r="D15" s="466">
        <f>B15+C15</f>
        <v>693379183.58999991</v>
      </c>
      <c r="E15" s="466">
        <f>SUM(E10:E13)</f>
        <v>221644805.09999996</v>
      </c>
      <c r="F15" s="466">
        <f>SUM(F10:F13)</f>
        <v>221644805.09999996</v>
      </c>
      <c r="G15" s="467">
        <f>D15-E15</f>
        <v>471734378.48999995</v>
      </c>
      <c r="H15" s="522" t="str">
        <f>IF((B15-'ETCA II-04'!B81)&gt;0.9,"ERROR!!!!! EL MONTO NO COINCIDE CON LO REPORTADO EN EL FORMATO ETCA-II-04 EN EL TOTAL APROBADO ANUAL DEL ANALÍTICO DE EGRESOS","")</f>
        <v/>
      </c>
    </row>
    <row r="16" spans="1:8" s="293" customFormat="1" ht="30" customHeight="1" x14ac:dyDescent="0.25">
      <c r="A16" s="504"/>
      <c r="B16" s="505"/>
      <c r="C16" s="505"/>
      <c r="D16" s="505"/>
      <c r="E16" s="505"/>
      <c r="F16" s="505"/>
      <c r="G16" s="505"/>
      <c r="H16" s="522" t="str">
        <f>IF((C15-'ETCA II-04'!C81)&gt;0.9,"ERROR!!!!! EL MONTO NO COINCIDE CON LO REPORTADO EN EL FORMATO ETCA-II-04 EN EL TOTAL APROBADO ANUAL DEL ANALÍTICO DE EGRESOS","")</f>
        <v/>
      </c>
    </row>
    <row r="17" spans="1:8" s="293" customFormat="1" ht="30" customHeight="1" x14ac:dyDescent="0.25">
      <c r="A17" s="504"/>
      <c r="B17" s="505"/>
      <c r="C17" s="505"/>
      <c r="D17" s="505"/>
      <c r="E17" s="505"/>
      <c r="F17" s="505"/>
      <c r="G17" s="505"/>
      <c r="H17" s="522" t="str">
        <f>IF((D15-'ETCA II-04'!D81)&gt;0.9,"ERROR!!!!! EL MONTO NO COINCIDE CON LO REPORTADO EN EL FORMATO ETCA-II-04 EN EL TOTAL APROBADO ANUAL DEL ANALÍTICO DE EGRESOS","")</f>
        <v/>
      </c>
    </row>
    <row r="18" spans="1:8" s="293" customFormat="1" ht="18" customHeight="1" x14ac:dyDescent="0.25">
      <c r="A18" s="504"/>
      <c r="B18" s="505"/>
      <c r="C18" s="505"/>
      <c r="D18" s="505"/>
      <c r="E18" s="505"/>
      <c r="F18" s="505"/>
      <c r="G18" s="505"/>
      <c r="H18" s="522" t="str">
        <f>IF((E15-'ETCA II-04'!E81)&gt;0.9,"ERROR!!!!! EL MONTO NO COINCIDE CON LO REPORTADO EN EL FORMATO ETCA-II-04 EN EL TOTAL APROBADO ANUAL DEL ANALÍTICO DE EGRESOS","")</f>
        <v/>
      </c>
    </row>
    <row r="19" spans="1:8" s="293" customFormat="1" ht="18" customHeight="1" x14ac:dyDescent="0.25">
      <c r="A19" s="504"/>
      <c r="B19" s="505"/>
      <c r="C19" s="505"/>
      <c r="D19" s="505"/>
      <c r="E19" s="505"/>
      <c r="F19" s="505"/>
      <c r="G19" s="505"/>
      <c r="H19" s="522" t="str">
        <f>IF((F15-'ETCA II-04'!F81)&gt;0.9,"ERROR!!!!! EL MONTO NO COINCIDE CON LO REPORTADO EN EL FORMATO ETCA-II-04 EN EL TOTAL APROBADO ANUAL DEL ANALÍTICO DE EGRESOS","")</f>
        <v/>
      </c>
    </row>
    <row r="20" spans="1:8" x14ac:dyDescent="0.25">
      <c r="H20" s="522" t="str">
        <f>IF((G15-'ETCA II-04'!G81)&gt;0.9,"ERROR!!!!! EL MONTO NO COINCIDE CON LO REPORTADO EN EL FORMATO ETCA-II-04 EN EL TOTAL APROBADO ANUAL DEL ANALÍTICO DE EGRESOS","")</f>
        <v/>
      </c>
    </row>
    <row r="21" spans="1:8" x14ac:dyDescent="0.25">
      <c r="H21" s="522" t="str">
        <f>IF((B21-'ETCA II-04'!B87)&gt;0.9,"ERROR!!!!! EL MONTO NO COINCIDE CON LO REPORTADO EN EL FORMATO ETCA-II-04 EN EL TOTAL APROBADO ANUAL DEL ANALÍTICO DE EGRESOS","")</f>
        <v/>
      </c>
    </row>
    <row r="22" spans="1:8" x14ac:dyDescent="0.25">
      <c r="H22" s="522" t="str">
        <f>IF(G15&lt;&gt;'ETCA II-04'!G81,"ERROR!!!!! EL MONTO NO COINCIDE CON LO REPORTADO EN EL FORMATO ETCA-II-04 EN EL TOTAL SUBEJERCICIO PRESENTADO EN EL ANALÍTICO DE EGRESOS","")</f>
        <v/>
      </c>
    </row>
  </sheetData>
  <sheetProtection password="C115" sheet="1" scenarios="1" formatColumns="0" formatRows="0" insertHyperlinks="0"/>
  <mergeCells count="7">
    <mergeCell ref="A7:A8"/>
    <mergeCell ref="A5:G5"/>
    <mergeCell ref="A1:G1"/>
    <mergeCell ref="A2:G2"/>
    <mergeCell ref="A3:G3"/>
    <mergeCell ref="A4:G4"/>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1"/>
  <sheetViews>
    <sheetView view="pageBreakPreview" zoomScaleNormal="100" zoomScaleSheetLayoutView="100" workbookViewId="0">
      <selection activeCell="E10" sqref="E10:F10"/>
    </sheetView>
  </sheetViews>
  <sheetFormatPr baseColWidth="10" defaultColWidth="11.28515625" defaultRowHeight="16.5" x14ac:dyDescent="0.25"/>
  <cols>
    <col min="1" max="1" width="39.85546875" style="280" customWidth="1"/>
    <col min="2" max="7" width="13.7109375" style="280" customWidth="1"/>
    <col min="8" max="16384" width="11.28515625" style="280"/>
  </cols>
  <sheetData>
    <row r="1" spans="1:7" x14ac:dyDescent="0.25">
      <c r="A1" s="1151" t="s">
        <v>25</v>
      </c>
      <c r="B1" s="1151"/>
      <c r="C1" s="1151"/>
      <c r="D1" s="1151"/>
      <c r="E1" s="1151"/>
      <c r="F1" s="1151"/>
      <c r="G1" s="1151"/>
    </row>
    <row r="2" spans="1:7" x14ac:dyDescent="0.25">
      <c r="A2" s="1151" t="s">
        <v>568</v>
      </c>
      <c r="B2" s="1151"/>
      <c r="C2" s="1151"/>
      <c r="D2" s="1151"/>
      <c r="E2" s="1151"/>
      <c r="F2" s="1151"/>
      <c r="G2" s="1151"/>
    </row>
    <row r="3" spans="1:7" x14ac:dyDescent="0.25">
      <c r="A3" s="1151" t="s">
        <v>744</v>
      </c>
      <c r="B3" s="1151"/>
      <c r="C3" s="1151"/>
      <c r="D3" s="1151"/>
      <c r="E3" s="1151"/>
      <c r="F3" s="1151"/>
      <c r="G3" s="1151"/>
    </row>
    <row r="4" spans="1:7" x14ac:dyDescent="0.25">
      <c r="A4" s="984" t="str">
        <f>'ETCA-I-01'!A3:G3</f>
        <v>Consejo Estatal de Concertacion para la Obra Publica</v>
      </c>
      <c r="B4" s="984"/>
      <c r="C4" s="984"/>
      <c r="D4" s="984"/>
      <c r="E4" s="984"/>
      <c r="F4" s="984"/>
      <c r="G4" s="984"/>
    </row>
    <row r="5" spans="1:7" x14ac:dyDescent="0.25">
      <c r="A5" s="985" t="str">
        <f>'ETCA-I-03'!A4:D4</f>
        <v>Del 01 de Enero  al 30 de Septiembre de 2017</v>
      </c>
      <c r="B5" s="985"/>
      <c r="C5" s="985"/>
      <c r="D5" s="985"/>
      <c r="E5" s="985"/>
      <c r="F5" s="985"/>
      <c r="G5" s="985"/>
    </row>
    <row r="6" spans="1:7" ht="17.25" thickBot="1" x14ac:dyDescent="0.3">
      <c r="A6" s="1102" t="s">
        <v>745</v>
      </c>
      <c r="B6" s="1102"/>
      <c r="C6" s="1102"/>
      <c r="D6" s="1102"/>
      <c r="E6" s="1102"/>
      <c r="F6" s="42"/>
      <c r="G6" s="433"/>
    </row>
    <row r="7" spans="1:7" s="286" customFormat="1" ht="40.5" x14ac:dyDescent="0.25">
      <c r="A7" s="1152" t="s">
        <v>261</v>
      </c>
      <c r="B7" s="307" t="s">
        <v>572</v>
      </c>
      <c r="C7" s="307" t="s">
        <v>482</v>
      </c>
      <c r="D7" s="307" t="s">
        <v>573</v>
      </c>
      <c r="E7" s="307" t="s">
        <v>574</v>
      </c>
      <c r="F7" s="307" t="s">
        <v>575</v>
      </c>
      <c r="G7" s="308" t="s">
        <v>576</v>
      </c>
    </row>
    <row r="8" spans="1:7" s="286" customFormat="1" ht="15.75" customHeight="1" thickBot="1" x14ac:dyDescent="0.3">
      <c r="A8" s="1153"/>
      <c r="B8" s="294" t="s">
        <v>447</v>
      </c>
      <c r="C8" s="294" t="s">
        <v>448</v>
      </c>
      <c r="D8" s="294" t="s">
        <v>577</v>
      </c>
      <c r="E8" s="294" t="s">
        <v>450</v>
      </c>
      <c r="F8" s="294" t="s">
        <v>451</v>
      </c>
      <c r="G8" s="295" t="s">
        <v>578</v>
      </c>
    </row>
    <row r="9" spans="1:7" x14ac:dyDescent="0.25">
      <c r="A9" s="302"/>
      <c r="B9" s="305"/>
      <c r="C9" s="305"/>
      <c r="D9" s="306"/>
      <c r="E9" s="305"/>
      <c r="F9" s="305"/>
      <c r="G9" s="309"/>
    </row>
    <row r="10" spans="1:7" ht="25.5" x14ac:dyDescent="0.25">
      <c r="A10" s="310" t="s">
        <v>746</v>
      </c>
      <c r="B10" s="456">
        <v>431991645.12</v>
      </c>
      <c r="C10" s="456">
        <v>261387538.46999994</v>
      </c>
      <c r="D10" s="457">
        <f>IF(A10="","",B10+C10)</f>
        <v>693379183.58999991</v>
      </c>
      <c r="E10" s="456">
        <v>221644805.09999996</v>
      </c>
      <c r="F10" s="456">
        <v>221644805.09999996</v>
      </c>
      <c r="G10" s="458">
        <f>IF(A10="","",D10-E10)</f>
        <v>471734378.48999995</v>
      </c>
    </row>
    <row r="11" spans="1:7" ht="8.25" customHeight="1" x14ac:dyDescent="0.25">
      <c r="A11" s="310"/>
      <c r="B11" s="456"/>
      <c r="C11" s="456"/>
      <c r="D11" s="457" t="str">
        <f t="shared" ref="D11:D22" si="0">IF(A11="","",B11+C11)</f>
        <v/>
      </c>
      <c r="E11" s="456"/>
      <c r="F11" s="456"/>
      <c r="G11" s="458" t="str">
        <f t="shared" ref="G11:G22" si="1">IF(A11="","",D11-E11)</f>
        <v/>
      </c>
    </row>
    <row r="12" spans="1:7" x14ac:dyDescent="0.25">
      <c r="A12" s="310" t="s">
        <v>747</v>
      </c>
      <c r="B12" s="456"/>
      <c r="C12" s="456"/>
      <c r="D12" s="457">
        <f t="shared" si="0"/>
        <v>0</v>
      </c>
      <c r="E12" s="456"/>
      <c r="F12" s="456"/>
      <c r="G12" s="458">
        <f t="shared" si="1"/>
        <v>0</v>
      </c>
    </row>
    <row r="13" spans="1:7" ht="8.25" customHeight="1" x14ac:dyDescent="0.25">
      <c r="A13" s="310"/>
      <c r="B13" s="456"/>
      <c r="C13" s="456"/>
      <c r="D13" s="457" t="str">
        <f t="shared" si="0"/>
        <v/>
      </c>
      <c r="E13" s="456"/>
      <c r="F13" s="456"/>
      <c r="G13" s="458" t="str">
        <f t="shared" si="1"/>
        <v/>
      </c>
    </row>
    <row r="14" spans="1:7" ht="25.5" x14ac:dyDescent="0.25">
      <c r="A14" s="310" t="s">
        <v>748</v>
      </c>
      <c r="B14" s="456"/>
      <c r="C14" s="456"/>
      <c r="D14" s="457">
        <f t="shared" si="0"/>
        <v>0</v>
      </c>
      <c r="E14" s="456"/>
      <c r="F14" s="456"/>
      <c r="G14" s="458">
        <f t="shared" si="1"/>
        <v>0</v>
      </c>
    </row>
    <row r="15" spans="1:7" ht="8.25" customHeight="1" x14ac:dyDescent="0.25">
      <c r="A15" s="310"/>
      <c r="B15" s="456"/>
      <c r="C15" s="456"/>
      <c r="D15" s="457" t="str">
        <f t="shared" si="0"/>
        <v/>
      </c>
      <c r="E15" s="456"/>
      <c r="F15" s="456"/>
      <c r="G15" s="458" t="str">
        <f t="shared" si="1"/>
        <v/>
      </c>
    </row>
    <row r="16" spans="1:7" ht="25.5" x14ac:dyDescent="0.25">
      <c r="A16" s="310" t="s">
        <v>749</v>
      </c>
      <c r="B16" s="456"/>
      <c r="C16" s="456"/>
      <c r="D16" s="457">
        <f t="shared" si="0"/>
        <v>0</v>
      </c>
      <c r="E16" s="456"/>
      <c r="F16" s="456"/>
      <c r="G16" s="458">
        <f t="shared" si="1"/>
        <v>0</v>
      </c>
    </row>
    <row r="17" spans="1:8" ht="8.25" customHeight="1" x14ac:dyDescent="0.25">
      <c r="A17" s="310"/>
      <c r="B17" s="456"/>
      <c r="C17" s="456"/>
      <c r="D17" s="457" t="str">
        <f t="shared" si="0"/>
        <v/>
      </c>
      <c r="E17" s="456"/>
      <c r="F17" s="456"/>
      <c r="G17" s="458" t="str">
        <f t="shared" si="1"/>
        <v/>
      </c>
    </row>
    <row r="18" spans="1:8" ht="25.5" x14ac:dyDescent="0.25">
      <c r="A18" s="310" t="s">
        <v>750</v>
      </c>
      <c r="B18" s="456"/>
      <c r="C18" s="456"/>
      <c r="D18" s="457">
        <f t="shared" si="0"/>
        <v>0</v>
      </c>
      <c r="E18" s="456"/>
      <c r="F18" s="456"/>
      <c r="G18" s="458">
        <f t="shared" si="1"/>
        <v>0</v>
      </c>
    </row>
    <row r="19" spans="1:8" ht="8.25" customHeight="1" x14ac:dyDescent="0.25">
      <c r="A19" s="310"/>
      <c r="B19" s="456"/>
      <c r="C19" s="456"/>
      <c r="D19" s="457" t="str">
        <f t="shared" si="0"/>
        <v/>
      </c>
      <c r="E19" s="456"/>
      <c r="F19" s="456"/>
      <c r="G19" s="458" t="str">
        <f t="shared" si="1"/>
        <v/>
      </c>
    </row>
    <row r="20" spans="1:8" ht="25.5" x14ac:dyDescent="0.25">
      <c r="A20" s="310" t="s">
        <v>751</v>
      </c>
      <c r="B20" s="456"/>
      <c r="C20" s="456"/>
      <c r="D20" s="457">
        <f t="shared" si="0"/>
        <v>0</v>
      </c>
      <c r="E20" s="456"/>
      <c r="F20" s="456"/>
      <c r="G20" s="458">
        <f t="shared" si="1"/>
        <v>0</v>
      </c>
    </row>
    <row r="21" spans="1:8" ht="8.25" customHeight="1" x14ac:dyDescent="0.25">
      <c r="A21" s="310"/>
      <c r="B21" s="456"/>
      <c r="C21" s="456"/>
      <c r="D21" s="457" t="str">
        <f t="shared" si="0"/>
        <v/>
      </c>
      <c r="E21" s="456"/>
      <c r="F21" s="456"/>
      <c r="G21" s="458" t="str">
        <f t="shared" si="1"/>
        <v/>
      </c>
    </row>
    <row r="22" spans="1:8" ht="26.25" thickBot="1" x14ac:dyDescent="0.3">
      <c r="A22" s="310" t="s">
        <v>752</v>
      </c>
      <c r="B22" s="456"/>
      <c r="C22" s="456"/>
      <c r="D22" s="457">
        <f t="shared" si="0"/>
        <v>0</v>
      </c>
      <c r="E22" s="456"/>
      <c r="F22" s="456"/>
      <c r="G22" s="458">
        <f t="shared" si="1"/>
        <v>0</v>
      </c>
    </row>
    <row r="23" spans="1:8" ht="24.95" customHeight="1" thickBot="1" x14ac:dyDescent="0.3">
      <c r="A23" s="298" t="s">
        <v>628</v>
      </c>
      <c r="B23" s="462">
        <f>SUM(B10:B22)</f>
        <v>431991645.12</v>
      </c>
      <c r="C23" s="462">
        <f>SUM(C10:C22)</f>
        <v>261387538.46999994</v>
      </c>
      <c r="D23" s="462">
        <f>IF(A23="","",B23+C23)</f>
        <v>693379183.58999991</v>
      </c>
      <c r="E23" s="462">
        <f>SUM(E10:E22)</f>
        <v>221644805.09999996</v>
      </c>
      <c r="F23" s="462">
        <f>SUM(F10:F22)</f>
        <v>221644805.09999996</v>
      </c>
      <c r="G23" s="463">
        <f>IF(A23="","",D23-E23)</f>
        <v>471734378.48999995</v>
      </c>
      <c r="H23" s="522" t="str">
        <f>IF((B23-'ETCA II-04'!B81)&gt;0.9,"ERROR!!!!! EL MONTO NO COINCIDE CON LO REPORTADO EN EL FORMATO ETCA-II-04 EN EL TOTAL APROBADO ANUAL DEL ANALÍTICO DE EGRESOS","")</f>
        <v/>
      </c>
    </row>
    <row r="24" spans="1:8" ht="24.95" customHeight="1" x14ac:dyDescent="0.25">
      <c r="A24" s="539"/>
      <c r="B24" s="540"/>
      <c r="C24" s="540"/>
      <c r="D24" s="540"/>
      <c r="E24" s="540"/>
      <c r="F24" s="540"/>
      <c r="G24" s="540"/>
      <c r="H24" s="522" t="str">
        <f>IF((C23-'ETCA II-04'!C81)&gt;0.9,"ERROR!!!!! EL MONTO NO COINCIDE CON LO REPORTADO EN EL FORMATO ETCA-II-04 EN EL TOTAL APROBADO ANUAL DEL ANALÍTICO DE EGRESOS","")</f>
        <v/>
      </c>
    </row>
    <row r="25" spans="1:8" ht="24.95" customHeight="1" x14ac:dyDescent="0.25">
      <c r="A25" s="506"/>
      <c r="B25" s="505"/>
      <c r="C25" s="505"/>
      <c r="D25" s="505"/>
      <c r="E25" s="505"/>
      <c r="F25" s="505"/>
      <c r="G25" s="505"/>
      <c r="H25" s="522" t="str">
        <f>IF((D23-'ETCA II-04'!D81)&gt;0.9,"ERROR!!!!! EL MONTO NO COINCIDE CON LO REPORTADO EN EL FORMATO ETCA-II-04 EN EL TOTAL APROBADO ANUAL DEL ANALÍTICO DE EGRESOS","")</f>
        <v/>
      </c>
    </row>
    <row r="26" spans="1:8" ht="24.95" customHeight="1" x14ac:dyDescent="0.25">
      <c r="A26" s="541"/>
      <c r="B26" s="508"/>
      <c r="C26" s="508"/>
      <c r="D26" s="509"/>
      <c r="E26" s="508"/>
      <c r="F26" s="508"/>
      <c r="G26" s="509"/>
      <c r="H26" s="522" t="str">
        <f>IF((E23-'ETCA II-04'!E81)&gt;0.9,"ERROR!!!!! EL MONTO NO COINCIDE CON LO REPORTADO EN EL FORMATO ETCA-II-04 EN EL TOTAL APROBADO ANUAL DEL ANALÍTICO DE EGRESOS","")</f>
        <v/>
      </c>
    </row>
    <row r="27" spans="1:8" ht="24.95" customHeight="1" x14ac:dyDescent="0.25">
      <c r="A27" s="541"/>
      <c r="B27" s="508"/>
      <c r="C27" s="508"/>
      <c r="D27" s="509"/>
      <c r="E27" s="508"/>
      <c r="F27" s="508"/>
      <c r="G27" s="509"/>
      <c r="H27" s="522" t="str">
        <f>IF((F23-'ETCA II-04'!F81)&gt;0.9,"ERROR!!!!! EL MONTO NO COINCIDE CON LO REPORTADO EN EL FORMATO ETCA-II-04 EN EL TOTAL APROBADO ANUAL DEL ANALÍTICO DE EGRESOS","")</f>
        <v/>
      </c>
    </row>
    <row r="28" spans="1:8" ht="25.5" customHeight="1" x14ac:dyDescent="0.25">
      <c r="A28" s="506"/>
      <c r="B28" s="505"/>
      <c r="C28" s="505"/>
      <c r="D28" s="505"/>
      <c r="E28" s="505"/>
      <c r="F28" s="505"/>
      <c r="G28" s="505"/>
      <c r="H28" s="522" t="str">
        <f>IF((G23-'ETCA II-04'!G81)&gt;0.9,"ERROR!!!!! EL MONTO NO COINCIDE CON LO REPORTADO EN EL FORMATO ETCA-II-04 EN EL TOTAL APROBADO ANUAL DEL ANALÍTICO DE EGRESOS","")</f>
        <v/>
      </c>
    </row>
    <row r="30" spans="1:8" x14ac:dyDescent="0.25">
      <c r="F30" s="293"/>
    </row>
    <row r="31" spans="1:8" x14ac:dyDescent="0.25">
      <c r="F31" s="293"/>
    </row>
  </sheetData>
  <sheetProtection password="C115" sheet="1" scenarios="1" formatColumns="0" formatRows="0" insertHyperlinks="0"/>
  <mergeCells count="7">
    <mergeCell ref="A7:A8"/>
    <mergeCell ref="A1:G1"/>
    <mergeCell ref="A2:G2"/>
    <mergeCell ref="A3:G3"/>
    <mergeCell ref="A4:G4"/>
    <mergeCell ref="A5:G5"/>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0"/>
  <sheetViews>
    <sheetView workbookViewId="0">
      <selection activeCell="E22" sqref="E22:F22"/>
    </sheetView>
  </sheetViews>
  <sheetFormatPr baseColWidth="10" defaultRowHeight="15" x14ac:dyDescent="0.25"/>
  <cols>
    <col min="1" max="1" width="36.7109375" customWidth="1"/>
    <col min="2" max="5" width="11.28515625"/>
    <col min="6" max="6" width="11.85546875" customWidth="1"/>
  </cols>
  <sheetData>
    <row r="1" spans="1:7" ht="16.5" x14ac:dyDescent="0.25">
      <c r="A1" s="1151" t="s">
        <v>25</v>
      </c>
      <c r="B1" s="1151"/>
      <c r="C1" s="1151"/>
      <c r="D1" s="1151"/>
      <c r="E1" s="1151"/>
      <c r="F1" s="1151"/>
      <c r="G1" s="1151"/>
    </row>
    <row r="2" spans="1:7" ht="16.5" x14ac:dyDescent="0.25">
      <c r="A2" s="1151" t="s">
        <v>568</v>
      </c>
      <c r="B2" s="1151"/>
      <c r="C2" s="1151"/>
      <c r="D2" s="1151"/>
      <c r="E2" s="1151"/>
      <c r="F2" s="1151"/>
      <c r="G2" s="1151"/>
    </row>
    <row r="3" spans="1:7" ht="16.5" x14ac:dyDescent="0.25">
      <c r="A3" s="1151" t="s">
        <v>753</v>
      </c>
      <c r="B3" s="1151"/>
      <c r="C3" s="1151"/>
      <c r="D3" s="1151"/>
      <c r="E3" s="1151"/>
      <c r="F3" s="1151"/>
      <c r="G3" s="1151"/>
    </row>
    <row r="4" spans="1:7" ht="15.75" x14ac:dyDescent="0.25">
      <c r="A4" s="984" t="str">
        <f>'ETCA-I-01'!A3:G3</f>
        <v>Consejo Estatal de Concertacion para la Obra Publica</v>
      </c>
      <c r="B4" s="984"/>
      <c r="C4" s="984"/>
      <c r="D4" s="984"/>
      <c r="E4" s="984"/>
      <c r="F4" s="984"/>
      <c r="G4" s="984"/>
    </row>
    <row r="5" spans="1:7" ht="16.5" x14ac:dyDescent="0.25">
      <c r="A5" s="985" t="str">
        <f>'ETCA-I-03'!A4:D4</f>
        <v>Del 01 de Enero  al 30 de Septiembre de 2017</v>
      </c>
      <c r="B5" s="985"/>
      <c r="C5" s="985"/>
      <c r="D5" s="985"/>
      <c r="E5" s="985"/>
      <c r="F5" s="985"/>
      <c r="G5" s="985"/>
    </row>
    <row r="6" spans="1:7" ht="17.25" thickBot="1" x14ac:dyDescent="0.3">
      <c r="A6" s="160"/>
      <c r="B6" s="1154"/>
      <c r="C6" s="1154"/>
      <c r="D6" s="1154"/>
      <c r="E6" s="1154"/>
      <c r="F6" s="311"/>
      <c r="G6" s="434"/>
    </row>
    <row r="7" spans="1:7" ht="40.5" x14ac:dyDescent="0.25">
      <c r="A7" s="1152" t="s">
        <v>261</v>
      </c>
      <c r="B7" s="312" t="s">
        <v>572</v>
      </c>
      <c r="C7" s="312" t="s">
        <v>482</v>
      </c>
      <c r="D7" s="312" t="s">
        <v>573</v>
      </c>
      <c r="E7" s="312" t="s">
        <v>574</v>
      </c>
      <c r="F7" s="312" t="s">
        <v>575</v>
      </c>
      <c r="G7" s="313" t="s">
        <v>576</v>
      </c>
    </row>
    <row r="8" spans="1:7" ht="15.75" thickBot="1" x14ac:dyDescent="0.3">
      <c r="A8" s="1153"/>
      <c r="B8" s="314" t="s">
        <v>447</v>
      </c>
      <c r="C8" s="314" t="s">
        <v>448</v>
      </c>
      <c r="D8" s="314" t="s">
        <v>577</v>
      </c>
      <c r="E8" s="314" t="s">
        <v>450</v>
      </c>
      <c r="F8" s="314" t="s">
        <v>451</v>
      </c>
      <c r="G8" s="315" t="s">
        <v>578</v>
      </c>
    </row>
    <row r="9" spans="1:7" ht="16.5" x14ac:dyDescent="0.25">
      <c r="A9" s="316"/>
      <c r="B9" s="317"/>
      <c r="C9" s="317"/>
      <c r="D9" s="317"/>
      <c r="E9" s="317"/>
      <c r="F9" s="317"/>
      <c r="G9" s="318"/>
    </row>
    <row r="10" spans="1:7" x14ac:dyDescent="0.25">
      <c r="A10" s="453" t="s">
        <v>754</v>
      </c>
      <c r="B10" s="454">
        <f>SUM(B11:B18)</f>
        <v>0</v>
      </c>
      <c r="C10" s="454">
        <f>SUM(C11:C18)</f>
        <v>0</v>
      </c>
      <c r="D10" s="454">
        <f>IF(A10="","",B10+C10)</f>
        <v>0</v>
      </c>
      <c r="E10" s="454">
        <f>SUM(E11:E18)</f>
        <v>0</v>
      </c>
      <c r="F10" s="454">
        <f>SUM(F11:F18)</f>
        <v>0</v>
      </c>
      <c r="G10" s="455">
        <f>IF(A10="","",D10-E10)</f>
        <v>0</v>
      </c>
    </row>
    <row r="11" spans="1:7" x14ac:dyDescent="0.25">
      <c r="A11" s="289" t="s">
        <v>755</v>
      </c>
      <c r="B11" s="456"/>
      <c r="C11" s="456"/>
      <c r="D11" s="457">
        <f t="shared" ref="D11:D44" si="0">IF(A11="","",B11+C11)</f>
        <v>0</v>
      </c>
      <c r="E11" s="456"/>
      <c r="F11" s="456"/>
      <c r="G11" s="458">
        <f t="shared" ref="G11:G44" si="1">IF(A11="","",D11-E11)</f>
        <v>0</v>
      </c>
    </row>
    <row r="12" spans="1:7" x14ac:dyDescent="0.25">
      <c r="A12" s="289" t="s">
        <v>756</v>
      </c>
      <c r="B12" s="456"/>
      <c r="C12" s="456"/>
      <c r="D12" s="457">
        <f t="shared" si="0"/>
        <v>0</v>
      </c>
      <c r="E12" s="456"/>
      <c r="F12" s="456"/>
      <c r="G12" s="458">
        <f t="shared" si="1"/>
        <v>0</v>
      </c>
    </row>
    <row r="13" spans="1:7" x14ac:dyDescent="0.25">
      <c r="A13" s="289" t="s">
        <v>757</v>
      </c>
      <c r="B13" s="456"/>
      <c r="C13" s="456"/>
      <c r="D13" s="457">
        <f t="shared" si="0"/>
        <v>0</v>
      </c>
      <c r="E13" s="456"/>
      <c r="F13" s="456"/>
      <c r="G13" s="458">
        <f t="shared" si="1"/>
        <v>0</v>
      </c>
    </row>
    <row r="14" spans="1:7" x14ac:dyDescent="0.25">
      <c r="A14" s="289" t="s">
        <v>758</v>
      </c>
      <c r="B14" s="456"/>
      <c r="C14" s="456"/>
      <c r="D14" s="457">
        <f t="shared" si="0"/>
        <v>0</v>
      </c>
      <c r="E14" s="456"/>
      <c r="F14" s="456"/>
      <c r="G14" s="458">
        <f t="shared" si="1"/>
        <v>0</v>
      </c>
    </row>
    <row r="15" spans="1:7" x14ac:dyDescent="0.25">
      <c r="A15" s="289" t="s">
        <v>759</v>
      </c>
      <c r="B15" s="456"/>
      <c r="C15" s="456"/>
      <c r="D15" s="457">
        <f t="shared" si="0"/>
        <v>0</v>
      </c>
      <c r="E15" s="456"/>
      <c r="F15" s="456"/>
      <c r="G15" s="458">
        <f t="shared" si="1"/>
        <v>0</v>
      </c>
    </row>
    <row r="16" spans="1:7" x14ac:dyDescent="0.25">
      <c r="A16" s="289" t="s">
        <v>760</v>
      </c>
      <c r="B16" s="456"/>
      <c r="C16" s="456"/>
      <c r="D16" s="457">
        <f t="shared" si="0"/>
        <v>0</v>
      </c>
      <c r="E16" s="456"/>
      <c r="F16" s="456"/>
      <c r="G16" s="458">
        <f t="shared" si="1"/>
        <v>0</v>
      </c>
    </row>
    <row r="17" spans="1:7" x14ac:dyDescent="0.25">
      <c r="A17" s="289" t="s">
        <v>761</v>
      </c>
      <c r="B17" s="456"/>
      <c r="C17" s="456"/>
      <c r="D17" s="457">
        <f t="shared" si="0"/>
        <v>0</v>
      </c>
      <c r="E17" s="456"/>
      <c r="F17" s="456"/>
      <c r="G17" s="458">
        <f t="shared" si="1"/>
        <v>0</v>
      </c>
    </row>
    <row r="18" spans="1:7" x14ac:dyDescent="0.25">
      <c r="A18" s="289" t="s">
        <v>603</v>
      </c>
      <c r="B18" s="456"/>
      <c r="C18" s="456"/>
      <c r="D18" s="457">
        <f t="shared" si="0"/>
        <v>0</v>
      </c>
      <c r="E18" s="456"/>
      <c r="F18" s="456"/>
      <c r="G18" s="458">
        <f t="shared" si="1"/>
        <v>0</v>
      </c>
    </row>
    <row r="19" spans="1:7" x14ac:dyDescent="0.25">
      <c r="A19" s="302"/>
      <c r="B19" s="456"/>
      <c r="C19" s="456"/>
      <c r="D19" s="457" t="str">
        <f t="shared" si="0"/>
        <v/>
      </c>
      <c r="E19" s="456"/>
      <c r="F19" s="456"/>
      <c r="G19" s="458" t="str">
        <f t="shared" si="1"/>
        <v/>
      </c>
    </row>
    <row r="20" spans="1:7" x14ac:dyDescent="0.25">
      <c r="A20" s="453" t="s">
        <v>762</v>
      </c>
      <c r="B20" s="454">
        <f>SUM(B21:B27)</f>
        <v>431991645.12</v>
      </c>
      <c r="C20" s="454">
        <f>SUM(C21:C27)</f>
        <v>261387538.46999994</v>
      </c>
      <c r="D20" s="454">
        <f t="shared" si="0"/>
        <v>693379183.58999991</v>
      </c>
      <c r="E20" s="454">
        <f>SUM(E21:E27)</f>
        <v>221644805.09999996</v>
      </c>
      <c r="F20" s="454">
        <f>SUM(F21:F27)</f>
        <v>221644805.09999996</v>
      </c>
      <c r="G20" s="455">
        <f t="shared" si="1"/>
        <v>471734378.48999995</v>
      </c>
    </row>
    <row r="21" spans="1:7" x14ac:dyDescent="0.25">
      <c r="A21" s="289" t="s">
        <v>763</v>
      </c>
      <c r="B21" s="456"/>
      <c r="C21" s="456"/>
      <c r="D21" s="457">
        <f t="shared" si="0"/>
        <v>0</v>
      </c>
      <c r="E21" s="456"/>
      <c r="F21" s="456"/>
      <c r="G21" s="458">
        <f t="shared" si="1"/>
        <v>0</v>
      </c>
    </row>
    <row r="22" spans="1:7" x14ac:dyDescent="0.25">
      <c r="A22" s="289" t="s">
        <v>764</v>
      </c>
      <c r="B22" s="456">
        <v>431991645.12</v>
      </c>
      <c r="C22" s="456">
        <v>261387538.46999994</v>
      </c>
      <c r="D22" s="457">
        <f t="shared" si="0"/>
        <v>693379183.58999991</v>
      </c>
      <c r="E22" s="456">
        <v>221644805.09999996</v>
      </c>
      <c r="F22" s="456">
        <v>221644805.09999996</v>
      </c>
      <c r="G22" s="458">
        <f t="shared" si="1"/>
        <v>471734378.48999995</v>
      </c>
    </row>
    <row r="23" spans="1:7" x14ac:dyDescent="0.25">
      <c r="A23" s="289" t="s">
        <v>765</v>
      </c>
      <c r="B23" s="456"/>
      <c r="C23" s="456"/>
      <c r="D23" s="457">
        <f t="shared" si="0"/>
        <v>0</v>
      </c>
      <c r="E23" s="456"/>
      <c r="F23" s="456"/>
      <c r="G23" s="458">
        <f t="shared" si="1"/>
        <v>0</v>
      </c>
    </row>
    <row r="24" spans="1:7" ht="25.5" x14ac:dyDescent="0.25">
      <c r="A24" s="289" t="s">
        <v>766</v>
      </c>
      <c r="B24" s="456"/>
      <c r="C24" s="456"/>
      <c r="D24" s="457">
        <f t="shared" si="0"/>
        <v>0</v>
      </c>
      <c r="E24" s="456"/>
      <c r="F24" s="456"/>
      <c r="G24" s="458">
        <f t="shared" si="1"/>
        <v>0</v>
      </c>
    </row>
    <row r="25" spans="1:7" x14ac:dyDescent="0.25">
      <c r="A25" s="289" t="s">
        <v>767</v>
      </c>
      <c r="B25" s="456"/>
      <c r="C25" s="456"/>
      <c r="D25" s="457">
        <f t="shared" si="0"/>
        <v>0</v>
      </c>
      <c r="E25" s="456"/>
      <c r="F25" s="456"/>
      <c r="G25" s="458">
        <f t="shared" si="1"/>
        <v>0</v>
      </c>
    </row>
    <row r="26" spans="1:7" x14ac:dyDescent="0.25">
      <c r="A26" s="289" t="s">
        <v>768</v>
      </c>
      <c r="B26" s="456"/>
      <c r="C26" s="456"/>
      <c r="D26" s="457">
        <f t="shared" si="0"/>
        <v>0</v>
      </c>
      <c r="E26" s="456"/>
      <c r="F26" s="456"/>
      <c r="G26" s="458">
        <f t="shared" si="1"/>
        <v>0</v>
      </c>
    </row>
    <row r="27" spans="1:7" x14ac:dyDescent="0.25">
      <c r="A27" s="289" t="s">
        <v>769</v>
      </c>
      <c r="B27" s="456"/>
      <c r="C27" s="456"/>
      <c r="D27" s="457">
        <f t="shared" si="0"/>
        <v>0</v>
      </c>
      <c r="E27" s="456"/>
      <c r="F27" s="456"/>
      <c r="G27" s="458">
        <f t="shared" si="1"/>
        <v>0</v>
      </c>
    </row>
    <row r="28" spans="1:7" x14ac:dyDescent="0.25">
      <c r="A28" s="302"/>
      <c r="B28" s="456"/>
      <c r="C28" s="456"/>
      <c r="D28" s="457" t="str">
        <f t="shared" si="0"/>
        <v/>
      </c>
      <c r="E28" s="456"/>
      <c r="F28" s="456"/>
      <c r="G28" s="458" t="str">
        <f t="shared" si="1"/>
        <v/>
      </c>
    </row>
    <row r="29" spans="1:7" x14ac:dyDescent="0.25">
      <c r="A29" s="453" t="s">
        <v>770</v>
      </c>
      <c r="B29" s="454">
        <f>SUM(B30:B38)</f>
        <v>0</v>
      </c>
      <c r="C29" s="454">
        <f>SUM(C30:C38)</f>
        <v>0</v>
      </c>
      <c r="D29" s="454">
        <f t="shared" si="0"/>
        <v>0</v>
      </c>
      <c r="E29" s="454">
        <f>SUM(E30:E38)</f>
        <v>0</v>
      </c>
      <c r="F29" s="454">
        <f>SUM(F30:F38)</f>
        <v>0</v>
      </c>
      <c r="G29" s="455">
        <f t="shared" si="1"/>
        <v>0</v>
      </c>
    </row>
    <row r="30" spans="1:7" ht="25.5" x14ac:dyDescent="0.25">
      <c r="A30" s="289" t="s">
        <v>771</v>
      </c>
      <c r="B30" s="456"/>
      <c r="C30" s="456"/>
      <c r="D30" s="457">
        <f t="shared" si="0"/>
        <v>0</v>
      </c>
      <c r="E30" s="456"/>
      <c r="F30" s="456"/>
      <c r="G30" s="458">
        <f t="shared" si="1"/>
        <v>0</v>
      </c>
    </row>
    <row r="31" spans="1:7" x14ac:dyDescent="0.25">
      <c r="A31" s="289" t="s">
        <v>772</v>
      </c>
      <c r="B31" s="456"/>
      <c r="C31" s="456"/>
      <c r="D31" s="457">
        <f t="shared" si="0"/>
        <v>0</v>
      </c>
      <c r="E31" s="456"/>
      <c r="F31" s="456"/>
      <c r="G31" s="458">
        <f t="shared" si="1"/>
        <v>0</v>
      </c>
    </row>
    <row r="32" spans="1:7" x14ac:dyDescent="0.25">
      <c r="A32" s="289" t="s">
        <v>773</v>
      </c>
      <c r="B32" s="456"/>
      <c r="C32" s="456"/>
      <c r="D32" s="457">
        <f t="shared" si="0"/>
        <v>0</v>
      </c>
      <c r="E32" s="456"/>
      <c r="F32" s="456"/>
      <c r="G32" s="458">
        <f t="shared" si="1"/>
        <v>0</v>
      </c>
    </row>
    <row r="33" spans="1:8" x14ac:dyDescent="0.25">
      <c r="A33" s="289" t="s">
        <v>774</v>
      </c>
      <c r="B33" s="456"/>
      <c r="C33" s="456"/>
      <c r="D33" s="457">
        <f t="shared" si="0"/>
        <v>0</v>
      </c>
      <c r="E33" s="456"/>
      <c r="F33" s="456"/>
      <c r="G33" s="458">
        <f t="shared" si="1"/>
        <v>0</v>
      </c>
    </row>
    <row r="34" spans="1:8" x14ac:dyDescent="0.25">
      <c r="A34" s="289" t="s">
        <v>775</v>
      </c>
      <c r="B34" s="456"/>
      <c r="C34" s="456"/>
      <c r="D34" s="457">
        <f t="shared" si="0"/>
        <v>0</v>
      </c>
      <c r="E34" s="456"/>
      <c r="F34" s="456"/>
      <c r="G34" s="458">
        <f t="shared" si="1"/>
        <v>0</v>
      </c>
    </row>
    <row r="35" spans="1:8" x14ac:dyDescent="0.25">
      <c r="A35" s="289" t="s">
        <v>776</v>
      </c>
      <c r="B35" s="456"/>
      <c r="C35" s="456"/>
      <c r="D35" s="457">
        <f t="shared" si="0"/>
        <v>0</v>
      </c>
      <c r="E35" s="456"/>
      <c r="F35" s="456"/>
      <c r="G35" s="458">
        <f t="shared" si="1"/>
        <v>0</v>
      </c>
    </row>
    <row r="36" spans="1:8" x14ac:dyDescent="0.25">
      <c r="A36" s="289" t="s">
        <v>777</v>
      </c>
      <c r="B36" s="456"/>
      <c r="C36" s="456"/>
      <c r="D36" s="457">
        <f t="shared" si="0"/>
        <v>0</v>
      </c>
      <c r="E36" s="456"/>
      <c r="F36" s="456"/>
      <c r="G36" s="458">
        <f t="shared" si="1"/>
        <v>0</v>
      </c>
    </row>
    <row r="37" spans="1:8" x14ac:dyDescent="0.25">
      <c r="A37" s="289" t="s">
        <v>778</v>
      </c>
      <c r="B37" s="456"/>
      <c r="C37" s="456"/>
      <c r="D37" s="457">
        <f t="shared" si="0"/>
        <v>0</v>
      </c>
      <c r="E37" s="456"/>
      <c r="F37" s="456"/>
      <c r="G37" s="458">
        <f t="shared" si="1"/>
        <v>0</v>
      </c>
    </row>
    <row r="38" spans="1:8" x14ac:dyDescent="0.25">
      <c r="A38" s="289" t="s">
        <v>779</v>
      </c>
      <c r="B38" s="456"/>
      <c r="C38" s="456"/>
      <c r="D38" s="457">
        <f t="shared" si="0"/>
        <v>0</v>
      </c>
      <c r="E38" s="456"/>
      <c r="F38" s="456"/>
      <c r="G38" s="458">
        <f t="shared" si="1"/>
        <v>0</v>
      </c>
    </row>
    <row r="39" spans="1:8" x14ac:dyDescent="0.25">
      <c r="A39" s="302"/>
      <c r="B39" s="456"/>
      <c r="C39" s="456"/>
      <c r="D39" s="457" t="str">
        <f t="shared" si="0"/>
        <v/>
      </c>
      <c r="E39" s="456"/>
      <c r="F39" s="456"/>
      <c r="G39" s="458" t="str">
        <f t="shared" si="1"/>
        <v/>
      </c>
    </row>
    <row r="40" spans="1:8" x14ac:dyDescent="0.25">
      <c r="A40" s="453" t="s">
        <v>780</v>
      </c>
      <c r="B40" s="454">
        <f>SUM(B41:B44)</f>
        <v>0</v>
      </c>
      <c r="C40" s="454">
        <f>SUM(C41:C44)</f>
        <v>0</v>
      </c>
      <c r="D40" s="454">
        <f t="shared" si="0"/>
        <v>0</v>
      </c>
      <c r="E40" s="454">
        <f>SUM(E41:E44)</f>
        <v>0</v>
      </c>
      <c r="F40" s="454">
        <f>SUM(F41:F44)</f>
        <v>0</v>
      </c>
      <c r="G40" s="455">
        <f t="shared" si="1"/>
        <v>0</v>
      </c>
    </row>
    <row r="41" spans="1:8" ht="25.5" x14ac:dyDescent="0.25">
      <c r="A41" s="459" t="s">
        <v>781</v>
      </c>
      <c r="B41" s="456">
        <v>0</v>
      </c>
      <c r="C41" s="456">
        <v>0</v>
      </c>
      <c r="D41" s="457">
        <f t="shared" si="0"/>
        <v>0</v>
      </c>
      <c r="E41" s="456">
        <v>0</v>
      </c>
      <c r="F41" s="456">
        <v>0</v>
      </c>
      <c r="G41" s="458">
        <f t="shared" si="1"/>
        <v>0</v>
      </c>
    </row>
    <row r="42" spans="1:8" ht="25.5" x14ac:dyDescent="0.25">
      <c r="A42" s="459" t="s">
        <v>782</v>
      </c>
      <c r="B42" s="456"/>
      <c r="C42" s="456"/>
      <c r="D42" s="457">
        <f t="shared" si="0"/>
        <v>0</v>
      </c>
      <c r="E42" s="456"/>
      <c r="F42" s="456"/>
      <c r="G42" s="458">
        <f t="shared" si="1"/>
        <v>0</v>
      </c>
    </row>
    <row r="43" spans="1:8" x14ac:dyDescent="0.25">
      <c r="A43" s="289" t="s">
        <v>783</v>
      </c>
      <c r="B43" s="456"/>
      <c r="C43" s="456"/>
      <c r="D43" s="457">
        <f t="shared" si="0"/>
        <v>0</v>
      </c>
      <c r="E43" s="456"/>
      <c r="F43" s="456"/>
      <c r="G43" s="458">
        <f t="shared" si="1"/>
        <v>0</v>
      </c>
    </row>
    <row r="44" spans="1:8" ht="15.75" thickBot="1" x14ac:dyDescent="0.3">
      <c r="A44" s="289" t="s">
        <v>784</v>
      </c>
      <c r="B44" s="456"/>
      <c r="C44" s="456"/>
      <c r="D44" s="457">
        <f t="shared" si="0"/>
        <v>0</v>
      </c>
      <c r="E44" s="456"/>
      <c r="F44" s="456"/>
      <c r="G44" s="458">
        <f t="shared" si="1"/>
        <v>0</v>
      </c>
    </row>
    <row r="45" spans="1:8" ht="15.75" thickBot="1" x14ac:dyDescent="0.3">
      <c r="A45" s="298" t="s">
        <v>628</v>
      </c>
      <c r="B45" s="460">
        <f>SUM(B10,B20,B29,B40)</f>
        <v>431991645.12</v>
      </c>
      <c r="C45" s="460">
        <f>SUM(C10,C20,C29,C40)</f>
        <v>261387538.46999994</v>
      </c>
      <c r="D45" s="460">
        <f>IF(A45="","",B45+C45)</f>
        <v>693379183.58999991</v>
      </c>
      <c r="E45" s="460">
        <f>SUM(E10,E20,E29,E40)</f>
        <v>221644805.09999996</v>
      </c>
      <c r="F45" s="460">
        <f>SUM(F10,F20,F29,F40)</f>
        <v>221644805.09999996</v>
      </c>
      <c r="G45" s="461">
        <f>IF(A45="","",D45-E45)</f>
        <v>471734378.48999995</v>
      </c>
      <c r="H45" s="522" t="str">
        <f>IF((B45-'ETCA II-04'!B81)&gt;0.9,"ERROR!!!!! EL MONTO NO COINCIDE CON LO REPORTADO EN EL FORMATO ETCA-II-04 EN EL TOTAL APROBADO ANUAL DEL ANALÍTICO DE EGRESOS","")</f>
        <v/>
      </c>
    </row>
    <row r="46" spans="1:8" x14ac:dyDescent="0.25">
      <c r="A46" s="506"/>
      <c r="B46" s="509"/>
      <c r="C46" s="509"/>
      <c r="D46" s="509"/>
      <c r="E46" s="509"/>
      <c r="F46" s="509"/>
      <c r="G46" s="509"/>
      <c r="H46" s="522" t="str">
        <f>IF((C45-'ETCA II-04'!C81)&gt;0.9,"ERROR!!!!! EL MONTO NO COINCIDE CON LO REPORTADO EN EL FORMATO ETCA-II-04 EN EL TOTAL DE AMPLIACIONES/REDUCCIONES PRESENTADO EN EL ANALÍTICO DE EGRESOS","")</f>
        <v/>
      </c>
    </row>
    <row r="47" spans="1:8" x14ac:dyDescent="0.25">
      <c r="A47" s="506"/>
      <c r="B47" s="509"/>
      <c r="C47" s="509"/>
      <c r="D47" s="509"/>
      <c r="E47" s="509"/>
      <c r="F47" s="509"/>
      <c r="G47" s="509"/>
      <c r="H47" s="522" t="str">
        <f>IF((D45-'ETCA II-04'!D81)&gt;0.9,"ERROR!!!!! EL MONTO NO COINCIDE CON LO REPORTADO EN EL FORMATO ETCA-II-04 EN EL TOTAL MODIFICADO ANUAL PRESENTADO EN EL ANALÍTICO DE EGRESOS","")</f>
        <v/>
      </c>
    </row>
    <row r="48" spans="1:8" x14ac:dyDescent="0.25">
      <c r="A48" s="507"/>
      <c r="B48" s="508"/>
      <c r="C48" s="508"/>
      <c r="D48" s="509"/>
      <c r="E48" s="508"/>
      <c r="F48" s="508"/>
      <c r="G48" s="509"/>
      <c r="H48" s="522" t="str">
        <f>IF((E45-'ETCA II-04'!E81)&gt;0.9,"ERROR!!!!! EL MONTO NO COINCIDE CON LO REPORTADO EN EL FORMATO ETCA-II-04 EN EL TOTAL DEVENGADO ANUAL PRESENTADO EN EL ANALÍTICO DE EGRESOS","")</f>
        <v/>
      </c>
    </row>
    <row r="49" spans="1:8" x14ac:dyDescent="0.25">
      <c r="A49" s="506"/>
      <c r="B49" s="509"/>
      <c r="C49" s="509"/>
      <c r="D49" s="509"/>
      <c r="E49" s="509"/>
      <c r="F49" s="509"/>
      <c r="G49" s="509"/>
      <c r="H49" s="522" t="str">
        <f>IF((F45-'ETCA II-04'!F81)&gt;0.9,"ERROR!!!!! EL MONTO NO COINCIDE CON LO REPORTADO EN EL FORMATO ETCA-II-04 EN EL TOTAL PAGADO ANUAL PRESENTADO EN EL ANALÍTICO DE EGRESOS","")</f>
        <v/>
      </c>
    </row>
    <row r="50" spans="1:8" x14ac:dyDescent="0.25">
      <c r="H50" s="522" t="str">
        <f>IF((G45-'ETCA II-04'!G81)&gt;0.9,"ERROR!!!!! EL MONTO NO COINCIDE CON LO REPORTADO EN EL FORMATO ETCA-II-04 EN EL TOTAL SUBEJERCICIO PRESENTADO EN EL ANALÍTICO DE EGRESOS","")</f>
        <v/>
      </c>
    </row>
  </sheetData>
  <sheetProtection password="C115" sheet="1" scenarios="1" formatColumns="0" formatRows="0"/>
  <mergeCells count="7">
    <mergeCell ref="A7:A8"/>
    <mergeCell ref="A1:G1"/>
    <mergeCell ref="A2:G2"/>
    <mergeCell ref="A3:G3"/>
    <mergeCell ref="A4:G4"/>
    <mergeCell ref="A5:G5"/>
    <mergeCell ref="B6:E6"/>
  </mergeCells>
  <pageMargins left="0.70866141732283472" right="0.70866141732283472" top="0.74803149606299213" bottom="0.74803149606299213" header="0.31496062992125984" footer="0.31496062992125984"/>
  <pageSetup orientation="landscape" horizontalDpi="0"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89"/>
  <sheetViews>
    <sheetView topLeftCell="A70" zoomScaleNormal="100" workbookViewId="0">
      <selection activeCell="D60" sqref="D60"/>
    </sheetView>
  </sheetViews>
  <sheetFormatPr baseColWidth="10" defaultColWidth="11.42578125" defaultRowHeight="15" x14ac:dyDescent="0.25"/>
  <cols>
    <col min="1" max="1" width="4.42578125" customWidth="1"/>
    <col min="2" max="2" width="60.5703125" customWidth="1"/>
  </cols>
  <sheetData>
    <row r="1" spans="1:8" s="696" customFormat="1" ht="15.75" x14ac:dyDescent="0.25">
      <c r="A1" s="1118" t="s">
        <v>25</v>
      </c>
      <c r="B1" s="1119"/>
      <c r="C1" s="1119"/>
      <c r="D1" s="1119"/>
      <c r="E1" s="1119"/>
      <c r="F1" s="1119"/>
      <c r="G1" s="1119"/>
      <c r="H1" s="1120"/>
    </row>
    <row r="2" spans="1:8" s="696" customFormat="1" ht="12" customHeight="1" x14ac:dyDescent="0.25">
      <c r="A2" s="1121" t="str">
        <f>'ETCA-I-01'!A3:G3</f>
        <v>Consejo Estatal de Concertacion para la Obra Publica</v>
      </c>
      <c r="B2" s="1122"/>
      <c r="C2" s="1122"/>
      <c r="D2" s="1122"/>
      <c r="E2" s="1122"/>
      <c r="F2" s="1122"/>
      <c r="G2" s="1122"/>
      <c r="H2" s="1123"/>
    </row>
    <row r="3" spans="1:8" s="696" customFormat="1" x14ac:dyDescent="0.25">
      <c r="A3" s="1165" t="s">
        <v>629</v>
      </c>
      <c r="B3" s="1166"/>
      <c r="C3" s="1166"/>
      <c r="D3" s="1166"/>
      <c r="E3" s="1166"/>
      <c r="F3" s="1166"/>
      <c r="G3" s="1166"/>
      <c r="H3" s="1167"/>
    </row>
    <row r="4" spans="1:8" s="696" customFormat="1" ht="11.25" customHeight="1" x14ac:dyDescent="0.25">
      <c r="A4" s="1165" t="s">
        <v>753</v>
      </c>
      <c r="B4" s="1166"/>
      <c r="C4" s="1166"/>
      <c r="D4" s="1166"/>
      <c r="E4" s="1166"/>
      <c r="F4" s="1166"/>
      <c r="G4" s="1166"/>
      <c r="H4" s="1167"/>
    </row>
    <row r="5" spans="1:8" s="696" customFormat="1" ht="11.25" customHeight="1" x14ac:dyDescent="0.25">
      <c r="A5" s="1165" t="str">
        <f>'ETCA-I-03'!A4:D4</f>
        <v>Del 01 de Enero  al 30 de Septiembre de 2017</v>
      </c>
      <c r="B5" s="1166"/>
      <c r="C5" s="1166"/>
      <c r="D5" s="1166"/>
      <c r="E5" s="1166"/>
      <c r="F5" s="1166"/>
      <c r="G5" s="1166"/>
      <c r="H5" s="1167"/>
    </row>
    <row r="6" spans="1:8" s="696" customFormat="1" ht="12.75" customHeight="1" thickBot="1" x14ac:dyDescent="0.3">
      <c r="A6" s="1163" t="s">
        <v>89</v>
      </c>
      <c r="B6" s="1168"/>
      <c r="C6" s="1168"/>
      <c r="D6" s="1168"/>
      <c r="E6" s="1168"/>
      <c r="F6" s="1168"/>
      <c r="G6" s="1168"/>
      <c r="H6" s="1169"/>
    </row>
    <row r="7" spans="1:8" s="696" customFormat="1" ht="15.75" thickBot="1" x14ac:dyDescent="0.3">
      <c r="A7" s="1161" t="s">
        <v>90</v>
      </c>
      <c r="B7" s="1162"/>
      <c r="C7" s="1134" t="s">
        <v>631</v>
      </c>
      <c r="D7" s="1135"/>
      <c r="E7" s="1135"/>
      <c r="F7" s="1135"/>
      <c r="G7" s="1136"/>
      <c r="H7" s="1132" t="s">
        <v>632</v>
      </c>
    </row>
    <row r="8" spans="1:8" s="696" customFormat="1" ht="26.25" thickBot="1" x14ac:dyDescent="0.3">
      <c r="A8" s="1163"/>
      <c r="B8" s="1164"/>
      <c r="C8" s="816" t="s">
        <v>633</v>
      </c>
      <c r="D8" s="816" t="s">
        <v>634</v>
      </c>
      <c r="E8" s="816" t="s">
        <v>635</v>
      </c>
      <c r="F8" s="816" t="s">
        <v>484</v>
      </c>
      <c r="G8" s="816" t="s">
        <v>733</v>
      </c>
      <c r="H8" s="1133"/>
    </row>
    <row r="9" spans="1:8" x14ac:dyDescent="0.25">
      <c r="A9" s="1155"/>
      <c r="B9" s="1156"/>
      <c r="C9" s="794"/>
      <c r="D9" s="794"/>
      <c r="E9" s="794"/>
      <c r="F9" s="794"/>
      <c r="G9" s="794"/>
      <c r="H9" s="794"/>
    </row>
    <row r="10" spans="1:8" ht="16.5" customHeight="1" x14ac:dyDescent="0.25">
      <c r="A10" s="1157" t="s">
        <v>785</v>
      </c>
      <c r="B10" s="1158"/>
      <c r="C10" s="717">
        <f>+C11+C21+C30+C41</f>
        <v>431991645.12</v>
      </c>
      <c r="D10" s="717">
        <f t="shared" ref="D10:H10" si="0">+D11+D21+D30+D41</f>
        <v>221883580.76000002</v>
      </c>
      <c r="E10" s="717">
        <f t="shared" si="0"/>
        <v>653875225.88</v>
      </c>
      <c r="F10" s="717">
        <f t="shared" si="0"/>
        <v>212733222.03</v>
      </c>
      <c r="G10" s="717">
        <f t="shared" si="0"/>
        <v>212733222.03</v>
      </c>
      <c r="H10" s="717">
        <f t="shared" si="0"/>
        <v>441142003.85000002</v>
      </c>
    </row>
    <row r="11" spans="1:8" x14ac:dyDescent="0.25">
      <c r="A11" s="1159" t="s">
        <v>786</v>
      </c>
      <c r="B11" s="1160"/>
      <c r="C11" s="746">
        <f>SUM(C12:C19)</f>
        <v>0</v>
      </c>
      <c r="D11" s="746">
        <f t="shared" ref="D11:H11" si="1">SUM(D12:D19)</f>
        <v>0</v>
      </c>
      <c r="E11" s="746">
        <f t="shared" si="1"/>
        <v>0</v>
      </c>
      <c r="F11" s="746">
        <f t="shared" si="1"/>
        <v>0</v>
      </c>
      <c r="G11" s="746">
        <f t="shared" si="1"/>
        <v>0</v>
      </c>
      <c r="H11" s="746">
        <f t="shared" si="1"/>
        <v>0</v>
      </c>
    </row>
    <row r="12" spans="1:8" x14ac:dyDescent="0.25">
      <c r="A12" s="747"/>
      <c r="B12" s="748" t="s">
        <v>787</v>
      </c>
      <c r="C12" s="749"/>
      <c r="D12" s="749"/>
      <c r="E12" s="746">
        <f>C12+D12</f>
        <v>0</v>
      </c>
      <c r="F12" s="749"/>
      <c r="G12" s="749"/>
      <c r="H12" s="746">
        <f>+E12-F12</f>
        <v>0</v>
      </c>
    </row>
    <row r="13" spans="1:8" x14ac:dyDescent="0.25">
      <c r="A13" s="747"/>
      <c r="B13" s="748" t="s">
        <v>788</v>
      </c>
      <c r="C13" s="749"/>
      <c r="D13" s="749"/>
      <c r="E13" s="746">
        <f t="shared" ref="E13:E19" si="2">C13+D13</f>
        <v>0</v>
      </c>
      <c r="F13" s="749"/>
      <c r="G13" s="749"/>
      <c r="H13" s="746">
        <f t="shared" ref="H13:H28" si="3">+E13-F13</f>
        <v>0</v>
      </c>
    </row>
    <row r="14" spans="1:8" x14ac:dyDescent="0.25">
      <c r="A14" s="747"/>
      <c r="B14" s="748" t="s">
        <v>789</v>
      </c>
      <c r="C14" s="749"/>
      <c r="D14" s="749"/>
      <c r="E14" s="746">
        <f t="shared" si="2"/>
        <v>0</v>
      </c>
      <c r="F14" s="749"/>
      <c r="G14" s="749"/>
      <c r="H14" s="746">
        <f t="shared" si="3"/>
        <v>0</v>
      </c>
    </row>
    <row r="15" spans="1:8" x14ac:dyDescent="0.25">
      <c r="A15" s="747"/>
      <c r="B15" s="748" t="s">
        <v>790</v>
      </c>
      <c r="C15" s="749"/>
      <c r="D15" s="749"/>
      <c r="E15" s="746">
        <f t="shared" si="2"/>
        <v>0</v>
      </c>
      <c r="F15" s="749"/>
      <c r="G15" s="749"/>
      <c r="H15" s="746">
        <f t="shared" si="3"/>
        <v>0</v>
      </c>
    </row>
    <row r="16" spans="1:8" x14ac:dyDescent="0.25">
      <c r="A16" s="747"/>
      <c r="B16" s="748" t="s">
        <v>791</v>
      </c>
      <c r="C16" s="749"/>
      <c r="D16" s="749"/>
      <c r="E16" s="746">
        <f t="shared" si="2"/>
        <v>0</v>
      </c>
      <c r="F16" s="749"/>
      <c r="G16" s="749"/>
      <c r="H16" s="746">
        <f t="shared" si="3"/>
        <v>0</v>
      </c>
    </row>
    <row r="17" spans="1:8" x14ac:dyDescent="0.25">
      <c r="A17" s="747"/>
      <c r="B17" s="748" t="s">
        <v>792</v>
      </c>
      <c r="C17" s="749"/>
      <c r="D17" s="749"/>
      <c r="E17" s="746">
        <f t="shared" si="2"/>
        <v>0</v>
      </c>
      <c r="F17" s="749"/>
      <c r="G17" s="749"/>
      <c r="H17" s="746">
        <f t="shared" si="3"/>
        <v>0</v>
      </c>
    </row>
    <row r="18" spans="1:8" x14ac:dyDescent="0.25">
      <c r="A18" s="747"/>
      <c r="B18" s="748" t="s">
        <v>793</v>
      </c>
      <c r="C18" s="749"/>
      <c r="D18" s="749"/>
      <c r="E18" s="746">
        <f t="shared" si="2"/>
        <v>0</v>
      </c>
      <c r="F18" s="749"/>
      <c r="G18" s="749"/>
      <c r="H18" s="746">
        <f t="shared" si="3"/>
        <v>0</v>
      </c>
    </row>
    <row r="19" spans="1:8" x14ac:dyDescent="0.25">
      <c r="A19" s="747"/>
      <c r="B19" s="748" t="s">
        <v>794</v>
      </c>
      <c r="C19" s="749"/>
      <c r="D19" s="749"/>
      <c r="E19" s="746">
        <f t="shared" si="2"/>
        <v>0</v>
      </c>
      <c r="F19" s="749"/>
      <c r="G19" s="749"/>
      <c r="H19" s="746">
        <f t="shared" si="3"/>
        <v>0</v>
      </c>
    </row>
    <row r="20" spans="1:8" x14ac:dyDescent="0.25">
      <c r="A20" s="750"/>
      <c r="B20" s="751"/>
      <c r="C20" s="752"/>
      <c r="D20" s="752"/>
      <c r="E20" s="752"/>
      <c r="F20" s="752"/>
      <c r="G20" s="752"/>
      <c r="H20" s="753" t="s">
        <v>258</v>
      </c>
    </row>
    <row r="21" spans="1:8" x14ac:dyDescent="0.25">
      <c r="A21" s="1159" t="s">
        <v>795</v>
      </c>
      <c r="B21" s="1160"/>
      <c r="C21" s="746">
        <f>SUM(C22:C28)</f>
        <v>431991645.12</v>
      </c>
      <c r="D21" s="746">
        <f t="shared" ref="D21:H21" si="4">SUM(D22:D28)</f>
        <v>221883580.76000002</v>
      </c>
      <c r="E21" s="746">
        <f t="shared" si="4"/>
        <v>653875225.88</v>
      </c>
      <c r="F21" s="746">
        <f t="shared" si="4"/>
        <v>212733222.03</v>
      </c>
      <c r="G21" s="746">
        <f t="shared" si="4"/>
        <v>212733222.03</v>
      </c>
      <c r="H21" s="746">
        <f t="shared" si="4"/>
        <v>441142003.85000002</v>
      </c>
    </row>
    <row r="22" spans="1:8" x14ac:dyDescent="0.25">
      <c r="A22" s="747"/>
      <c r="B22" s="748" t="s">
        <v>796</v>
      </c>
      <c r="C22" s="749"/>
      <c r="D22" s="749"/>
      <c r="E22" s="746">
        <f t="shared" ref="E22:E28" si="5">C22+D22</f>
        <v>0</v>
      </c>
      <c r="F22" s="749"/>
      <c r="G22" s="749"/>
      <c r="H22" s="746">
        <f t="shared" si="3"/>
        <v>0</v>
      </c>
    </row>
    <row r="23" spans="1:8" x14ac:dyDescent="0.25">
      <c r="A23" s="747"/>
      <c r="B23" s="748" t="s">
        <v>797</v>
      </c>
      <c r="C23" s="749">
        <v>431991645.12</v>
      </c>
      <c r="D23" s="749">
        <v>221883580.76000002</v>
      </c>
      <c r="E23" s="746">
        <f t="shared" si="5"/>
        <v>653875225.88</v>
      </c>
      <c r="F23" s="749">
        <v>212733222.03</v>
      </c>
      <c r="G23" s="749">
        <v>212733222.03</v>
      </c>
      <c r="H23" s="746">
        <f t="shared" si="3"/>
        <v>441142003.85000002</v>
      </c>
    </row>
    <row r="24" spans="1:8" x14ac:dyDescent="0.25">
      <c r="A24" s="747"/>
      <c r="B24" s="748" t="s">
        <v>798</v>
      </c>
      <c r="C24" s="749"/>
      <c r="D24" s="749"/>
      <c r="E24" s="746">
        <f t="shared" si="5"/>
        <v>0</v>
      </c>
      <c r="F24" s="749"/>
      <c r="G24" s="749"/>
      <c r="H24" s="746">
        <f t="shared" si="3"/>
        <v>0</v>
      </c>
    </row>
    <row r="25" spans="1:8" x14ac:dyDescent="0.25">
      <c r="A25" s="747"/>
      <c r="B25" s="748" t="s">
        <v>799</v>
      </c>
      <c r="C25" s="749"/>
      <c r="D25" s="749"/>
      <c r="E25" s="746">
        <f t="shared" si="5"/>
        <v>0</v>
      </c>
      <c r="F25" s="749"/>
      <c r="G25" s="749"/>
      <c r="H25" s="746">
        <f t="shared" si="3"/>
        <v>0</v>
      </c>
    </row>
    <row r="26" spans="1:8" x14ac:dyDescent="0.25">
      <c r="A26" s="747"/>
      <c r="B26" s="748" t="s">
        <v>800</v>
      </c>
      <c r="C26" s="749"/>
      <c r="D26" s="749"/>
      <c r="E26" s="746">
        <f t="shared" si="5"/>
        <v>0</v>
      </c>
      <c r="F26" s="749"/>
      <c r="G26" s="749"/>
      <c r="H26" s="746">
        <f t="shared" si="3"/>
        <v>0</v>
      </c>
    </row>
    <row r="27" spans="1:8" x14ac:dyDescent="0.25">
      <c r="A27" s="747"/>
      <c r="B27" s="748" t="s">
        <v>801</v>
      </c>
      <c r="C27" s="749"/>
      <c r="D27" s="749"/>
      <c r="E27" s="746">
        <f t="shared" si="5"/>
        <v>0</v>
      </c>
      <c r="F27" s="749"/>
      <c r="G27" s="749"/>
      <c r="H27" s="746">
        <f t="shared" si="3"/>
        <v>0</v>
      </c>
    </row>
    <row r="28" spans="1:8" x14ac:dyDescent="0.25">
      <c r="A28" s="747"/>
      <c r="B28" s="748" t="s">
        <v>802</v>
      </c>
      <c r="C28" s="749"/>
      <c r="D28" s="749"/>
      <c r="E28" s="746">
        <f t="shared" si="5"/>
        <v>0</v>
      </c>
      <c r="F28" s="749"/>
      <c r="G28" s="749"/>
      <c r="H28" s="746">
        <f t="shared" si="3"/>
        <v>0</v>
      </c>
    </row>
    <row r="29" spans="1:8" x14ac:dyDescent="0.25">
      <c r="A29" s="750"/>
      <c r="B29" s="751"/>
      <c r="C29" s="754"/>
      <c r="D29" s="754"/>
      <c r="E29" s="754"/>
      <c r="F29" s="754"/>
      <c r="G29" s="754"/>
      <c r="H29" s="754"/>
    </row>
    <row r="30" spans="1:8" x14ac:dyDescent="0.25">
      <c r="A30" s="1159" t="s">
        <v>803</v>
      </c>
      <c r="B30" s="1160"/>
      <c r="C30" s="746">
        <f>SUM(C31:C39)</f>
        <v>0</v>
      </c>
      <c r="D30" s="746">
        <f t="shared" ref="D30:H30" si="6">SUM(D31:D39)</f>
        <v>0</v>
      </c>
      <c r="E30" s="746">
        <f t="shared" si="6"/>
        <v>0</v>
      </c>
      <c r="F30" s="746">
        <f t="shared" si="6"/>
        <v>0</v>
      </c>
      <c r="G30" s="746">
        <f t="shared" si="6"/>
        <v>0</v>
      </c>
      <c r="H30" s="746">
        <f t="shared" si="6"/>
        <v>0</v>
      </c>
    </row>
    <row r="31" spans="1:8" x14ac:dyDescent="0.25">
      <c r="A31" s="747"/>
      <c r="B31" s="748" t="s">
        <v>804</v>
      </c>
      <c r="C31" s="749"/>
      <c r="D31" s="749"/>
      <c r="E31" s="746">
        <f t="shared" ref="E31:E39" si="7">C31+D31</f>
        <v>0</v>
      </c>
      <c r="F31" s="749"/>
      <c r="G31" s="749"/>
      <c r="H31" s="746">
        <f t="shared" ref="H31:H39" si="8">+E31-F31</f>
        <v>0</v>
      </c>
    </row>
    <row r="32" spans="1:8" x14ac:dyDescent="0.25">
      <c r="A32" s="747"/>
      <c r="B32" s="748" t="s">
        <v>805</v>
      </c>
      <c r="C32" s="749"/>
      <c r="D32" s="749"/>
      <c r="E32" s="746">
        <f t="shared" si="7"/>
        <v>0</v>
      </c>
      <c r="F32" s="749"/>
      <c r="G32" s="749"/>
      <c r="H32" s="746">
        <f t="shared" si="8"/>
        <v>0</v>
      </c>
    </row>
    <row r="33" spans="1:8" x14ac:dyDescent="0.25">
      <c r="A33" s="747"/>
      <c r="B33" s="748" t="s">
        <v>806</v>
      </c>
      <c r="C33" s="749"/>
      <c r="D33" s="749"/>
      <c r="E33" s="746">
        <f t="shared" si="7"/>
        <v>0</v>
      </c>
      <c r="F33" s="749"/>
      <c r="G33" s="749"/>
      <c r="H33" s="746">
        <f t="shared" si="8"/>
        <v>0</v>
      </c>
    </row>
    <row r="34" spans="1:8" ht="15.75" thickBot="1" x14ac:dyDescent="0.3">
      <c r="A34" s="755"/>
      <c r="B34" s="756" t="s">
        <v>807</v>
      </c>
      <c r="C34" s="757"/>
      <c r="D34" s="757"/>
      <c r="E34" s="758">
        <f t="shared" si="7"/>
        <v>0</v>
      </c>
      <c r="F34" s="757"/>
      <c r="G34" s="757"/>
      <c r="H34" s="758">
        <f t="shared" si="8"/>
        <v>0</v>
      </c>
    </row>
    <row r="35" spans="1:8" x14ac:dyDescent="0.25">
      <c r="A35" s="747"/>
      <c r="B35" s="748" t="s">
        <v>808</v>
      </c>
      <c r="C35" s="749"/>
      <c r="D35" s="749"/>
      <c r="E35" s="746">
        <f t="shared" si="7"/>
        <v>0</v>
      </c>
      <c r="F35" s="749"/>
      <c r="G35" s="749"/>
      <c r="H35" s="746">
        <f t="shared" si="8"/>
        <v>0</v>
      </c>
    </row>
    <row r="36" spans="1:8" x14ac:dyDescent="0.25">
      <c r="A36" s="747"/>
      <c r="B36" s="748" t="s">
        <v>809</v>
      </c>
      <c r="C36" s="749"/>
      <c r="D36" s="749"/>
      <c r="E36" s="746">
        <f t="shared" si="7"/>
        <v>0</v>
      </c>
      <c r="F36" s="749"/>
      <c r="G36" s="749"/>
      <c r="H36" s="746">
        <f t="shared" si="8"/>
        <v>0</v>
      </c>
    </row>
    <row r="37" spans="1:8" x14ac:dyDescent="0.25">
      <c r="A37" s="747"/>
      <c r="B37" s="748" t="s">
        <v>810</v>
      </c>
      <c r="C37" s="749"/>
      <c r="D37" s="749"/>
      <c r="E37" s="746">
        <f t="shared" si="7"/>
        <v>0</v>
      </c>
      <c r="F37" s="749"/>
      <c r="G37" s="749"/>
      <c r="H37" s="746">
        <f t="shared" si="8"/>
        <v>0</v>
      </c>
    </row>
    <row r="38" spans="1:8" x14ac:dyDescent="0.25">
      <c r="A38" s="747"/>
      <c r="B38" s="748" t="s">
        <v>811</v>
      </c>
      <c r="C38" s="749"/>
      <c r="D38" s="749"/>
      <c r="E38" s="746">
        <f t="shared" si="7"/>
        <v>0</v>
      </c>
      <c r="F38" s="749"/>
      <c r="G38" s="749"/>
      <c r="H38" s="746">
        <f t="shared" si="8"/>
        <v>0</v>
      </c>
    </row>
    <row r="39" spans="1:8" x14ac:dyDescent="0.25">
      <c r="A39" s="747"/>
      <c r="B39" s="748" t="s">
        <v>812</v>
      </c>
      <c r="C39" s="749"/>
      <c r="D39" s="749"/>
      <c r="E39" s="746">
        <f t="shared" si="7"/>
        <v>0</v>
      </c>
      <c r="F39" s="749"/>
      <c r="G39" s="749"/>
      <c r="H39" s="746">
        <f t="shared" si="8"/>
        <v>0</v>
      </c>
    </row>
    <row r="40" spans="1:8" x14ac:dyDescent="0.25">
      <c r="A40" s="747"/>
      <c r="B40" s="748"/>
      <c r="C40" s="749"/>
      <c r="D40" s="749"/>
      <c r="E40" s="746"/>
      <c r="F40" s="749"/>
      <c r="G40" s="749"/>
      <c r="H40" s="746"/>
    </row>
    <row r="41" spans="1:8" x14ac:dyDescent="0.25">
      <c r="A41" s="747" t="s">
        <v>813</v>
      </c>
      <c r="B41" s="748"/>
      <c r="C41" s="753">
        <f>SUM(C42:C45)</f>
        <v>0</v>
      </c>
      <c r="D41" s="753">
        <f t="shared" ref="D41:H41" si="9">SUM(D42:D45)</f>
        <v>0</v>
      </c>
      <c r="E41" s="753">
        <f t="shared" si="9"/>
        <v>0</v>
      </c>
      <c r="F41" s="753">
        <f t="shared" si="9"/>
        <v>0</v>
      </c>
      <c r="G41" s="753">
        <f t="shared" si="9"/>
        <v>0</v>
      </c>
      <c r="H41" s="753">
        <f t="shared" si="9"/>
        <v>0</v>
      </c>
    </row>
    <row r="42" spans="1:8" x14ac:dyDescent="0.25">
      <c r="A42" s="747"/>
      <c r="B42" s="748" t="s">
        <v>814</v>
      </c>
      <c r="C42" s="749"/>
      <c r="D42" s="749"/>
      <c r="E42" s="746">
        <f t="shared" ref="E42:E45" si="10">C42+D42</f>
        <v>0</v>
      </c>
      <c r="F42" s="749"/>
      <c r="G42" s="749"/>
      <c r="H42" s="746">
        <f t="shared" ref="H42:H45" si="11">+E42-F42</f>
        <v>0</v>
      </c>
    </row>
    <row r="43" spans="1:8" x14ac:dyDescent="0.25">
      <c r="A43" s="747"/>
      <c r="B43" s="748" t="s">
        <v>815</v>
      </c>
      <c r="C43" s="749"/>
      <c r="D43" s="749"/>
      <c r="E43" s="746">
        <f t="shared" si="10"/>
        <v>0</v>
      </c>
      <c r="F43" s="749"/>
      <c r="G43" s="749"/>
      <c r="H43" s="746">
        <f t="shared" si="11"/>
        <v>0</v>
      </c>
    </row>
    <row r="44" spans="1:8" x14ac:dyDescent="0.25">
      <c r="A44" s="747"/>
      <c r="B44" s="748" t="s">
        <v>816</v>
      </c>
      <c r="C44" s="749"/>
      <c r="D44" s="749"/>
      <c r="E44" s="746">
        <f t="shared" si="10"/>
        <v>0</v>
      </c>
      <c r="F44" s="749"/>
      <c r="G44" s="749"/>
      <c r="H44" s="746">
        <f t="shared" si="11"/>
        <v>0</v>
      </c>
    </row>
    <row r="45" spans="1:8" x14ac:dyDescent="0.25">
      <c r="A45" s="747"/>
      <c r="B45" s="748" t="s">
        <v>817</v>
      </c>
      <c r="C45" s="749"/>
      <c r="D45" s="749"/>
      <c r="E45" s="746">
        <f t="shared" si="10"/>
        <v>0</v>
      </c>
      <c r="F45" s="749"/>
      <c r="G45" s="749"/>
      <c r="H45" s="746">
        <f t="shared" si="11"/>
        <v>0</v>
      </c>
    </row>
    <row r="46" spans="1:8" x14ac:dyDescent="0.25">
      <c r="A46" s="747"/>
      <c r="B46" s="748"/>
      <c r="C46" s="749"/>
      <c r="D46" s="749"/>
      <c r="E46" s="746"/>
      <c r="F46" s="749"/>
      <c r="G46" s="749"/>
      <c r="H46" s="746"/>
    </row>
    <row r="47" spans="1:8" x14ac:dyDescent="0.25">
      <c r="A47" s="747" t="s">
        <v>818</v>
      </c>
      <c r="B47" s="748"/>
      <c r="C47" s="753">
        <f t="shared" ref="C47:H47" si="12">+C48+C58+C66+C77</f>
        <v>0</v>
      </c>
      <c r="D47" s="753">
        <f t="shared" si="12"/>
        <v>39503957.710000001</v>
      </c>
      <c r="E47" s="753">
        <f t="shared" si="12"/>
        <v>39503957.710000001</v>
      </c>
      <c r="F47" s="753">
        <f t="shared" si="12"/>
        <v>8911583.0700000003</v>
      </c>
      <c r="G47" s="753">
        <f t="shared" si="12"/>
        <v>8911583.0700000003</v>
      </c>
      <c r="H47" s="753">
        <f t="shared" si="12"/>
        <v>30592374.640000001</v>
      </c>
    </row>
    <row r="48" spans="1:8" x14ac:dyDescent="0.25">
      <c r="A48" s="747" t="s">
        <v>786</v>
      </c>
      <c r="B48" s="748"/>
      <c r="C48" s="753">
        <f>SUM(C49:C56)</f>
        <v>0</v>
      </c>
      <c r="D48" s="753">
        <f t="shared" ref="D48:H48" si="13">SUM(D49:D56)</f>
        <v>0</v>
      </c>
      <c r="E48" s="753">
        <f t="shared" si="13"/>
        <v>0</v>
      </c>
      <c r="F48" s="753">
        <f t="shared" si="13"/>
        <v>0</v>
      </c>
      <c r="G48" s="753">
        <f t="shared" si="13"/>
        <v>0</v>
      </c>
      <c r="H48" s="753">
        <f t="shared" si="13"/>
        <v>0</v>
      </c>
    </row>
    <row r="49" spans="1:8" x14ac:dyDescent="0.25">
      <c r="A49" s="747"/>
      <c r="B49" s="748" t="s">
        <v>787</v>
      </c>
      <c r="C49" s="749"/>
      <c r="D49" s="749"/>
      <c r="E49" s="746">
        <f t="shared" ref="E49:E56" si="14">C49+D49</f>
        <v>0</v>
      </c>
      <c r="F49" s="749"/>
      <c r="G49" s="749"/>
      <c r="H49" s="746">
        <f t="shared" ref="H49:H56" si="15">+E49-F49</f>
        <v>0</v>
      </c>
    </row>
    <row r="50" spans="1:8" x14ac:dyDescent="0.25">
      <c r="A50" s="747"/>
      <c r="B50" s="748" t="s">
        <v>788</v>
      </c>
      <c r="C50" s="749"/>
      <c r="D50" s="749"/>
      <c r="E50" s="746">
        <f t="shared" si="14"/>
        <v>0</v>
      </c>
      <c r="F50" s="749"/>
      <c r="G50" s="749"/>
      <c r="H50" s="746">
        <f t="shared" si="15"/>
        <v>0</v>
      </c>
    </row>
    <row r="51" spans="1:8" x14ac:dyDescent="0.25">
      <c r="A51" s="747"/>
      <c r="B51" s="748" t="s">
        <v>789</v>
      </c>
      <c r="C51" s="749"/>
      <c r="D51" s="749"/>
      <c r="E51" s="746">
        <f t="shared" si="14"/>
        <v>0</v>
      </c>
      <c r="F51" s="749"/>
      <c r="G51" s="749"/>
      <c r="H51" s="746">
        <f t="shared" si="15"/>
        <v>0</v>
      </c>
    </row>
    <row r="52" spans="1:8" x14ac:dyDescent="0.25">
      <c r="A52" s="747"/>
      <c r="B52" s="748" t="s">
        <v>790</v>
      </c>
      <c r="C52" s="749"/>
      <c r="D52" s="749"/>
      <c r="E52" s="746">
        <f t="shared" si="14"/>
        <v>0</v>
      </c>
      <c r="F52" s="749"/>
      <c r="G52" s="749"/>
      <c r="H52" s="746">
        <f t="shared" si="15"/>
        <v>0</v>
      </c>
    </row>
    <row r="53" spans="1:8" x14ac:dyDescent="0.25">
      <c r="A53" s="747"/>
      <c r="B53" s="748" t="s">
        <v>791</v>
      </c>
      <c r="C53" s="749"/>
      <c r="D53" s="749"/>
      <c r="E53" s="746">
        <f t="shared" si="14"/>
        <v>0</v>
      </c>
      <c r="F53" s="749"/>
      <c r="G53" s="749"/>
      <c r="H53" s="746">
        <f t="shared" si="15"/>
        <v>0</v>
      </c>
    </row>
    <row r="54" spans="1:8" x14ac:dyDescent="0.25">
      <c r="A54" s="747"/>
      <c r="B54" s="748" t="s">
        <v>792</v>
      </c>
      <c r="C54" s="749"/>
      <c r="D54" s="749"/>
      <c r="E54" s="746">
        <f t="shared" si="14"/>
        <v>0</v>
      </c>
      <c r="F54" s="749"/>
      <c r="G54" s="749"/>
      <c r="H54" s="746">
        <f t="shared" si="15"/>
        <v>0</v>
      </c>
    </row>
    <row r="55" spans="1:8" x14ac:dyDescent="0.25">
      <c r="A55" s="747"/>
      <c r="B55" s="748" t="s">
        <v>793</v>
      </c>
      <c r="C55" s="749"/>
      <c r="D55" s="749"/>
      <c r="E55" s="746">
        <f t="shared" si="14"/>
        <v>0</v>
      </c>
      <c r="F55" s="749"/>
      <c r="G55" s="749"/>
      <c r="H55" s="746">
        <f t="shared" si="15"/>
        <v>0</v>
      </c>
    </row>
    <row r="56" spans="1:8" x14ac:dyDescent="0.25">
      <c r="A56" s="747"/>
      <c r="B56" s="748" t="s">
        <v>794</v>
      </c>
      <c r="C56" s="749"/>
      <c r="D56" s="749"/>
      <c r="E56" s="746">
        <f t="shared" si="14"/>
        <v>0</v>
      </c>
      <c r="F56" s="749"/>
      <c r="G56" s="749"/>
      <c r="H56" s="746">
        <f t="shared" si="15"/>
        <v>0</v>
      </c>
    </row>
    <row r="57" spans="1:8" x14ac:dyDescent="0.25">
      <c r="A57" s="747"/>
      <c r="B57" s="748"/>
      <c r="C57" s="749"/>
      <c r="D57" s="749"/>
      <c r="E57" s="746"/>
      <c r="F57" s="749"/>
      <c r="G57" s="749"/>
      <c r="H57" s="746"/>
    </row>
    <row r="58" spans="1:8" x14ac:dyDescent="0.25">
      <c r="A58" s="747" t="s">
        <v>795</v>
      </c>
      <c r="B58" s="748"/>
      <c r="C58" s="753">
        <f>SUM(C59:C65)</f>
        <v>0</v>
      </c>
      <c r="D58" s="753">
        <f t="shared" ref="D58:H58" si="16">SUM(D59:D65)</f>
        <v>39503957.710000001</v>
      </c>
      <c r="E58" s="753">
        <f t="shared" si="16"/>
        <v>39503957.710000001</v>
      </c>
      <c r="F58" s="753">
        <f t="shared" si="16"/>
        <v>8911583.0700000003</v>
      </c>
      <c r="G58" s="753">
        <f t="shared" si="16"/>
        <v>8911583.0700000003</v>
      </c>
      <c r="H58" s="753">
        <f t="shared" si="16"/>
        <v>30592374.640000001</v>
      </c>
    </row>
    <row r="59" spans="1:8" x14ac:dyDescent="0.25">
      <c r="A59" s="747"/>
      <c r="B59" s="748" t="s">
        <v>796</v>
      </c>
      <c r="C59" s="749"/>
      <c r="D59" s="749"/>
      <c r="E59" s="746">
        <f t="shared" ref="E59:E65" si="17">C59+D59</f>
        <v>0</v>
      </c>
      <c r="F59" s="749"/>
      <c r="G59" s="749"/>
      <c r="H59" s="746">
        <f t="shared" ref="H59:H65" si="18">+E59-F59</f>
        <v>0</v>
      </c>
    </row>
    <row r="60" spans="1:8" x14ac:dyDescent="0.25">
      <c r="A60" s="747"/>
      <c r="B60" s="748" t="s">
        <v>797</v>
      </c>
      <c r="C60" s="749">
        <v>0</v>
      </c>
      <c r="D60" s="749">
        <v>39503957.710000001</v>
      </c>
      <c r="E60" s="746">
        <f t="shared" si="17"/>
        <v>39503957.710000001</v>
      </c>
      <c r="F60" s="749">
        <v>8911583.0700000003</v>
      </c>
      <c r="G60" s="749">
        <f>+F60</f>
        <v>8911583.0700000003</v>
      </c>
      <c r="H60" s="746">
        <f t="shared" si="18"/>
        <v>30592374.640000001</v>
      </c>
    </row>
    <row r="61" spans="1:8" x14ac:dyDescent="0.25">
      <c r="A61" s="747"/>
      <c r="B61" s="748" t="s">
        <v>798</v>
      </c>
      <c r="C61" s="749"/>
      <c r="D61" s="749"/>
      <c r="E61" s="746">
        <f t="shared" si="17"/>
        <v>0</v>
      </c>
      <c r="F61" s="749"/>
      <c r="G61" s="749"/>
      <c r="H61" s="746">
        <f t="shared" si="18"/>
        <v>0</v>
      </c>
    </row>
    <row r="62" spans="1:8" x14ac:dyDescent="0.25">
      <c r="A62" s="747"/>
      <c r="B62" s="748" t="s">
        <v>799</v>
      </c>
      <c r="C62" s="749"/>
      <c r="D62" s="749"/>
      <c r="E62" s="746">
        <f t="shared" si="17"/>
        <v>0</v>
      </c>
      <c r="F62" s="749"/>
      <c r="G62" s="749"/>
      <c r="H62" s="746">
        <f t="shared" si="18"/>
        <v>0</v>
      </c>
    </row>
    <row r="63" spans="1:8" x14ac:dyDescent="0.25">
      <c r="A63" s="747"/>
      <c r="B63" s="748" t="s">
        <v>800</v>
      </c>
      <c r="C63" s="749"/>
      <c r="D63" s="749"/>
      <c r="E63" s="746">
        <f t="shared" si="17"/>
        <v>0</v>
      </c>
      <c r="F63" s="749"/>
      <c r="G63" s="749"/>
      <c r="H63" s="746">
        <f t="shared" si="18"/>
        <v>0</v>
      </c>
    </row>
    <row r="64" spans="1:8" x14ac:dyDescent="0.25">
      <c r="A64" s="747"/>
      <c r="B64" s="748" t="s">
        <v>801</v>
      </c>
      <c r="C64" s="749"/>
      <c r="D64" s="749"/>
      <c r="E64" s="746">
        <f t="shared" si="17"/>
        <v>0</v>
      </c>
      <c r="F64" s="749"/>
      <c r="G64" s="749"/>
      <c r="H64" s="746">
        <f t="shared" si="18"/>
        <v>0</v>
      </c>
    </row>
    <row r="65" spans="1:8" ht="15.75" thickBot="1" x14ac:dyDescent="0.3">
      <c r="A65" s="755"/>
      <c r="B65" s="756" t="s">
        <v>802</v>
      </c>
      <c r="C65" s="757"/>
      <c r="D65" s="757"/>
      <c r="E65" s="758">
        <f t="shared" si="17"/>
        <v>0</v>
      </c>
      <c r="F65" s="757"/>
      <c r="G65" s="757"/>
      <c r="H65" s="758">
        <f t="shared" si="18"/>
        <v>0</v>
      </c>
    </row>
    <row r="66" spans="1:8" x14ac:dyDescent="0.25">
      <c r="A66" s="747" t="s">
        <v>803</v>
      </c>
      <c r="B66" s="748"/>
      <c r="C66" s="753">
        <f>SUM(C67:C75)</f>
        <v>0</v>
      </c>
      <c r="D66" s="753">
        <f t="shared" ref="D66:H66" si="19">SUM(D67:D75)</f>
        <v>0</v>
      </c>
      <c r="E66" s="753">
        <f t="shared" si="19"/>
        <v>0</v>
      </c>
      <c r="F66" s="753">
        <f t="shared" si="19"/>
        <v>0</v>
      </c>
      <c r="G66" s="753">
        <f t="shared" si="19"/>
        <v>0</v>
      </c>
      <c r="H66" s="753">
        <f t="shared" si="19"/>
        <v>0</v>
      </c>
    </row>
    <row r="67" spans="1:8" x14ac:dyDescent="0.25">
      <c r="A67" s="747"/>
      <c r="B67" s="748" t="s">
        <v>804</v>
      </c>
      <c r="C67" s="749"/>
      <c r="D67" s="749"/>
      <c r="E67" s="746">
        <f t="shared" ref="E67:E75" si="20">C67+D67</f>
        <v>0</v>
      </c>
      <c r="F67" s="749"/>
      <c r="G67" s="749"/>
      <c r="H67" s="746">
        <f t="shared" ref="H67:H75" si="21">+E67-F67</f>
        <v>0</v>
      </c>
    </row>
    <row r="68" spans="1:8" x14ac:dyDescent="0.25">
      <c r="A68" s="747"/>
      <c r="B68" s="748" t="s">
        <v>805</v>
      </c>
      <c r="C68" s="749"/>
      <c r="D68" s="749"/>
      <c r="E68" s="746"/>
      <c r="F68" s="749"/>
      <c r="G68" s="749"/>
      <c r="H68" s="746">
        <f t="shared" si="21"/>
        <v>0</v>
      </c>
    </row>
    <row r="69" spans="1:8" x14ac:dyDescent="0.25">
      <c r="A69" s="747"/>
      <c r="B69" s="748" t="s">
        <v>806</v>
      </c>
      <c r="C69" s="749"/>
      <c r="D69" s="749"/>
      <c r="E69" s="746">
        <f t="shared" si="20"/>
        <v>0</v>
      </c>
      <c r="F69" s="749"/>
      <c r="G69" s="749"/>
      <c r="H69" s="746">
        <f t="shared" si="21"/>
        <v>0</v>
      </c>
    </row>
    <row r="70" spans="1:8" x14ac:dyDescent="0.25">
      <c r="A70" s="747"/>
      <c r="B70" s="748" t="s">
        <v>807</v>
      </c>
      <c r="C70" s="749"/>
      <c r="D70" s="749"/>
      <c r="E70" s="746">
        <f t="shared" si="20"/>
        <v>0</v>
      </c>
      <c r="F70" s="749"/>
      <c r="G70" s="749"/>
      <c r="H70" s="746">
        <f t="shared" si="21"/>
        <v>0</v>
      </c>
    </row>
    <row r="71" spans="1:8" x14ac:dyDescent="0.25">
      <c r="A71" s="747"/>
      <c r="B71" s="748" t="s">
        <v>808</v>
      </c>
      <c r="C71" s="749"/>
      <c r="D71" s="749"/>
      <c r="E71" s="746">
        <f t="shared" si="20"/>
        <v>0</v>
      </c>
      <c r="F71" s="749"/>
      <c r="G71" s="749"/>
      <c r="H71" s="746">
        <f t="shared" si="21"/>
        <v>0</v>
      </c>
    </row>
    <row r="72" spans="1:8" x14ac:dyDescent="0.25">
      <c r="A72" s="747"/>
      <c r="B72" s="748" t="s">
        <v>809</v>
      </c>
      <c r="C72" s="749"/>
      <c r="D72" s="749"/>
      <c r="E72" s="746">
        <f t="shared" si="20"/>
        <v>0</v>
      </c>
      <c r="F72" s="749"/>
      <c r="G72" s="749"/>
      <c r="H72" s="746">
        <f t="shared" si="21"/>
        <v>0</v>
      </c>
    </row>
    <row r="73" spans="1:8" x14ac:dyDescent="0.25">
      <c r="A73" s="747"/>
      <c r="B73" s="748" t="s">
        <v>810</v>
      </c>
      <c r="C73" s="749"/>
      <c r="D73" s="749"/>
      <c r="E73" s="746">
        <f t="shared" si="20"/>
        <v>0</v>
      </c>
      <c r="F73" s="749"/>
      <c r="G73" s="749"/>
      <c r="H73" s="746">
        <f t="shared" si="21"/>
        <v>0</v>
      </c>
    </row>
    <row r="74" spans="1:8" x14ac:dyDescent="0.25">
      <c r="A74" s="747"/>
      <c r="B74" s="748" t="s">
        <v>811</v>
      </c>
      <c r="C74" s="749"/>
      <c r="D74" s="749"/>
      <c r="E74" s="746">
        <f t="shared" si="20"/>
        <v>0</v>
      </c>
      <c r="F74" s="749"/>
      <c r="G74" s="749"/>
      <c r="H74" s="746">
        <f t="shared" si="21"/>
        <v>0</v>
      </c>
    </row>
    <row r="75" spans="1:8" x14ac:dyDescent="0.25">
      <c r="A75" s="747"/>
      <c r="B75" s="748" t="s">
        <v>812</v>
      </c>
      <c r="C75" s="749"/>
      <c r="D75" s="749"/>
      <c r="E75" s="746">
        <f t="shared" si="20"/>
        <v>0</v>
      </c>
      <c r="F75" s="749"/>
      <c r="G75" s="749"/>
      <c r="H75" s="746">
        <f t="shared" si="21"/>
        <v>0</v>
      </c>
    </row>
    <row r="76" spans="1:8" x14ac:dyDescent="0.25">
      <c r="A76" s="747"/>
      <c r="B76" s="748"/>
      <c r="C76" s="749"/>
      <c r="D76" s="749"/>
      <c r="E76" s="746"/>
      <c r="F76" s="749"/>
      <c r="G76" s="749"/>
      <c r="H76" s="746"/>
    </row>
    <row r="77" spans="1:8" x14ac:dyDescent="0.25">
      <c r="A77" s="747" t="s">
        <v>813</v>
      </c>
      <c r="B77" s="748"/>
      <c r="C77" s="753">
        <f>SUM(C78:C81)</f>
        <v>0</v>
      </c>
      <c r="D77" s="753">
        <f t="shared" ref="D77:H77" si="22">SUM(D78:D81)</f>
        <v>0</v>
      </c>
      <c r="E77" s="753">
        <f t="shared" si="22"/>
        <v>0</v>
      </c>
      <c r="F77" s="753">
        <f t="shared" si="22"/>
        <v>0</v>
      </c>
      <c r="G77" s="753">
        <f t="shared" si="22"/>
        <v>0</v>
      </c>
      <c r="H77" s="753">
        <f t="shared" si="22"/>
        <v>0</v>
      </c>
    </row>
    <row r="78" spans="1:8" x14ac:dyDescent="0.25">
      <c r="A78" s="747"/>
      <c r="B78" s="748" t="s">
        <v>814</v>
      </c>
      <c r="C78" s="749">
        <v>0</v>
      </c>
      <c r="D78" s="749"/>
      <c r="E78" s="746">
        <f t="shared" ref="E78:E81" si="23">C78+D78</f>
        <v>0</v>
      </c>
      <c r="F78" s="749"/>
      <c r="G78" s="749"/>
      <c r="H78" s="746">
        <f t="shared" ref="H78:H81" si="24">+E78-F78</f>
        <v>0</v>
      </c>
    </row>
    <row r="79" spans="1:8" x14ac:dyDescent="0.25">
      <c r="A79" s="747"/>
      <c r="B79" s="748" t="s">
        <v>815</v>
      </c>
      <c r="C79" s="749">
        <v>0</v>
      </c>
      <c r="D79" s="749"/>
      <c r="E79" s="746">
        <f t="shared" si="23"/>
        <v>0</v>
      </c>
      <c r="F79" s="749"/>
      <c r="G79" s="749"/>
      <c r="H79" s="746">
        <f t="shared" si="24"/>
        <v>0</v>
      </c>
    </row>
    <row r="80" spans="1:8" x14ac:dyDescent="0.25">
      <c r="A80" s="747"/>
      <c r="B80" s="748" t="s">
        <v>816</v>
      </c>
      <c r="C80" s="749">
        <v>0</v>
      </c>
      <c r="D80" s="749"/>
      <c r="E80" s="746">
        <f t="shared" si="23"/>
        <v>0</v>
      </c>
      <c r="F80" s="749"/>
      <c r="G80" s="749"/>
      <c r="H80" s="746">
        <f t="shared" si="24"/>
        <v>0</v>
      </c>
    </row>
    <row r="81" spans="1:9" x14ac:dyDescent="0.25">
      <c r="A81" s="747"/>
      <c r="B81" s="748" t="s">
        <v>817</v>
      </c>
      <c r="C81" s="749"/>
      <c r="D81" s="749"/>
      <c r="E81" s="746">
        <f t="shared" si="23"/>
        <v>0</v>
      </c>
      <c r="F81" s="749"/>
      <c r="G81" s="749"/>
      <c r="H81" s="746">
        <f t="shared" si="24"/>
        <v>0</v>
      </c>
    </row>
    <row r="82" spans="1:9" x14ac:dyDescent="0.25">
      <c r="A82" s="747"/>
      <c r="B82" s="748"/>
      <c r="C82" s="749"/>
      <c r="D82" s="749"/>
      <c r="E82" s="746"/>
      <c r="F82" s="749"/>
      <c r="G82" s="749"/>
      <c r="H82" s="746"/>
    </row>
    <row r="83" spans="1:9" ht="15.75" thickBot="1" x14ac:dyDescent="0.3">
      <c r="A83" s="755" t="s">
        <v>712</v>
      </c>
      <c r="B83" s="756"/>
      <c r="C83" s="770">
        <f t="shared" ref="C83:H83" si="25">+C10+C47</f>
        <v>431991645.12</v>
      </c>
      <c r="D83" s="770">
        <f t="shared" si="25"/>
        <v>261387538.47000003</v>
      </c>
      <c r="E83" s="770">
        <f t="shared" si="25"/>
        <v>693379183.59000003</v>
      </c>
      <c r="F83" s="770">
        <f t="shared" si="25"/>
        <v>221644805.09999999</v>
      </c>
      <c r="G83" s="770">
        <f t="shared" si="25"/>
        <v>221644805.09999999</v>
      </c>
      <c r="H83" s="770">
        <f t="shared" si="25"/>
        <v>471734378.49000001</v>
      </c>
      <c r="I83" s="522" t="str">
        <f>IF((C83-'ETCA-II-11'!B45)&gt;0.9,"ERROR!!!!! EL MONTO NO COINCIDE CON LO REPORTADO EN EL FORMATO ETCA-II-11 EN EL TOTAL DEL GASTO","")</f>
        <v/>
      </c>
    </row>
    <row r="84" spans="1:9" x14ac:dyDescent="0.25">
      <c r="A84" s="759"/>
      <c r="B84" s="759"/>
      <c r="C84" s="760"/>
      <c r="D84" s="760"/>
      <c r="E84" s="761"/>
      <c r="F84" s="760"/>
      <c r="G84" s="760"/>
      <c r="H84" s="761"/>
      <c r="I84" s="522" t="str">
        <f>IF((D83-'ETCA-II-11'!C45)&gt;0.9,"ERROR!!!!! EL MONTO NO COINCIDE CON LO REPORTADO EN EL FORMATO ETCA-II-11 EN EL TOTAL DEL GASTO","")</f>
        <v/>
      </c>
    </row>
    <row r="85" spans="1:9" x14ac:dyDescent="0.25">
      <c r="A85" s="759"/>
      <c r="B85" s="759"/>
      <c r="C85" s="760"/>
      <c r="D85" s="760"/>
      <c r="E85" s="761"/>
      <c r="F85" s="760"/>
      <c r="G85" s="760"/>
      <c r="H85" s="761"/>
      <c r="I85" t="str">
        <f>IF((E83-'ETCA-II-11'!D45),"ERROR!!!!! EL MONTO NO COINCIDE CON LO REPORTADO EN EL FORMATO ETCA-II-11 EN EL TOTAL DEL GASTO","")</f>
        <v>ERROR!!!!! EL MONTO NO COINCIDE CON LO REPORTADO EN EL FORMATO ETCA-II-11 EN EL TOTAL DEL GASTO</v>
      </c>
    </row>
    <row r="86" spans="1:9" x14ac:dyDescent="0.25">
      <c r="A86" s="759"/>
      <c r="B86" s="759"/>
      <c r="C86" s="760"/>
      <c r="D86" s="760"/>
      <c r="E86" s="761"/>
      <c r="F86" s="760"/>
      <c r="G86" s="760"/>
      <c r="H86" s="761"/>
      <c r="I86" t="str">
        <f>IF((F83-'ETCA-II-11'!E45)&gt;0.9,"ERROR!!!!! EL MONTO NO COINCIDE CON LO REPORTADO EN EL FORMATO ETCA-II-11 EN EL TOTAL DEL GASTO","")</f>
        <v/>
      </c>
    </row>
    <row r="87" spans="1:9" x14ac:dyDescent="0.25">
      <c r="A87" s="759"/>
      <c r="B87" s="759"/>
      <c r="C87" s="760"/>
      <c r="D87" s="760"/>
      <c r="E87" s="761"/>
      <c r="F87" s="760"/>
      <c r="G87" s="760"/>
      <c r="H87" s="761"/>
      <c r="I87" t="str">
        <f>IF((G83-'ETCA-II-11'!F45)&gt;0.9,"ERROR!!!!! EL MONTO NO COINCIDE CON LO REPORTADO EN EL FORMATO ETCA-II-11 EN EL TOTAL DEL GASTO","")</f>
        <v/>
      </c>
    </row>
    <row r="88" spans="1:9" x14ac:dyDescent="0.25">
      <c r="A88" s="759"/>
      <c r="B88" s="759"/>
      <c r="C88" s="760"/>
      <c r="D88" s="760"/>
      <c r="E88" s="761"/>
      <c r="F88" s="760"/>
      <c r="G88" s="760"/>
      <c r="H88" s="761"/>
      <c r="I88" t="str">
        <f>IF((H83-'ETCA-II-11'!G45)&gt;0.9,"ERROR!!!!! EL MONTO NO COINCIDE CON LO REPORTADO EN EL FORMATO ETCA-II-11 EN EL TOTAL DEL GASTO","")</f>
        <v/>
      </c>
    </row>
    <row r="89" spans="1:9" x14ac:dyDescent="0.25">
      <c r="A89" s="759"/>
      <c r="B89" s="759"/>
      <c r="C89" s="760"/>
      <c r="D89" s="760"/>
      <c r="E89" s="761"/>
      <c r="F89" s="760"/>
      <c r="G89" s="760"/>
      <c r="H89" s="761"/>
    </row>
  </sheetData>
  <sheetProtection password="C115" sheet="1" scenarios="1" formatColumns="0" formatRows="0" insertHyperlinks="0"/>
  <mergeCells count="14">
    <mergeCell ref="A7:B8"/>
    <mergeCell ref="C7:G7"/>
    <mergeCell ref="H7:H8"/>
    <mergeCell ref="A1:H1"/>
    <mergeCell ref="A3:H3"/>
    <mergeCell ref="A4:H4"/>
    <mergeCell ref="A5:H5"/>
    <mergeCell ref="A6:H6"/>
    <mergeCell ref="A2:H2"/>
    <mergeCell ref="A9:B9"/>
    <mergeCell ref="A10:B10"/>
    <mergeCell ref="A11:B11"/>
    <mergeCell ref="A21:B21"/>
    <mergeCell ref="A30:B30"/>
  </mergeCells>
  <pageMargins left="0.19685039370078741" right="0.31496062992125984" top="0.74803149606299213" bottom="0.74803149606299213" header="0.31496062992125984" footer="0.31496062992125984"/>
  <pageSetup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80"/>
  <sheetViews>
    <sheetView tabSelected="1" topLeftCell="A133" zoomScaleNormal="100" zoomScaleSheetLayoutView="100" workbookViewId="0">
      <selection activeCell="H139" sqref="H139"/>
    </sheetView>
  </sheetViews>
  <sheetFormatPr baseColWidth="10" defaultColWidth="11.42578125" defaultRowHeight="16.5" x14ac:dyDescent="0.3"/>
  <cols>
    <col min="1" max="1" width="10.42578125" style="32" customWidth="1"/>
    <col min="2" max="2" width="39.7109375" style="6" customWidth="1"/>
    <col min="3" max="4" width="12.7109375" style="6" customWidth="1"/>
    <col min="5" max="5" width="13.28515625" style="6" bestFit="1" customWidth="1"/>
    <col min="6" max="7" width="12.7109375" style="6" customWidth="1"/>
    <col min="8" max="8" width="11.7109375" style="6" customWidth="1"/>
    <col min="9" max="9" width="9.42578125" style="6" customWidth="1"/>
    <col min="10" max="16384" width="11.42578125" style="3"/>
  </cols>
  <sheetData>
    <row r="1" spans="1:9" s="6" customFormat="1" x14ac:dyDescent="0.25">
      <c r="A1" s="1122" t="s">
        <v>25</v>
      </c>
      <c r="B1" s="1122"/>
      <c r="C1" s="1122"/>
      <c r="D1" s="1122"/>
      <c r="E1" s="1122"/>
      <c r="F1" s="1122"/>
      <c r="G1" s="1122"/>
      <c r="H1" s="1122"/>
      <c r="I1" s="1122"/>
    </row>
    <row r="2" spans="1:9" s="30" customFormat="1" ht="15.75" x14ac:dyDescent="0.25">
      <c r="A2" s="1122" t="s">
        <v>568</v>
      </c>
      <c r="B2" s="1122"/>
      <c r="C2" s="1122"/>
      <c r="D2" s="1122"/>
      <c r="E2" s="1122"/>
      <c r="F2" s="1122"/>
      <c r="G2" s="1122"/>
      <c r="H2" s="1122"/>
      <c r="I2" s="1122"/>
    </row>
    <row r="3" spans="1:9" s="30" customFormat="1" ht="15.75" x14ac:dyDescent="0.25">
      <c r="A3" s="1122" t="s">
        <v>819</v>
      </c>
      <c r="B3" s="1122"/>
      <c r="C3" s="1122"/>
      <c r="D3" s="1122"/>
      <c r="E3" s="1122"/>
      <c r="F3" s="1122"/>
      <c r="G3" s="1122"/>
      <c r="H3" s="1122"/>
      <c r="I3" s="1122"/>
    </row>
    <row r="4" spans="1:9" s="30" customFormat="1" x14ac:dyDescent="0.25">
      <c r="A4" s="1174" t="str">
        <f>'[2]ETCA-I-01'!A3:G3</f>
        <v>CONSEJO ESTATAL DE CONCERTACION PARA LA OBRA PUBLICA</v>
      </c>
      <c r="B4" s="1174"/>
      <c r="C4" s="1174"/>
      <c r="D4" s="1174"/>
      <c r="E4" s="1174"/>
      <c r="F4" s="1174"/>
      <c r="G4" s="1174"/>
      <c r="H4" s="1174"/>
      <c r="I4" s="1174"/>
    </row>
    <row r="5" spans="1:9" s="30" customFormat="1" x14ac:dyDescent="0.25">
      <c r="A5" s="1174" t="s">
        <v>1218</v>
      </c>
      <c r="B5" s="1174"/>
      <c r="C5" s="1174"/>
      <c r="D5" s="1174"/>
      <c r="E5" s="1174"/>
      <c r="F5" s="1174"/>
      <c r="G5" s="1174"/>
      <c r="H5" s="1174"/>
      <c r="I5" s="1174"/>
    </row>
    <row r="6" spans="1:9" s="31" customFormat="1" ht="17.25" thickBot="1" x14ac:dyDescent="0.3">
      <c r="A6" s="38"/>
      <c r="B6" s="38"/>
      <c r="C6" s="1175" t="s">
        <v>820</v>
      </c>
      <c r="D6" s="1175"/>
      <c r="E6" s="1175"/>
      <c r="F6" s="38"/>
      <c r="G6" s="4"/>
      <c r="H6" s="1176"/>
      <c r="I6" s="1176"/>
    </row>
    <row r="7" spans="1:9" ht="38.25" customHeight="1" x14ac:dyDescent="0.3">
      <c r="A7" s="1170" t="s">
        <v>821</v>
      </c>
      <c r="B7" s="1171"/>
      <c r="C7" s="192" t="s">
        <v>572</v>
      </c>
      <c r="D7" s="192" t="s">
        <v>482</v>
      </c>
      <c r="E7" s="192" t="s">
        <v>573</v>
      </c>
      <c r="F7" s="193" t="s">
        <v>574</v>
      </c>
      <c r="G7" s="193" t="s">
        <v>575</v>
      </c>
      <c r="H7" s="192" t="s">
        <v>576</v>
      </c>
      <c r="I7" s="194" t="s">
        <v>822</v>
      </c>
    </row>
    <row r="8" spans="1:9" ht="18" customHeight="1" thickBot="1" x14ac:dyDescent="0.35">
      <c r="A8" s="1172"/>
      <c r="B8" s="1173"/>
      <c r="C8" s="291" t="s">
        <v>447</v>
      </c>
      <c r="D8" s="291" t="s">
        <v>448</v>
      </c>
      <c r="E8" s="291" t="s">
        <v>577</v>
      </c>
      <c r="F8" s="326" t="s">
        <v>450</v>
      </c>
      <c r="G8" s="326" t="s">
        <v>451</v>
      </c>
      <c r="H8" s="291" t="s">
        <v>578</v>
      </c>
      <c r="I8" s="292" t="s">
        <v>823</v>
      </c>
    </row>
    <row r="9" spans="1:9" ht="6" customHeight="1" x14ac:dyDescent="0.3">
      <c r="A9" s="322"/>
      <c r="B9" s="323"/>
      <c r="C9" s="324"/>
      <c r="D9" s="324"/>
      <c r="E9" s="324"/>
      <c r="F9" s="324"/>
      <c r="G9" s="324"/>
      <c r="H9" s="324"/>
      <c r="I9" s="325"/>
    </row>
    <row r="10" spans="1:9" ht="20.100000000000001" customHeight="1" x14ac:dyDescent="0.3">
      <c r="A10" s="886">
        <v>1000</v>
      </c>
      <c r="B10" s="887" t="s">
        <v>1066</v>
      </c>
      <c r="C10" s="888">
        <f t="shared" ref="C10:D10" si="0">+C11+C18+C20+C27+C39</f>
        <v>24059810</v>
      </c>
      <c r="D10" s="888">
        <f t="shared" si="0"/>
        <v>657400.97999999765</v>
      </c>
      <c r="E10" s="888">
        <f>+E11+E18+E20+E27+E39</f>
        <v>24717210.979999997</v>
      </c>
      <c r="F10" s="889">
        <f>+F11+F20+F18+F27+F39</f>
        <v>15399711.670000002</v>
      </c>
      <c r="G10" s="889">
        <f>+G11+G20+G18+G27+G39</f>
        <v>15399711.670000002</v>
      </c>
      <c r="H10" s="890">
        <f>+E10-F10</f>
        <v>9317499.3099999949</v>
      </c>
      <c r="I10" s="891">
        <f>+F10/E10</f>
        <v>0.62303597612452</v>
      </c>
    </row>
    <row r="11" spans="1:9" s="33" customFormat="1" ht="17.25" customHeight="1" x14ac:dyDescent="0.2">
      <c r="A11" s="892">
        <v>1100</v>
      </c>
      <c r="B11" s="893" t="s">
        <v>1067</v>
      </c>
      <c r="C11" s="894">
        <f>SUM(C12:C17)</f>
        <v>16196567.16</v>
      </c>
      <c r="D11" s="894">
        <f>SUM(D12:D17)</f>
        <v>-1761022.2600000016</v>
      </c>
      <c r="E11" s="894">
        <f t="shared" ref="E11:E86" si="1">+C11+D11</f>
        <v>14435544.899999999</v>
      </c>
      <c r="F11" s="894">
        <f t="shared" ref="F11:G11" si="2">SUM(F12:F17)</f>
        <v>8589384.7000000011</v>
      </c>
      <c r="G11" s="894">
        <f t="shared" si="2"/>
        <v>8589384.7000000011</v>
      </c>
      <c r="H11" s="890">
        <f t="shared" ref="H11:H86" si="3">+E11-F11</f>
        <v>5846160.1999999974</v>
      </c>
      <c r="I11" s="896">
        <f>+F11/E11</f>
        <v>0.59501631282377165</v>
      </c>
    </row>
    <row r="12" spans="1:9" s="33" customFormat="1" ht="17.25" customHeight="1" x14ac:dyDescent="0.2">
      <c r="A12" s="897">
        <v>11301</v>
      </c>
      <c r="B12" s="898" t="s">
        <v>1068</v>
      </c>
      <c r="C12" s="899">
        <v>4810655.4000000004</v>
      </c>
      <c r="D12" s="900">
        <v>646469.69999999832</v>
      </c>
      <c r="E12" s="946">
        <v>5457125.0999999987</v>
      </c>
      <c r="F12" s="947">
        <v>5365759.83</v>
      </c>
      <c r="G12" s="947">
        <v>5365759.83</v>
      </c>
      <c r="H12" s="902">
        <f t="shared" si="3"/>
        <v>91365.269999998622</v>
      </c>
      <c r="I12" s="903">
        <f t="shared" ref="I12:I81" si="4">+F12/E12</f>
        <v>0.9832576185581674</v>
      </c>
    </row>
    <row r="13" spans="1:9" s="33" customFormat="1" ht="17.25" customHeight="1" x14ac:dyDescent="0.2">
      <c r="A13" s="897">
        <v>11305</v>
      </c>
      <c r="B13" s="898" t="s">
        <v>1069</v>
      </c>
      <c r="C13" s="899">
        <v>3795304.08</v>
      </c>
      <c r="D13" s="900">
        <v>-1084389.21</v>
      </c>
      <c r="E13" s="946">
        <v>2710914.87</v>
      </c>
      <c r="F13" s="947">
        <v>987748.32</v>
      </c>
      <c r="G13" s="947">
        <v>987748.32</v>
      </c>
      <c r="H13" s="902">
        <f t="shared" si="3"/>
        <v>1723166.5500000003</v>
      </c>
      <c r="I13" s="903">
        <f t="shared" si="4"/>
        <v>0.3643597705449157</v>
      </c>
    </row>
    <row r="14" spans="1:9" s="33" customFormat="1" ht="17.25" customHeight="1" x14ac:dyDescent="0.2">
      <c r="A14" s="897">
        <v>11306</v>
      </c>
      <c r="B14" s="898" t="s">
        <v>1070</v>
      </c>
      <c r="C14" s="899">
        <v>0</v>
      </c>
      <c r="D14" s="900">
        <v>359516.19000000006</v>
      </c>
      <c r="E14" s="946">
        <v>359516.19000000006</v>
      </c>
      <c r="F14" s="947">
        <v>359516.19</v>
      </c>
      <c r="G14" s="947">
        <v>359516.19</v>
      </c>
      <c r="H14" s="902">
        <f t="shared" si="3"/>
        <v>0</v>
      </c>
      <c r="I14" s="903">
        <f t="shared" si="4"/>
        <v>0.99999999999999989</v>
      </c>
    </row>
    <row r="15" spans="1:9" s="33" customFormat="1" ht="17.25" customHeight="1" x14ac:dyDescent="0.2">
      <c r="A15" s="897">
        <v>11307</v>
      </c>
      <c r="B15" s="898" t="s">
        <v>1071</v>
      </c>
      <c r="C15" s="899">
        <v>3795303.84</v>
      </c>
      <c r="D15" s="900">
        <v>-576246.89999999991</v>
      </c>
      <c r="E15" s="946">
        <v>3219056.94</v>
      </c>
      <c r="F15" s="947">
        <v>954628.31</v>
      </c>
      <c r="G15" s="947">
        <v>954628.31</v>
      </c>
      <c r="H15" s="902">
        <f t="shared" si="3"/>
        <v>2264428.63</v>
      </c>
      <c r="I15" s="903">
        <f t="shared" si="4"/>
        <v>0.29655527311051544</v>
      </c>
    </row>
    <row r="16" spans="1:9" s="33" customFormat="1" ht="17.25" customHeight="1" x14ac:dyDescent="0.2">
      <c r="A16" s="897">
        <v>11308</v>
      </c>
      <c r="B16" s="898" t="s">
        <v>1072</v>
      </c>
      <c r="C16" s="899">
        <v>3795303.84</v>
      </c>
      <c r="D16" s="900">
        <v>-1324300.5</v>
      </c>
      <c r="E16" s="946">
        <v>2471003.34</v>
      </c>
      <c r="F16" s="947">
        <v>703803.59</v>
      </c>
      <c r="G16" s="947">
        <v>703803.59</v>
      </c>
      <c r="H16" s="902">
        <f t="shared" si="3"/>
        <v>1767199.75</v>
      </c>
      <c r="I16" s="903">
        <f t="shared" si="4"/>
        <v>0.28482502577272922</v>
      </c>
    </row>
    <row r="17" spans="1:10" s="33" customFormat="1" ht="17.25" customHeight="1" x14ac:dyDescent="0.2">
      <c r="A17" s="897">
        <v>11308</v>
      </c>
      <c r="B17" s="898" t="s">
        <v>1219</v>
      </c>
      <c r="C17" s="899">
        <v>0</v>
      </c>
      <c r="D17" s="900">
        <v>217928.46000000005</v>
      </c>
      <c r="E17" s="946">
        <v>217928.46000000005</v>
      </c>
      <c r="F17" s="947">
        <v>217928.46000000005</v>
      </c>
      <c r="G17" s="947">
        <v>217928.46000000005</v>
      </c>
      <c r="H17" s="902">
        <f t="shared" ref="H17" si="5">+E17-F17</f>
        <v>0</v>
      </c>
      <c r="I17" s="903">
        <f t="shared" ref="I17" si="6">+F17/E17</f>
        <v>1</v>
      </c>
    </row>
    <row r="18" spans="1:10" s="33" customFormat="1" ht="17.25" customHeight="1" x14ac:dyDescent="0.2">
      <c r="A18" s="892">
        <v>1200</v>
      </c>
      <c r="B18" s="893" t="s">
        <v>1073</v>
      </c>
      <c r="C18" s="894">
        <f>+C19</f>
        <v>0</v>
      </c>
      <c r="D18" s="904">
        <f>+D19</f>
        <v>1696008.1</v>
      </c>
      <c r="E18" s="894">
        <f t="shared" si="1"/>
        <v>1696008.1</v>
      </c>
      <c r="F18" s="895">
        <f>SUM(F19)</f>
        <v>1686602.89</v>
      </c>
      <c r="G18" s="895">
        <f>SUM(G19)</f>
        <v>1686602.89</v>
      </c>
      <c r="H18" s="890">
        <f t="shared" si="3"/>
        <v>9405.2100000001956</v>
      </c>
      <c r="I18" s="896">
        <f>+F18/E18</f>
        <v>0.99445450172083483</v>
      </c>
    </row>
    <row r="19" spans="1:10" s="33" customFormat="1" ht="17.25" customHeight="1" x14ac:dyDescent="0.2">
      <c r="A19" s="905">
        <v>12201</v>
      </c>
      <c r="B19" s="906" t="s">
        <v>1074</v>
      </c>
      <c r="C19" s="899">
        <v>0</v>
      </c>
      <c r="D19" s="900">
        <v>1696008.1</v>
      </c>
      <c r="E19" s="946">
        <v>1696008.1</v>
      </c>
      <c r="F19" s="947">
        <v>1686602.89</v>
      </c>
      <c r="G19" s="907">
        <f>+F19</f>
        <v>1686602.89</v>
      </c>
      <c r="H19" s="902">
        <f t="shared" si="3"/>
        <v>9405.2100000001956</v>
      </c>
      <c r="I19" s="903">
        <f t="shared" si="4"/>
        <v>0.99445450172083483</v>
      </c>
    </row>
    <row r="20" spans="1:10" s="33" customFormat="1" ht="17.25" customHeight="1" x14ac:dyDescent="0.2">
      <c r="A20" s="908">
        <v>1300</v>
      </c>
      <c r="B20" s="893" t="s">
        <v>1075</v>
      </c>
      <c r="C20" s="894">
        <f>SUM(C21:C26)</f>
        <v>4378951.2</v>
      </c>
      <c r="D20" s="894">
        <f>SUM(D21:D26)</f>
        <v>-40752.4300000004</v>
      </c>
      <c r="E20" s="894">
        <f t="shared" si="1"/>
        <v>4338198.7699999996</v>
      </c>
      <c r="F20" s="895">
        <f>SUM(F21:F26)</f>
        <v>1102679.29</v>
      </c>
      <c r="G20" s="895">
        <f>SUM(G21:G26)</f>
        <v>1102679.29</v>
      </c>
      <c r="H20" s="890">
        <f t="shared" si="3"/>
        <v>3235519.4799999995</v>
      </c>
      <c r="I20" s="896">
        <f>+F20/E20</f>
        <v>0.25417906104841759</v>
      </c>
    </row>
    <row r="21" spans="1:10" s="33" customFormat="1" ht="17.25" customHeight="1" x14ac:dyDescent="0.2">
      <c r="A21" s="905">
        <v>13101</v>
      </c>
      <c r="B21" s="906" t="s">
        <v>1076</v>
      </c>
      <c r="C21" s="899">
        <v>260195.64</v>
      </c>
      <c r="D21" s="900">
        <v>0</v>
      </c>
      <c r="E21" s="946">
        <v>260195.64</v>
      </c>
      <c r="F21" s="947">
        <v>109536.90999999997</v>
      </c>
      <c r="G21" s="907">
        <f>+F21</f>
        <v>109536.90999999997</v>
      </c>
      <c r="H21" s="902">
        <f t="shared" si="3"/>
        <v>150658.73000000004</v>
      </c>
      <c r="I21" s="903">
        <f t="shared" si="4"/>
        <v>0.42097903715834734</v>
      </c>
    </row>
    <row r="22" spans="1:10" s="33" customFormat="1" ht="17.25" customHeight="1" x14ac:dyDescent="0.2">
      <c r="A22" s="905">
        <v>13201</v>
      </c>
      <c r="B22" s="906" t="s">
        <v>1077</v>
      </c>
      <c r="C22" s="899">
        <v>560821.80000000005</v>
      </c>
      <c r="D22" s="900">
        <v>1905</v>
      </c>
      <c r="E22" s="946">
        <v>562726.80000000005</v>
      </c>
      <c r="F22" s="947">
        <v>51931.11</v>
      </c>
      <c r="G22" s="907">
        <f t="shared" ref="G22:G26" si="7">+F22</f>
        <v>51931.11</v>
      </c>
      <c r="H22" s="902">
        <f t="shared" si="3"/>
        <v>510795.69000000006</v>
      </c>
      <c r="I22" s="903">
        <f t="shared" si="4"/>
        <v>9.2284764116441584E-2</v>
      </c>
    </row>
    <row r="23" spans="1:10" s="33" customFormat="1" ht="17.25" customHeight="1" x14ac:dyDescent="0.2">
      <c r="A23" s="905">
        <v>13202</v>
      </c>
      <c r="B23" s="906" t="s">
        <v>1078</v>
      </c>
      <c r="C23" s="899">
        <v>1388136.24</v>
      </c>
      <c r="D23" s="900">
        <v>-26657.4300000004</v>
      </c>
      <c r="E23" s="946">
        <v>1361478.8099999996</v>
      </c>
      <c r="F23" s="947">
        <v>73811.27</v>
      </c>
      <c r="G23" s="907">
        <f t="shared" si="7"/>
        <v>73811.27</v>
      </c>
      <c r="H23" s="902">
        <f t="shared" si="3"/>
        <v>1287667.5399999996</v>
      </c>
      <c r="I23" s="903">
        <f t="shared" si="4"/>
        <v>5.4214042449915199E-2</v>
      </c>
    </row>
    <row r="24" spans="1:10" s="33" customFormat="1" ht="17.25" customHeight="1" x14ac:dyDescent="0.2">
      <c r="A24" s="905">
        <v>13203</v>
      </c>
      <c r="B24" s="906" t="s">
        <v>1079</v>
      </c>
      <c r="C24" s="899">
        <v>140205.48000000001</v>
      </c>
      <c r="D24" s="900">
        <v>0</v>
      </c>
      <c r="E24" s="946">
        <v>140205.47999999998</v>
      </c>
      <c r="F24" s="947">
        <v>0</v>
      </c>
      <c r="G24" s="907">
        <f t="shared" si="7"/>
        <v>0</v>
      </c>
      <c r="H24" s="902">
        <f t="shared" si="3"/>
        <v>140205.47999999998</v>
      </c>
      <c r="I24" s="903">
        <f t="shared" si="4"/>
        <v>0</v>
      </c>
    </row>
    <row r="25" spans="1:10" s="33" customFormat="1" ht="29.25" customHeight="1" x14ac:dyDescent="0.2">
      <c r="A25" s="905">
        <v>13204</v>
      </c>
      <c r="B25" s="906" t="s">
        <v>1080</v>
      </c>
      <c r="C25" s="899">
        <v>140205.48000000001</v>
      </c>
      <c r="D25" s="900">
        <v>0</v>
      </c>
      <c r="E25" s="946">
        <v>140205.47999999998</v>
      </c>
      <c r="F25" s="947">
        <v>0</v>
      </c>
      <c r="G25" s="907">
        <f t="shared" si="7"/>
        <v>0</v>
      </c>
      <c r="H25" s="902">
        <f t="shared" si="3"/>
        <v>140205.47999999998</v>
      </c>
      <c r="I25" s="903">
        <f t="shared" si="4"/>
        <v>0</v>
      </c>
    </row>
    <row r="26" spans="1:10" s="33" customFormat="1" ht="25.5" customHeight="1" x14ac:dyDescent="0.2">
      <c r="A26" s="905">
        <v>13403</v>
      </c>
      <c r="B26" s="906" t="s">
        <v>1081</v>
      </c>
      <c r="C26" s="899">
        <v>1889386.56</v>
      </c>
      <c r="D26" s="900">
        <v>-16000</v>
      </c>
      <c r="E26" s="946">
        <v>1873386.56</v>
      </c>
      <c r="F26" s="947">
        <v>867400</v>
      </c>
      <c r="G26" s="907">
        <f t="shared" si="7"/>
        <v>867400</v>
      </c>
      <c r="H26" s="902">
        <f t="shared" si="3"/>
        <v>1005986.56</v>
      </c>
      <c r="I26" s="903">
        <f t="shared" si="4"/>
        <v>0.46301175556634716</v>
      </c>
    </row>
    <row r="27" spans="1:10" s="33" customFormat="1" ht="17.25" customHeight="1" x14ac:dyDescent="0.2">
      <c r="A27" s="892">
        <v>1400</v>
      </c>
      <c r="B27" s="893" t="s">
        <v>1082</v>
      </c>
      <c r="C27" s="894">
        <f>SUM(C28:C38)</f>
        <v>3484291.64</v>
      </c>
      <c r="D27" s="894">
        <f>SUM(D28:D38)</f>
        <v>763167.5699999996</v>
      </c>
      <c r="E27" s="894">
        <f t="shared" si="1"/>
        <v>4247459.21</v>
      </c>
      <c r="F27" s="894">
        <f t="shared" ref="F27:G27" si="8">SUM(F28:F38)</f>
        <v>4021044.7899999986</v>
      </c>
      <c r="G27" s="894">
        <f t="shared" si="8"/>
        <v>4021044.7899999986</v>
      </c>
      <c r="H27" s="890">
        <f t="shared" si="3"/>
        <v>226414.42000000132</v>
      </c>
      <c r="I27" s="896">
        <f>+F27/E27</f>
        <v>0.94669415083093844</v>
      </c>
      <c r="J27" s="945"/>
    </row>
    <row r="28" spans="1:10" s="33" customFormat="1" ht="17.25" customHeight="1" x14ac:dyDescent="0.2">
      <c r="A28" s="897">
        <v>14101</v>
      </c>
      <c r="B28" s="898" t="s">
        <v>1083</v>
      </c>
      <c r="C28" s="909">
        <v>858057.56</v>
      </c>
      <c r="D28" s="900">
        <v>633852.6399999999</v>
      </c>
      <c r="E28" s="947">
        <v>1491910.2</v>
      </c>
      <c r="F28" s="947">
        <v>1416787.9899999993</v>
      </c>
      <c r="G28" s="901">
        <f>+F28</f>
        <v>1416787.9899999993</v>
      </c>
      <c r="H28" s="902">
        <f t="shared" si="3"/>
        <v>75122.210000000661</v>
      </c>
      <c r="I28" s="903">
        <f t="shared" si="4"/>
        <v>0.94964696266571491</v>
      </c>
    </row>
    <row r="29" spans="1:10" s="33" customFormat="1" ht="17.25" customHeight="1" x14ac:dyDescent="0.2">
      <c r="A29" s="897">
        <v>14102</v>
      </c>
      <c r="B29" s="898" t="s">
        <v>1084</v>
      </c>
      <c r="C29" s="909">
        <v>117.6</v>
      </c>
      <c r="D29" s="900">
        <v>14.299999999999983</v>
      </c>
      <c r="E29" s="947">
        <v>131.89999999999998</v>
      </c>
      <c r="F29" s="947">
        <v>108.9</v>
      </c>
      <c r="G29" s="901">
        <f t="shared" ref="G29:G38" si="9">+F29</f>
        <v>108.9</v>
      </c>
      <c r="H29" s="902">
        <f t="shared" si="3"/>
        <v>22.999999999999972</v>
      </c>
      <c r="I29" s="903">
        <f t="shared" si="4"/>
        <v>0.82562547384382123</v>
      </c>
    </row>
    <row r="30" spans="1:10" s="33" customFormat="1" ht="17.25" customHeight="1" x14ac:dyDescent="0.2">
      <c r="A30" s="897">
        <v>14103</v>
      </c>
      <c r="B30" s="898" t="s">
        <v>1085</v>
      </c>
      <c r="C30" s="909">
        <v>1470</v>
      </c>
      <c r="D30" s="900">
        <v>225.99000000000024</v>
      </c>
      <c r="E30" s="947">
        <v>1695.9900000000002</v>
      </c>
      <c r="F30" s="947">
        <v>1622.7200000000003</v>
      </c>
      <c r="G30" s="901">
        <f t="shared" si="9"/>
        <v>1622.7200000000003</v>
      </c>
      <c r="H30" s="902">
        <f t="shared" si="3"/>
        <v>73.269999999999982</v>
      </c>
      <c r="I30" s="903">
        <f t="shared" si="4"/>
        <v>0.95679809432838636</v>
      </c>
    </row>
    <row r="31" spans="1:10" s="33" customFormat="1" ht="17.25" customHeight="1" x14ac:dyDescent="0.2">
      <c r="A31" s="897">
        <v>14104</v>
      </c>
      <c r="B31" s="898" t="s">
        <v>1086</v>
      </c>
      <c r="C31" s="909">
        <v>50474.04</v>
      </c>
      <c r="D31" s="900">
        <v>521.04999999999563</v>
      </c>
      <c r="E31" s="947">
        <v>50995.09</v>
      </c>
      <c r="F31" s="947">
        <v>43517.11</v>
      </c>
      <c r="G31" s="901">
        <f t="shared" si="9"/>
        <v>43517.11</v>
      </c>
      <c r="H31" s="902">
        <f t="shared" si="3"/>
        <v>7477.9799999999959</v>
      </c>
      <c r="I31" s="903">
        <f t="shared" si="4"/>
        <v>0.85335882336907343</v>
      </c>
    </row>
    <row r="32" spans="1:10" s="33" customFormat="1" ht="17.25" customHeight="1" x14ac:dyDescent="0.2">
      <c r="A32" s="897">
        <v>14105</v>
      </c>
      <c r="B32" s="898" t="s">
        <v>1087</v>
      </c>
      <c r="C32" s="909">
        <v>50474.04</v>
      </c>
      <c r="D32" s="900">
        <v>521.04999999999563</v>
      </c>
      <c r="E32" s="947">
        <v>50995.09</v>
      </c>
      <c r="F32" s="947">
        <v>43517.11</v>
      </c>
      <c r="G32" s="901">
        <f t="shared" si="9"/>
        <v>43517.11</v>
      </c>
      <c r="H32" s="902">
        <f t="shared" si="3"/>
        <v>7477.9799999999959</v>
      </c>
      <c r="I32" s="903">
        <f t="shared" si="4"/>
        <v>0.85335882336907343</v>
      </c>
    </row>
    <row r="33" spans="1:9" s="33" customFormat="1" ht="17.25" customHeight="1" x14ac:dyDescent="0.2">
      <c r="A33" s="897">
        <v>14106</v>
      </c>
      <c r="B33" s="898" t="s">
        <v>1088</v>
      </c>
      <c r="C33" s="909">
        <v>302843.88</v>
      </c>
      <c r="D33" s="900">
        <v>-2008.2900000000373</v>
      </c>
      <c r="E33" s="947">
        <v>300835.58999999997</v>
      </c>
      <c r="F33" s="947">
        <v>261103.00000000009</v>
      </c>
      <c r="G33" s="901">
        <f t="shared" si="9"/>
        <v>261103.00000000009</v>
      </c>
      <c r="H33" s="902">
        <f t="shared" si="3"/>
        <v>39732.58999999988</v>
      </c>
      <c r="I33" s="903">
        <f t="shared" si="4"/>
        <v>0.86792589932594122</v>
      </c>
    </row>
    <row r="34" spans="1:9" s="6" customFormat="1" ht="20.25" customHeight="1" x14ac:dyDescent="0.25">
      <c r="A34" s="897">
        <v>14107</v>
      </c>
      <c r="B34" s="898" t="s">
        <v>1089</v>
      </c>
      <c r="C34" s="909">
        <v>100947.96</v>
      </c>
      <c r="D34" s="900">
        <v>1042.3499999999913</v>
      </c>
      <c r="E34" s="947">
        <v>101990.31</v>
      </c>
      <c r="F34" s="947">
        <v>87035.909999999974</v>
      </c>
      <c r="G34" s="901">
        <f t="shared" si="9"/>
        <v>87035.909999999974</v>
      </c>
      <c r="H34" s="902">
        <f t="shared" si="3"/>
        <v>14954.400000000023</v>
      </c>
      <c r="I34" s="903">
        <f t="shared" si="4"/>
        <v>0.85337430585317342</v>
      </c>
    </row>
    <row r="35" spans="1:9" ht="22.5" x14ac:dyDescent="0.3">
      <c r="A35" s="897">
        <v>14108</v>
      </c>
      <c r="B35" s="910" t="s">
        <v>1090</v>
      </c>
      <c r="C35" s="909">
        <v>0</v>
      </c>
      <c r="D35" s="900">
        <v>297065.97000000003</v>
      </c>
      <c r="E35" s="947">
        <v>297065.97000000003</v>
      </c>
      <c r="F35" s="947">
        <v>269230.5</v>
      </c>
      <c r="G35" s="901">
        <f t="shared" si="9"/>
        <v>269230.5</v>
      </c>
      <c r="H35" s="902">
        <f t="shared" si="3"/>
        <v>27835.47000000003</v>
      </c>
      <c r="I35" s="903">
        <f t="shared" si="4"/>
        <v>0.90629869183602541</v>
      </c>
    </row>
    <row r="36" spans="1:9" x14ac:dyDescent="0.3">
      <c r="A36" s="897">
        <v>14201</v>
      </c>
      <c r="B36" s="898" t="s">
        <v>1091</v>
      </c>
      <c r="C36" s="909">
        <v>403791.72</v>
      </c>
      <c r="D36" s="900">
        <v>-24100.059999999998</v>
      </c>
      <c r="E36" s="947">
        <v>379691.66</v>
      </c>
      <c r="F36" s="947">
        <v>348138.25999999995</v>
      </c>
      <c r="G36" s="901">
        <f t="shared" si="9"/>
        <v>348138.25999999995</v>
      </c>
      <c r="H36" s="902">
        <f t="shared" si="3"/>
        <v>31553.400000000023</v>
      </c>
      <c r="I36" s="903">
        <f t="shared" si="4"/>
        <v>0.91689730556631133</v>
      </c>
    </row>
    <row r="37" spans="1:9" s="943" customFormat="1" ht="22.5" x14ac:dyDescent="0.3">
      <c r="A37" s="944">
        <v>14301</v>
      </c>
      <c r="B37" s="939" t="s">
        <v>1220</v>
      </c>
      <c r="C37" s="940">
        <v>1716114.84</v>
      </c>
      <c r="D37" s="900">
        <v>-159967.4300000004</v>
      </c>
      <c r="E37" s="947">
        <v>1556147.4099999997</v>
      </c>
      <c r="F37" s="947">
        <v>1534196.3099999996</v>
      </c>
      <c r="G37" s="901">
        <f t="shared" si="9"/>
        <v>1534196.3099999996</v>
      </c>
      <c r="H37" s="941">
        <f t="shared" si="3"/>
        <v>21951.100000000093</v>
      </c>
      <c r="I37" s="942">
        <f t="shared" si="4"/>
        <v>0.98589394561277455</v>
      </c>
    </row>
    <row r="38" spans="1:9" x14ac:dyDescent="0.3">
      <c r="A38" s="897">
        <v>14303</v>
      </c>
      <c r="B38" s="898" t="s">
        <v>1221</v>
      </c>
      <c r="C38" s="909">
        <v>0</v>
      </c>
      <c r="D38" s="900">
        <v>16000</v>
      </c>
      <c r="E38" s="947">
        <v>16000</v>
      </c>
      <c r="F38" s="947">
        <v>15786.98</v>
      </c>
      <c r="G38" s="901">
        <f t="shared" si="9"/>
        <v>15786.98</v>
      </c>
      <c r="H38" s="902"/>
      <c r="I38" s="903"/>
    </row>
    <row r="39" spans="1:9" x14ac:dyDescent="0.3">
      <c r="A39" s="892">
        <v>1500</v>
      </c>
      <c r="B39" s="893" t="s">
        <v>1092</v>
      </c>
      <c r="C39" s="894">
        <f>SUM(C40)</f>
        <v>0</v>
      </c>
      <c r="D39" s="894">
        <f>SUM(D40)</f>
        <v>0</v>
      </c>
      <c r="E39" s="894">
        <f t="shared" si="1"/>
        <v>0</v>
      </c>
      <c r="F39" s="894">
        <f>SUM(F40)</f>
        <v>0</v>
      </c>
      <c r="G39" s="894">
        <f>SUM(G40)</f>
        <v>0</v>
      </c>
      <c r="H39" s="890">
        <f t="shared" si="3"/>
        <v>0</v>
      </c>
      <c r="I39" s="896" t="e">
        <f>+F39/E39</f>
        <v>#DIV/0!</v>
      </c>
    </row>
    <row r="40" spans="1:9" x14ac:dyDescent="0.3">
      <c r="A40" s="897">
        <v>15304</v>
      </c>
      <c r="B40" s="898" t="s">
        <v>1093</v>
      </c>
      <c r="C40" s="909">
        <v>0</v>
      </c>
      <c r="D40" s="900">
        <v>0</v>
      </c>
      <c r="E40" s="900">
        <v>0</v>
      </c>
      <c r="F40" s="901">
        <v>0</v>
      </c>
      <c r="G40" s="901">
        <v>0</v>
      </c>
      <c r="H40" s="902"/>
      <c r="I40" s="903"/>
    </row>
    <row r="41" spans="1:9" x14ac:dyDescent="0.3">
      <c r="A41" s="892">
        <v>2000</v>
      </c>
      <c r="B41" s="893" t="s">
        <v>1094</v>
      </c>
      <c r="C41" s="894">
        <f>(C42+C49+C55+C60+C62+C65+C71+C68)</f>
        <v>2000000</v>
      </c>
      <c r="D41" s="894">
        <f>(D42+D49+D55+D60+D62+D65+D71+D68+D53)</f>
        <v>-887542.23999999953</v>
      </c>
      <c r="E41" s="894">
        <f>+C41+D41</f>
        <v>1112457.7600000005</v>
      </c>
      <c r="F41" s="894">
        <f t="shared" ref="F41:G41" si="10">(F42+F49+F55+F60+F62+F65+F71+F68+F53)</f>
        <v>1082634.53</v>
      </c>
      <c r="G41" s="894">
        <f t="shared" si="10"/>
        <v>1082634.53</v>
      </c>
      <c r="H41" s="890">
        <f t="shared" si="3"/>
        <v>29823.230000000447</v>
      </c>
      <c r="I41" s="896">
        <f t="shared" si="4"/>
        <v>0.97319158437080755</v>
      </c>
    </row>
    <row r="42" spans="1:9" x14ac:dyDescent="0.3">
      <c r="A42" s="892">
        <v>2100</v>
      </c>
      <c r="B42" s="893" t="s">
        <v>1095</v>
      </c>
      <c r="C42" s="894">
        <f>SUM(C43:C48)</f>
        <v>655932.37999999989</v>
      </c>
      <c r="D42" s="894">
        <f>SUM(D43:D48)</f>
        <v>-365171.73</v>
      </c>
      <c r="E42" s="894">
        <f>+C42+D42</f>
        <v>290760.64999999991</v>
      </c>
      <c r="F42" s="894">
        <f>SUM(F43:F48)</f>
        <v>282358.36</v>
      </c>
      <c r="G42" s="894">
        <f>SUM(G43:G48)</f>
        <v>282358.36</v>
      </c>
      <c r="H42" s="890">
        <f t="shared" si="3"/>
        <v>8402.2899999999208</v>
      </c>
      <c r="I42" s="896">
        <f t="shared" si="4"/>
        <v>0.97110238266422944</v>
      </c>
    </row>
    <row r="43" spans="1:9" x14ac:dyDescent="0.3">
      <c r="A43" s="897">
        <v>21101</v>
      </c>
      <c r="B43" s="898" t="s">
        <v>1096</v>
      </c>
      <c r="C43" s="909">
        <v>250832.78</v>
      </c>
      <c r="D43" s="900">
        <v>-186344.47</v>
      </c>
      <c r="E43" s="947">
        <v>64488.31</v>
      </c>
      <c r="F43" s="947">
        <v>65131.199999999997</v>
      </c>
      <c r="G43" s="901">
        <f>+F43</f>
        <v>65131.199999999997</v>
      </c>
      <c r="H43" s="902">
        <f t="shared" si="3"/>
        <v>-642.88999999999942</v>
      </c>
      <c r="I43" s="903">
        <f t="shared" si="4"/>
        <v>1.009969093623325</v>
      </c>
    </row>
    <row r="44" spans="1:9" x14ac:dyDescent="0.3">
      <c r="A44" s="897">
        <v>21201</v>
      </c>
      <c r="B44" s="898" t="s">
        <v>1097</v>
      </c>
      <c r="C44" s="909">
        <v>181399.92</v>
      </c>
      <c r="D44" s="900">
        <v>-1500</v>
      </c>
      <c r="E44" s="947">
        <v>179899.92</v>
      </c>
      <c r="F44" s="947">
        <v>171443.55</v>
      </c>
      <c r="G44" s="901">
        <f t="shared" ref="G44:G48" si="11">+F44</f>
        <v>171443.55</v>
      </c>
      <c r="H44" s="902">
        <f t="shared" si="3"/>
        <v>8456.3700000000244</v>
      </c>
      <c r="I44" s="903">
        <f t="shared" si="4"/>
        <v>0.95299403134809613</v>
      </c>
    </row>
    <row r="45" spans="1:9" ht="22.5" x14ac:dyDescent="0.3">
      <c r="A45" s="911">
        <v>21401</v>
      </c>
      <c r="B45" s="910" t="s">
        <v>1098</v>
      </c>
      <c r="C45" s="909">
        <v>1399.92</v>
      </c>
      <c r="D45" s="900">
        <v>4347.8099999999995</v>
      </c>
      <c r="E45" s="947">
        <v>5747.73</v>
      </c>
      <c r="F45" s="947">
        <v>5647.81</v>
      </c>
      <c r="G45" s="901">
        <f t="shared" si="11"/>
        <v>5647.81</v>
      </c>
      <c r="H45" s="902">
        <f t="shared" si="3"/>
        <v>99.919999999999163</v>
      </c>
      <c r="I45" s="903">
        <f t="shared" si="4"/>
        <v>0.98261574569438737</v>
      </c>
    </row>
    <row r="46" spans="1:9" x14ac:dyDescent="0.3">
      <c r="A46" s="911">
        <v>21501</v>
      </c>
      <c r="B46" s="910" t="s">
        <v>1099</v>
      </c>
      <c r="C46" s="909">
        <v>80299.92</v>
      </c>
      <c r="D46" s="900">
        <v>-71897.820000000007</v>
      </c>
      <c r="E46" s="947">
        <v>8402.0999999999913</v>
      </c>
      <c r="F46" s="947">
        <v>8174</v>
      </c>
      <c r="G46" s="901">
        <f t="shared" si="11"/>
        <v>8174</v>
      </c>
      <c r="H46" s="902">
        <f t="shared" si="3"/>
        <v>228.09999999999127</v>
      </c>
      <c r="I46" s="903">
        <f t="shared" si="4"/>
        <v>0.97285202508896684</v>
      </c>
    </row>
    <row r="47" spans="1:9" x14ac:dyDescent="0.3">
      <c r="A47" s="911">
        <v>21601</v>
      </c>
      <c r="B47" s="910" t="s">
        <v>1100</v>
      </c>
      <c r="C47" s="909">
        <v>71999.88</v>
      </c>
      <c r="D47" s="900">
        <v>-39933.25</v>
      </c>
      <c r="E47" s="947">
        <v>32066.630000000005</v>
      </c>
      <c r="F47" s="947">
        <v>31961.800000000003</v>
      </c>
      <c r="G47" s="901">
        <f t="shared" si="11"/>
        <v>31961.800000000003</v>
      </c>
      <c r="H47" s="902">
        <f t="shared" si="3"/>
        <v>104.83000000000175</v>
      </c>
      <c r="I47" s="903">
        <f t="shared" si="4"/>
        <v>0.99673086944278211</v>
      </c>
    </row>
    <row r="48" spans="1:9" ht="22.5" x14ac:dyDescent="0.3">
      <c r="A48" s="897">
        <v>21801</v>
      </c>
      <c r="B48" s="910" t="s">
        <v>1101</v>
      </c>
      <c r="C48" s="909">
        <v>69999.960000000006</v>
      </c>
      <c r="D48" s="900">
        <v>-69844.000000000015</v>
      </c>
      <c r="E48" s="947">
        <v>155.95999999999185</v>
      </c>
      <c r="F48" s="947">
        <v>0</v>
      </c>
      <c r="G48" s="901">
        <f t="shared" si="11"/>
        <v>0</v>
      </c>
      <c r="H48" s="902">
        <f t="shared" si="3"/>
        <v>155.95999999999185</v>
      </c>
      <c r="I48" s="903">
        <f t="shared" si="4"/>
        <v>0</v>
      </c>
    </row>
    <row r="49" spans="1:9" x14ac:dyDescent="0.3">
      <c r="A49" s="892">
        <v>2200</v>
      </c>
      <c r="B49" s="912" t="s">
        <v>1102</v>
      </c>
      <c r="C49" s="894">
        <f>SUM(C50:C52)</f>
        <v>42797.88</v>
      </c>
      <c r="D49" s="894">
        <f t="shared" ref="D49:G49" si="12">SUM(D50:D52)</f>
        <v>9939.9999999999945</v>
      </c>
      <c r="E49" s="894">
        <f t="shared" si="1"/>
        <v>52737.87999999999</v>
      </c>
      <c r="F49" s="895">
        <f t="shared" si="12"/>
        <v>51951.92</v>
      </c>
      <c r="G49" s="895">
        <f t="shared" si="12"/>
        <v>51951.92</v>
      </c>
      <c r="H49" s="890">
        <f t="shared" si="3"/>
        <v>785.95999999999185</v>
      </c>
      <c r="I49" s="896">
        <f t="shared" si="4"/>
        <v>0.98509686016957843</v>
      </c>
    </row>
    <row r="50" spans="1:9" ht="22.5" x14ac:dyDescent="0.3">
      <c r="A50" s="897">
        <v>22101</v>
      </c>
      <c r="B50" s="910" t="s">
        <v>1103</v>
      </c>
      <c r="C50" s="909">
        <v>29997.84</v>
      </c>
      <c r="D50" s="900">
        <v>3751.9999999999964</v>
      </c>
      <c r="E50" s="947">
        <v>33749.839999999997</v>
      </c>
      <c r="F50" s="947">
        <v>33072.9</v>
      </c>
      <c r="G50" s="901">
        <f>+F50</f>
        <v>33072.9</v>
      </c>
      <c r="H50" s="902">
        <f t="shared" si="3"/>
        <v>676.93999999999505</v>
      </c>
      <c r="I50" s="903">
        <f t="shared" si="4"/>
        <v>0.97994242343074822</v>
      </c>
    </row>
    <row r="51" spans="1:9" x14ac:dyDescent="0.3">
      <c r="A51" s="897">
        <v>22106</v>
      </c>
      <c r="B51" s="910" t="s">
        <v>1104</v>
      </c>
      <c r="C51" s="909">
        <v>7800.12</v>
      </c>
      <c r="D51" s="900">
        <v>6200.0000000000009</v>
      </c>
      <c r="E51" s="947">
        <v>14000.12</v>
      </c>
      <c r="F51" s="947">
        <v>13950</v>
      </c>
      <c r="G51" s="901">
        <f t="shared" ref="G51:G52" si="13">+F51</f>
        <v>13950</v>
      </c>
      <c r="H51" s="902">
        <f t="shared" si="3"/>
        <v>50.1200000000008</v>
      </c>
      <c r="I51" s="903">
        <f t="shared" si="4"/>
        <v>0.99642003068545126</v>
      </c>
    </row>
    <row r="52" spans="1:9" x14ac:dyDescent="0.3">
      <c r="A52" s="897">
        <v>22301</v>
      </c>
      <c r="B52" s="910" t="s">
        <v>1105</v>
      </c>
      <c r="C52" s="909">
        <v>4999.92</v>
      </c>
      <c r="D52" s="900">
        <v>-12.000000000001819</v>
      </c>
      <c r="E52" s="947">
        <v>4987.9199999999983</v>
      </c>
      <c r="F52" s="947">
        <v>4929.0199999999995</v>
      </c>
      <c r="G52" s="901">
        <f t="shared" si="13"/>
        <v>4929.0199999999995</v>
      </c>
      <c r="H52" s="902">
        <f t="shared" si="3"/>
        <v>58.899999999998727</v>
      </c>
      <c r="I52" s="903">
        <f t="shared" si="4"/>
        <v>0.98819147059295287</v>
      </c>
    </row>
    <row r="53" spans="1:9" ht="22.5" x14ac:dyDescent="0.3">
      <c r="A53" s="892">
        <v>23000</v>
      </c>
      <c r="B53" s="912" t="s">
        <v>1106</v>
      </c>
      <c r="C53" s="894">
        <f>SUM(C54)</f>
        <v>0</v>
      </c>
      <c r="D53" s="894">
        <f t="shared" ref="D53:H53" si="14">SUM(D54)</f>
        <v>0</v>
      </c>
      <c r="E53" s="894">
        <f t="shared" si="14"/>
        <v>0</v>
      </c>
      <c r="F53" s="894">
        <f t="shared" si="14"/>
        <v>0</v>
      </c>
      <c r="G53" s="894">
        <f t="shared" si="14"/>
        <v>0</v>
      </c>
      <c r="H53" s="894">
        <f t="shared" si="14"/>
        <v>0</v>
      </c>
      <c r="I53" s="913"/>
    </row>
    <row r="54" spans="1:9" ht="22.5" x14ac:dyDescent="0.3">
      <c r="A54" s="897">
        <v>23501</v>
      </c>
      <c r="B54" s="910" t="s">
        <v>1107</v>
      </c>
      <c r="C54" s="909">
        <v>0</v>
      </c>
      <c r="D54" s="900">
        <v>0</v>
      </c>
      <c r="E54" s="909">
        <v>0</v>
      </c>
      <c r="F54" s="901">
        <v>0</v>
      </c>
      <c r="G54" s="901">
        <v>0</v>
      </c>
      <c r="H54" s="902">
        <f t="shared" si="3"/>
        <v>0</v>
      </c>
      <c r="I54" s="903"/>
    </row>
    <row r="55" spans="1:9" ht="22.5" x14ac:dyDescent="0.3">
      <c r="A55" s="892">
        <v>2400</v>
      </c>
      <c r="B55" s="912" t="s">
        <v>1108</v>
      </c>
      <c r="C55" s="894">
        <f>SUM(C56:C59)</f>
        <v>5000.16</v>
      </c>
      <c r="D55" s="894">
        <f>SUM(D56:D59)</f>
        <v>-4900</v>
      </c>
      <c r="E55" s="894">
        <f t="shared" si="1"/>
        <v>100.15999999999985</v>
      </c>
      <c r="F55" s="894">
        <f>SUM(F56:F59)</f>
        <v>62.93</v>
      </c>
      <c r="G55" s="894">
        <f>SUM(G56:G59)</f>
        <v>62.93</v>
      </c>
      <c r="H55" s="890">
        <f t="shared" si="3"/>
        <v>37.229999999999855</v>
      </c>
      <c r="I55" s="896">
        <f t="shared" si="4"/>
        <v>0.62829472843450573</v>
      </c>
    </row>
    <row r="56" spans="1:9" x14ac:dyDescent="0.3">
      <c r="A56" s="897">
        <v>24601</v>
      </c>
      <c r="B56" s="910" t="s">
        <v>1109</v>
      </c>
      <c r="C56" s="909"/>
      <c r="D56" s="900">
        <v>100</v>
      </c>
      <c r="E56" s="947">
        <v>100</v>
      </c>
      <c r="F56" s="947">
        <v>62.93</v>
      </c>
      <c r="G56" s="901">
        <f>+F56</f>
        <v>62.93</v>
      </c>
      <c r="H56" s="902">
        <f t="shared" si="3"/>
        <v>37.07</v>
      </c>
      <c r="I56" s="903">
        <f t="shared" si="4"/>
        <v>0.62929999999999997</v>
      </c>
    </row>
    <row r="57" spans="1:9" x14ac:dyDescent="0.3">
      <c r="A57" s="897">
        <v>24701</v>
      </c>
      <c r="B57" s="910" t="s">
        <v>1110</v>
      </c>
      <c r="C57" s="909">
        <v>0</v>
      </c>
      <c r="D57" s="900">
        <v>0</v>
      </c>
      <c r="E57" s="921">
        <v>0</v>
      </c>
      <c r="F57" s="922">
        <v>0</v>
      </c>
      <c r="G57" s="901">
        <v>0</v>
      </c>
      <c r="H57" s="902"/>
      <c r="I57" s="903"/>
    </row>
    <row r="58" spans="1:9" x14ac:dyDescent="0.3">
      <c r="A58" s="897">
        <v>24801</v>
      </c>
      <c r="B58" s="910" t="s">
        <v>1111</v>
      </c>
      <c r="C58" s="909">
        <v>4000.08</v>
      </c>
      <c r="D58" s="900">
        <v>-4000</v>
      </c>
      <c r="E58" s="947">
        <v>7.999999999992724E-2</v>
      </c>
      <c r="F58" s="922">
        <v>0</v>
      </c>
      <c r="G58" s="901">
        <v>0</v>
      </c>
      <c r="H58" s="902">
        <f t="shared" si="3"/>
        <v>7.999999999992724E-2</v>
      </c>
      <c r="I58" s="903">
        <f t="shared" si="4"/>
        <v>0</v>
      </c>
    </row>
    <row r="59" spans="1:9" ht="22.5" x14ac:dyDescent="0.3">
      <c r="A59" s="897">
        <v>24901</v>
      </c>
      <c r="B59" s="910" t="s">
        <v>1112</v>
      </c>
      <c r="C59" s="909">
        <v>1000.08</v>
      </c>
      <c r="D59" s="900">
        <v>-1000</v>
      </c>
      <c r="E59" s="947">
        <v>8.0000000000040927E-2</v>
      </c>
      <c r="F59" s="922">
        <v>0</v>
      </c>
      <c r="G59" s="901">
        <v>0</v>
      </c>
      <c r="H59" s="902">
        <f t="shared" si="3"/>
        <v>8.0000000000040927E-2</v>
      </c>
      <c r="I59" s="903">
        <f t="shared" si="4"/>
        <v>0</v>
      </c>
    </row>
    <row r="60" spans="1:9" ht="22.5" x14ac:dyDescent="0.3">
      <c r="A60" s="892">
        <v>2500</v>
      </c>
      <c r="B60" s="912" t="s">
        <v>1107</v>
      </c>
      <c r="C60" s="894">
        <f>SUM(C61)</f>
        <v>0</v>
      </c>
      <c r="D60" s="894">
        <f>SUM(D61)</f>
        <v>0</v>
      </c>
      <c r="E60" s="894">
        <f t="shared" si="1"/>
        <v>0</v>
      </c>
      <c r="F60" s="895">
        <f t="shared" ref="F60:G60" si="15">SUM(F61)</f>
        <v>0</v>
      </c>
      <c r="G60" s="895">
        <f t="shared" si="15"/>
        <v>0</v>
      </c>
      <c r="H60" s="890">
        <f t="shared" si="3"/>
        <v>0</v>
      </c>
      <c r="I60" s="896" t="e">
        <f t="shared" si="4"/>
        <v>#DIV/0!</v>
      </c>
    </row>
    <row r="61" spans="1:9" ht="24" x14ac:dyDescent="0.3">
      <c r="A61" s="914">
        <v>25201</v>
      </c>
      <c r="B61" s="915" t="s">
        <v>1113</v>
      </c>
      <c r="C61" s="916">
        <v>0</v>
      </c>
      <c r="D61" s="900">
        <v>0</v>
      </c>
      <c r="E61" s="917">
        <v>0</v>
      </c>
      <c r="F61" s="907">
        <v>0</v>
      </c>
      <c r="G61" s="907">
        <v>0</v>
      </c>
      <c r="H61" s="902">
        <f t="shared" si="3"/>
        <v>0</v>
      </c>
      <c r="I61" s="903" t="e">
        <f t="shared" si="4"/>
        <v>#DIV/0!</v>
      </c>
    </row>
    <row r="62" spans="1:9" x14ac:dyDescent="0.3">
      <c r="A62" s="892">
        <v>2600</v>
      </c>
      <c r="B62" s="912" t="s">
        <v>1114</v>
      </c>
      <c r="C62" s="894">
        <f>SUM(C63:C64)</f>
        <v>1242869.3400000001</v>
      </c>
      <c r="D62" s="894">
        <f>SUM(D63:D64)</f>
        <v>-566072.52999999956</v>
      </c>
      <c r="E62" s="894">
        <f t="shared" si="1"/>
        <v>676796.81000000052</v>
      </c>
      <c r="F62" s="895">
        <f t="shared" ref="F62:G62" si="16">SUM(F63:F64)</f>
        <v>658545.98</v>
      </c>
      <c r="G62" s="895">
        <f t="shared" si="16"/>
        <v>658545.98</v>
      </c>
      <c r="H62" s="890">
        <f t="shared" si="3"/>
        <v>18250.83000000054</v>
      </c>
      <c r="I62" s="896">
        <f t="shared" si="4"/>
        <v>0.97303351651435754</v>
      </c>
    </row>
    <row r="63" spans="1:9" x14ac:dyDescent="0.3">
      <c r="A63" s="897">
        <v>26101</v>
      </c>
      <c r="B63" s="910" t="s">
        <v>1115</v>
      </c>
      <c r="C63" s="909">
        <v>1240869.3</v>
      </c>
      <c r="D63" s="900">
        <v>-564072.52999999956</v>
      </c>
      <c r="E63" s="947">
        <v>676796.77000000048</v>
      </c>
      <c r="F63" s="947">
        <v>658545.98</v>
      </c>
      <c r="G63" s="901">
        <f>+F63</f>
        <v>658545.98</v>
      </c>
      <c r="H63" s="902">
        <f t="shared" si="3"/>
        <v>18250.790000000503</v>
      </c>
      <c r="I63" s="903">
        <f t="shared" si="4"/>
        <v>0.97303357402252311</v>
      </c>
    </row>
    <row r="64" spans="1:9" x14ac:dyDescent="0.3">
      <c r="A64" s="897">
        <v>26102</v>
      </c>
      <c r="B64" s="910" t="s">
        <v>1116</v>
      </c>
      <c r="C64" s="909">
        <v>2000.04</v>
      </c>
      <c r="D64" s="900">
        <v>-2000</v>
      </c>
      <c r="E64" s="947">
        <v>3.999999999996362E-2</v>
      </c>
      <c r="F64" s="922">
        <v>0</v>
      </c>
      <c r="G64" s="901">
        <v>0</v>
      </c>
      <c r="H64" s="902">
        <f t="shared" si="3"/>
        <v>3.999999999996362E-2</v>
      </c>
      <c r="I64" s="903">
        <f t="shared" si="4"/>
        <v>0</v>
      </c>
    </row>
    <row r="65" spans="1:11" ht="22.5" x14ac:dyDescent="0.3">
      <c r="A65" s="892">
        <v>2700</v>
      </c>
      <c r="B65" s="912" t="s">
        <v>1117</v>
      </c>
      <c r="C65" s="894">
        <f>SUM(C66:C67)</f>
        <v>5000.04</v>
      </c>
      <c r="D65" s="894">
        <f>SUM(D66:D67)</f>
        <v>21076.739999999998</v>
      </c>
      <c r="E65" s="894">
        <f>+C65+D65</f>
        <v>26076.78</v>
      </c>
      <c r="F65" s="894">
        <f>SUM(F66:F67)</f>
        <v>26069.74</v>
      </c>
      <c r="G65" s="894">
        <f>SUM(G66:G67)</f>
        <v>26069.74</v>
      </c>
      <c r="H65" s="890">
        <f t="shared" si="3"/>
        <v>7.0399999999972351</v>
      </c>
      <c r="I65" s="896">
        <f t="shared" si="4"/>
        <v>0.99973002801726296</v>
      </c>
    </row>
    <row r="66" spans="1:11" x14ac:dyDescent="0.3">
      <c r="A66" s="897">
        <v>27101</v>
      </c>
      <c r="B66" s="910" t="s">
        <v>1118</v>
      </c>
      <c r="C66" s="909">
        <v>5000.04</v>
      </c>
      <c r="D66" s="900">
        <v>21076.739999999998</v>
      </c>
      <c r="E66" s="947">
        <v>26076.78</v>
      </c>
      <c r="F66" s="947">
        <v>26069.74</v>
      </c>
      <c r="G66" s="901">
        <f>+F66</f>
        <v>26069.74</v>
      </c>
      <c r="H66" s="902">
        <f t="shared" si="3"/>
        <v>7.0399999999972351</v>
      </c>
      <c r="I66" s="903">
        <f t="shared" si="4"/>
        <v>0.99973002801726296</v>
      </c>
    </row>
    <row r="67" spans="1:11" x14ac:dyDescent="0.3">
      <c r="A67" s="897">
        <v>27201</v>
      </c>
      <c r="B67" s="910" t="s">
        <v>1119</v>
      </c>
      <c r="C67" s="909"/>
      <c r="D67" s="900"/>
      <c r="E67" s="909">
        <f t="shared" si="1"/>
        <v>0</v>
      </c>
      <c r="F67" s="901">
        <v>0</v>
      </c>
      <c r="G67" s="901">
        <v>0</v>
      </c>
      <c r="H67" s="902">
        <f t="shared" si="3"/>
        <v>0</v>
      </c>
      <c r="I67" s="903" t="e">
        <f t="shared" si="4"/>
        <v>#DIV/0!</v>
      </c>
    </row>
    <row r="68" spans="1:11" x14ac:dyDescent="0.3">
      <c r="A68" s="892">
        <v>28000</v>
      </c>
      <c r="B68" s="912" t="s">
        <v>1120</v>
      </c>
      <c r="C68" s="894">
        <f>SUM(C69:C70)</f>
        <v>0</v>
      </c>
      <c r="D68" s="894">
        <f>SUM(D69:D70)</f>
        <v>0</v>
      </c>
      <c r="E68" s="894">
        <f>+C68+D68</f>
        <v>0</v>
      </c>
      <c r="F68" s="894">
        <f t="shared" ref="F68:G68" si="17">SUM(F69:F70)</f>
        <v>0</v>
      </c>
      <c r="G68" s="894">
        <f t="shared" si="17"/>
        <v>0</v>
      </c>
      <c r="H68" s="890">
        <f t="shared" si="3"/>
        <v>0</v>
      </c>
      <c r="I68" s="896" t="e">
        <f t="shared" si="4"/>
        <v>#DIV/0!</v>
      </c>
    </row>
    <row r="69" spans="1:11" x14ac:dyDescent="0.3">
      <c r="A69" s="897">
        <v>28201</v>
      </c>
      <c r="B69" s="910" t="s">
        <v>1121</v>
      </c>
      <c r="C69" s="909">
        <v>0</v>
      </c>
      <c r="D69" s="900">
        <v>0</v>
      </c>
      <c r="E69" s="918">
        <v>0</v>
      </c>
      <c r="F69" s="901">
        <v>0</v>
      </c>
      <c r="G69" s="901">
        <v>0</v>
      </c>
      <c r="H69" s="902"/>
      <c r="I69" s="903"/>
    </row>
    <row r="70" spans="1:11" x14ac:dyDescent="0.3">
      <c r="A70" s="897">
        <v>28301</v>
      </c>
      <c r="B70" s="910" t="s">
        <v>1122</v>
      </c>
      <c r="C70" s="909">
        <v>0</v>
      </c>
      <c r="D70" s="900">
        <v>0</v>
      </c>
      <c r="E70" s="918">
        <v>0</v>
      </c>
      <c r="F70" s="901">
        <v>0</v>
      </c>
      <c r="G70" s="901">
        <v>0</v>
      </c>
      <c r="H70" s="902"/>
      <c r="I70" s="903"/>
    </row>
    <row r="71" spans="1:11" ht="22.5" x14ac:dyDescent="0.3">
      <c r="A71" s="892">
        <v>2900</v>
      </c>
      <c r="B71" s="912" t="s">
        <v>1123</v>
      </c>
      <c r="C71" s="894">
        <f>SUM(C72:C76)</f>
        <v>48400.2</v>
      </c>
      <c r="D71" s="894">
        <f>SUM(D72:D76)</f>
        <v>17585.280000000006</v>
      </c>
      <c r="E71" s="894">
        <f t="shared" si="1"/>
        <v>65985.48000000001</v>
      </c>
      <c r="F71" s="895">
        <f t="shared" ref="F71:G71" si="18">SUM(F72:F76)</f>
        <v>63645.600000000006</v>
      </c>
      <c r="G71" s="895">
        <f t="shared" si="18"/>
        <v>63645.600000000006</v>
      </c>
      <c r="H71" s="890">
        <f t="shared" si="3"/>
        <v>2339.8800000000047</v>
      </c>
      <c r="I71" s="896">
        <f t="shared" ref="I71" si="19">+F71/E71</f>
        <v>0.96453947141098306</v>
      </c>
    </row>
    <row r="72" spans="1:11" x14ac:dyDescent="0.3">
      <c r="A72" s="897">
        <v>29101</v>
      </c>
      <c r="B72" s="910" t="s">
        <v>1124</v>
      </c>
      <c r="C72" s="909">
        <v>1000.08</v>
      </c>
      <c r="D72" s="900">
        <v>8530.2800000000007</v>
      </c>
      <c r="E72" s="947">
        <v>9530.36</v>
      </c>
      <c r="F72" s="947">
        <v>9500.7199999999993</v>
      </c>
      <c r="G72" s="901">
        <f>+F72</f>
        <v>9500.7199999999993</v>
      </c>
      <c r="H72" s="902">
        <f t="shared" si="3"/>
        <v>29.640000000001237</v>
      </c>
      <c r="I72" s="903">
        <f t="shared" si="4"/>
        <v>0.99688993909988699</v>
      </c>
    </row>
    <row r="73" spans="1:11" ht="22.5" x14ac:dyDescent="0.3">
      <c r="A73" s="897">
        <v>29201</v>
      </c>
      <c r="B73" s="910" t="s">
        <v>1125</v>
      </c>
      <c r="C73" s="909">
        <v>5000.04</v>
      </c>
      <c r="D73" s="900">
        <v>-3799.9999999999991</v>
      </c>
      <c r="E73" s="947">
        <v>1200.0400000000009</v>
      </c>
      <c r="F73" s="947">
        <v>1148</v>
      </c>
      <c r="G73" s="901">
        <f t="shared" ref="G73:G76" si="20">+F73</f>
        <v>1148</v>
      </c>
      <c r="H73" s="902">
        <f t="shared" si="3"/>
        <v>52.040000000000873</v>
      </c>
      <c r="I73" s="903">
        <f t="shared" si="4"/>
        <v>0.95663477884070458</v>
      </c>
    </row>
    <row r="74" spans="1:11" ht="22.5" x14ac:dyDescent="0.3">
      <c r="A74" s="897">
        <v>29301</v>
      </c>
      <c r="B74" s="910" t="s">
        <v>1126</v>
      </c>
      <c r="C74" s="909">
        <v>0</v>
      </c>
      <c r="D74" s="900">
        <v>2505</v>
      </c>
      <c r="E74" s="947">
        <v>2505</v>
      </c>
      <c r="F74" s="947">
        <v>2498</v>
      </c>
      <c r="G74" s="901">
        <f t="shared" si="20"/>
        <v>2498</v>
      </c>
      <c r="H74" s="902">
        <f t="shared" si="3"/>
        <v>7</v>
      </c>
      <c r="I74" s="903">
        <f t="shared" si="4"/>
        <v>0.99720558882235533</v>
      </c>
    </row>
    <row r="75" spans="1:11" ht="22.5" x14ac:dyDescent="0.3">
      <c r="A75" s="897">
        <v>29401</v>
      </c>
      <c r="B75" s="910" t="s">
        <v>1127</v>
      </c>
      <c r="C75" s="909">
        <v>5000.04</v>
      </c>
      <c r="D75" s="900">
        <v>33550.000000000007</v>
      </c>
      <c r="E75" s="947">
        <v>38550.040000000008</v>
      </c>
      <c r="F75" s="947">
        <v>36317.18</v>
      </c>
      <c r="G75" s="901">
        <f t="shared" si="20"/>
        <v>36317.18</v>
      </c>
      <c r="H75" s="902">
        <f t="shared" si="3"/>
        <v>2232.8600000000079</v>
      </c>
      <c r="I75" s="903">
        <f t="shared" si="4"/>
        <v>0.94207891872485716</v>
      </c>
    </row>
    <row r="76" spans="1:11" x14ac:dyDescent="0.3">
      <c r="A76" s="897">
        <v>29601</v>
      </c>
      <c r="B76" s="910" t="s">
        <v>1128</v>
      </c>
      <c r="C76" s="909">
        <v>37400.04</v>
      </c>
      <c r="D76" s="900">
        <v>-23200</v>
      </c>
      <c r="E76" s="947">
        <v>14200.04</v>
      </c>
      <c r="F76" s="947">
        <v>14181.7</v>
      </c>
      <c r="G76" s="901">
        <f t="shared" si="20"/>
        <v>14181.7</v>
      </c>
      <c r="H76" s="902">
        <f t="shared" si="3"/>
        <v>18.340000000000146</v>
      </c>
      <c r="I76" s="903">
        <f t="shared" si="4"/>
        <v>0.99870845434238209</v>
      </c>
    </row>
    <row r="77" spans="1:11" x14ac:dyDescent="0.3">
      <c r="A77" s="892">
        <v>3000</v>
      </c>
      <c r="B77" s="912" t="s">
        <v>1129</v>
      </c>
      <c r="C77" s="894">
        <f>+C78+C86+C91+C100+C105+C113+C115+C121+C125</f>
        <v>0</v>
      </c>
      <c r="D77" s="894">
        <f>+D78+D86+D91+D100+D105+D113+D115+D121+D125</f>
        <v>2702368.46</v>
      </c>
      <c r="E77" s="894">
        <f t="shared" si="1"/>
        <v>2702368.46</v>
      </c>
      <c r="F77" s="895">
        <f>(F78+F86+F91+F100+F105+F113+F115+F121+F125)</f>
        <v>2633277.3199999998</v>
      </c>
      <c r="G77" s="895">
        <f>(G78+G86+G91+G100+G105+G113+G115+G121+G125)</f>
        <v>2633277.3199999998</v>
      </c>
      <c r="H77" s="890">
        <f t="shared" si="3"/>
        <v>69091.14000000013</v>
      </c>
      <c r="I77" s="896">
        <f t="shared" si="4"/>
        <v>0.97443311634861218</v>
      </c>
      <c r="K77" s="919"/>
    </row>
    <row r="78" spans="1:11" x14ac:dyDescent="0.3">
      <c r="A78" s="892">
        <v>3100</v>
      </c>
      <c r="B78" s="912" t="s">
        <v>1130</v>
      </c>
      <c r="C78" s="894">
        <f>SUM(C79:C85)</f>
        <v>0</v>
      </c>
      <c r="D78" s="894">
        <f>SUM(D79:D85)</f>
        <v>489480.14</v>
      </c>
      <c r="E78" s="894">
        <f t="shared" si="1"/>
        <v>489480.14</v>
      </c>
      <c r="F78" s="895">
        <f t="shared" ref="F78:G78" si="21">SUM(F79:F85)</f>
        <v>451312.70999999996</v>
      </c>
      <c r="G78" s="895">
        <f t="shared" si="21"/>
        <v>451312.70999999996</v>
      </c>
      <c r="H78" s="890">
        <f t="shared" si="3"/>
        <v>38167.430000000051</v>
      </c>
      <c r="I78" s="896">
        <f t="shared" si="4"/>
        <v>0.92202455854490839</v>
      </c>
    </row>
    <row r="79" spans="1:11" x14ac:dyDescent="0.3">
      <c r="A79" s="897">
        <v>31101</v>
      </c>
      <c r="B79" s="910" t="s">
        <v>1131</v>
      </c>
      <c r="C79" s="909">
        <v>0</v>
      </c>
      <c r="D79" s="900">
        <v>271134.14</v>
      </c>
      <c r="E79" s="947">
        <v>271134.14</v>
      </c>
      <c r="F79" s="947">
        <v>233264</v>
      </c>
      <c r="G79" s="901">
        <f>+F79</f>
        <v>233264</v>
      </c>
      <c r="H79" s="902">
        <f t="shared" si="3"/>
        <v>37870.140000000014</v>
      </c>
      <c r="I79" s="903">
        <f t="shared" si="4"/>
        <v>0.86032692157468615</v>
      </c>
    </row>
    <row r="80" spans="1:11" x14ac:dyDescent="0.3">
      <c r="A80" s="897">
        <v>31301</v>
      </c>
      <c r="B80" s="910" t="s">
        <v>1132</v>
      </c>
      <c r="C80" s="909">
        <v>0</v>
      </c>
      <c r="D80" s="900">
        <v>36520</v>
      </c>
      <c r="E80" s="947">
        <v>36520</v>
      </c>
      <c r="F80" s="947">
        <v>36476</v>
      </c>
      <c r="G80" s="901">
        <f t="shared" ref="G80:G85" si="22">+F80</f>
        <v>36476</v>
      </c>
      <c r="H80" s="902">
        <f t="shared" si="3"/>
        <v>44</v>
      </c>
      <c r="I80" s="903">
        <f t="shared" si="4"/>
        <v>0.99879518072289153</v>
      </c>
    </row>
    <row r="81" spans="1:9" x14ac:dyDescent="0.3">
      <c r="A81" s="897">
        <v>31401</v>
      </c>
      <c r="B81" s="910" t="s">
        <v>1133</v>
      </c>
      <c r="C81" s="909">
        <v>0</v>
      </c>
      <c r="D81" s="900">
        <v>1598</v>
      </c>
      <c r="E81" s="947">
        <v>1598</v>
      </c>
      <c r="F81" s="947">
        <v>1515.81</v>
      </c>
      <c r="G81" s="901">
        <f t="shared" si="22"/>
        <v>1515.81</v>
      </c>
      <c r="H81" s="902">
        <f t="shared" si="3"/>
        <v>82.190000000000055</v>
      </c>
      <c r="I81" s="903">
        <f t="shared" si="4"/>
        <v>0.94856695869837293</v>
      </c>
    </row>
    <row r="82" spans="1:9" x14ac:dyDescent="0.3">
      <c r="A82" s="897">
        <v>31501</v>
      </c>
      <c r="B82" s="910" t="s">
        <v>1134</v>
      </c>
      <c r="C82" s="909">
        <v>0</v>
      </c>
      <c r="D82" s="900">
        <v>0</v>
      </c>
      <c r="E82" s="947">
        <v>0</v>
      </c>
      <c r="F82" s="947">
        <v>0</v>
      </c>
      <c r="G82" s="901">
        <f t="shared" si="22"/>
        <v>0</v>
      </c>
      <c r="H82" s="902">
        <f t="shared" si="3"/>
        <v>0</v>
      </c>
      <c r="I82" s="903" t="e">
        <f t="shared" ref="I82:I136" si="23">+F82/E82</f>
        <v>#DIV/0!</v>
      </c>
    </row>
    <row r="83" spans="1:9" x14ac:dyDescent="0.3">
      <c r="A83" s="897">
        <v>31601</v>
      </c>
      <c r="B83" s="910" t="s">
        <v>1135</v>
      </c>
      <c r="C83" s="909">
        <v>0</v>
      </c>
      <c r="D83" s="900">
        <v>18000</v>
      </c>
      <c r="E83" s="947">
        <v>18000</v>
      </c>
      <c r="F83" s="947">
        <v>17939.400000000001</v>
      </c>
      <c r="G83" s="901">
        <f t="shared" si="22"/>
        <v>17939.400000000001</v>
      </c>
      <c r="H83" s="902">
        <f t="shared" si="3"/>
        <v>60.599999999998545</v>
      </c>
      <c r="I83" s="903">
        <f t="shared" si="23"/>
        <v>0.99663333333333337</v>
      </c>
    </row>
    <row r="84" spans="1:9" ht="22.5" x14ac:dyDescent="0.3">
      <c r="A84" s="897">
        <v>31701</v>
      </c>
      <c r="B84" s="910" t="s">
        <v>1136</v>
      </c>
      <c r="C84" s="909">
        <v>0</v>
      </c>
      <c r="D84" s="900">
        <v>161928</v>
      </c>
      <c r="E84" s="947">
        <v>161928</v>
      </c>
      <c r="F84" s="947">
        <v>161858.03</v>
      </c>
      <c r="G84" s="901">
        <f t="shared" si="22"/>
        <v>161858.03</v>
      </c>
      <c r="H84" s="902">
        <f t="shared" si="3"/>
        <v>69.970000000001164</v>
      </c>
      <c r="I84" s="903">
        <f t="shared" si="23"/>
        <v>0.99956789437280769</v>
      </c>
    </row>
    <row r="85" spans="1:9" x14ac:dyDescent="0.3">
      <c r="A85" s="897">
        <v>31801</v>
      </c>
      <c r="B85" s="910" t="s">
        <v>1137</v>
      </c>
      <c r="C85" s="909">
        <v>0</v>
      </c>
      <c r="D85" s="900">
        <v>300</v>
      </c>
      <c r="E85" s="947">
        <v>300</v>
      </c>
      <c r="F85" s="947">
        <v>259.47000000000003</v>
      </c>
      <c r="G85" s="901">
        <f t="shared" si="22"/>
        <v>259.47000000000003</v>
      </c>
      <c r="H85" s="902">
        <f t="shared" si="3"/>
        <v>40.529999999999973</v>
      </c>
      <c r="I85" s="903">
        <f t="shared" si="23"/>
        <v>0.86490000000000011</v>
      </c>
    </row>
    <row r="86" spans="1:9" x14ac:dyDescent="0.3">
      <c r="A86" s="892">
        <v>3200</v>
      </c>
      <c r="B86" s="912" t="s">
        <v>1138</v>
      </c>
      <c r="C86" s="894">
        <f>SUM(C87:C90)</f>
        <v>0</v>
      </c>
      <c r="D86" s="894">
        <f>SUM(D87:D90)</f>
        <v>144850</v>
      </c>
      <c r="E86" s="894">
        <f t="shared" si="1"/>
        <v>144850</v>
      </c>
      <c r="F86" s="895">
        <f t="shared" ref="F86:G86" si="24">SUM(F87:F90)</f>
        <v>144753.73000000001</v>
      </c>
      <c r="G86" s="895">
        <f t="shared" si="24"/>
        <v>144753.73000000001</v>
      </c>
      <c r="H86" s="890">
        <f t="shared" si="3"/>
        <v>96.269999999989523</v>
      </c>
      <c r="I86" s="896">
        <f t="shared" si="23"/>
        <v>0.99933538142906464</v>
      </c>
    </row>
    <row r="87" spans="1:9" x14ac:dyDescent="0.3">
      <c r="A87" s="897">
        <v>32201</v>
      </c>
      <c r="B87" s="910" t="s">
        <v>1139</v>
      </c>
      <c r="C87" s="909">
        <v>0</v>
      </c>
      <c r="D87" s="900">
        <v>19000</v>
      </c>
      <c r="E87" s="947">
        <v>19000</v>
      </c>
      <c r="F87" s="947">
        <v>18948.599999999999</v>
      </c>
      <c r="G87" s="901">
        <f>+F87</f>
        <v>18948.599999999999</v>
      </c>
      <c r="H87" s="902">
        <f t="shared" ref="H87:H159" si="25">+E87-F87</f>
        <v>51.400000000001455</v>
      </c>
      <c r="I87" s="903">
        <f t="shared" si="23"/>
        <v>0.99729473684210523</v>
      </c>
    </row>
    <row r="88" spans="1:9" ht="22.5" x14ac:dyDescent="0.3">
      <c r="A88" s="897">
        <v>32301</v>
      </c>
      <c r="B88" s="910" t="s">
        <v>1140</v>
      </c>
      <c r="C88" s="909">
        <v>0</v>
      </c>
      <c r="D88" s="900">
        <v>125250</v>
      </c>
      <c r="E88" s="947">
        <v>125250</v>
      </c>
      <c r="F88" s="947">
        <v>125225.13</v>
      </c>
      <c r="G88" s="901">
        <f t="shared" ref="G88:G90" si="26">+F88</f>
        <v>125225.13</v>
      </c>
      <c r="H88" s="902">
        <f t="shared" si="25"/>
        <v>24.869999999995343</v>
      </c>
      <c r="I88" s="903">
        <f t="shared" si="23"/>
        <v>0.99980143712574854</v>
      </c>
    </row>
    <row r="89" spans="1:9" x14ac:dyDescent="0.3">
      <c r="A89" s="897">
        <v>32501</v>
      </c>
      <c r="B89" s="910" t="s">
        <v>1141</v>
      </c>
      <c r="C89" s="909">
        <v>0</v>
      </c>
      <c r="D89" s="900">
        <v>600</v>
      </c>
      <c r="E89" s="947">
        <v>600</v>
      </c>
      <c r="F89" s="947">
        <v>580</v>
      </c>
      <c r="G89" s="901">
        <f t="shared" si="26"/>
        <v>580</v>
      </c>
      <c r="H89" s="902">
        <f t="shared" si="25"/>
        <v>20</v>
      </c>
      <c r="I89" s="903">
        <f t="shared" si="23"/>
        <v>0.96666666666666667</v>
      </c>
    </row>
    <row r="90" spans="1:9" x14ac:dyDescent="0.3">
      <c r="A90" s="897">
        <v>32701</v>
      </c>
      <c r="B90" s="910" t="s">
        <v>1142</v>
      </c>
      <c r="C90" s="909">
        <v>0</v>
      </c>
      <c r="D90" s="900">
        <v>0</v>
      </c>
      <c r="E90" s="909">
        <v>0</v>
      </c>
      <c r="F90" s="901">
        <v>0</v>
      </c>
      <c r="G90" s="901">
        <f t="shared" si="26"/>
        <v>0</v>
      </c>
      <c r="H90" s="902">
        <f t="shared" si="25"/>
        <v>0</v>
      </c>
      <c r="I90" s="903" t="e">
        <f t="shared" si="23"/>
        <v>#DIV/0!</v>
      </c>
    </row>
    <row r="91" spans="1:9" ht="22.5" x14ac:dyDescent="0.3">
      <c r="A91" s="892">
        <v>3300</v>
      </c>
      <c r="B91" s="912" t="s">
        <v>1143</v>
      </c>
      <c r="C91" s="894">
        <f>SUM(C92:C99)</f>
        <v>0</v>
      </c>
      <c r="D91" s="894">
        <f>SUM(D92:D99)</f>
        <v>466383</v>
      </c>
      <c r="E91" s="894">
        <f t="shared" ref="E91:E141" si="27">+C91+D91</f>
        <v>466383</v>
      </c>
      <c r="F91" s="895">
        <f>SUM(F92:F99)</f>
        <v>464027.44999999995</v>
      </c>
      <c r="G91" s="895">
        <f>SUM(G92:G99)</f>
        <v>464027.44999999995</v>
      </c>
      <c r="H91" s="890">
        <f t="shared" si="25"/>
        <v>2355.5500000000466</v>
      </c>
      <c r="I91" s="896">
        <f t="shared" si="23"/>
        <v>0.99494932276691039</v>
      </c>
    </row>
    <row r="92" spans="1:9" ht="22.5" x14ac:dyDescent="0.3">
      <c r="A92" s="897">
        <v>33101</v>
      </c>
      <c r="B92" s="910" t="s">
        <v>1144</v>
      </c>
      <c r="C92" s="909">
        <v>0</v>
      </c>
      <c r="D92" s="900">
        <v>168130</v>
      </c>
      <c r="E92" s="947">
        <v>168130</v>
      </c>
      <c r="F92" s="947">
        <v>167190.44999999998</v>
      </c>
      <c r="G92" s="901">
        <f>+F92</f>
        <v>167190.44999999998</v>
      </c>
      <c r="H92" s="902">
        <f t="shared" si="25"/>
        <v>939.55000000001746</v>
      </c>
      <c r="I92" s="903">
        <f t="shared" si="23"/>
        <v>0.99441176470588222</v>
      </c>
    </row>
    <row r="93" spans="1:9" ht="22.5" x14ac:dyDescent="0.3">
      <c r="A93" s="897">
        <v>33201</v>
      </c>
      <c r="B93" s="910" t="s">
        <v>1145</v>
      </c>
      <c r="C93" s="909">
        <v>0</v>
      </c>
      <c r="D93" s="900">
        <v>29183</v>
      </c>
      <c r="E93" s="947">
        <v>29183</v>
      </c>
      <c r="F93" s="947">
        <v>28311</v>
      </c>
      <c r="G93" s="901">
        <f t="shared" ref="G93:G99" si="28">+F93</f>
        <v>28311</v>
      </c>
      <c r="H93" s="902">
        <f t="shared" si="25"/>
        <v>872</v>
      </c>
      <c r="I93" s="903">
        <f t="shared" si="23"/>
        <v>0.9701195901723606</v>
      </c>
    </row>
    <row r="94" spans="1:9" x14ac:dyDescent="0.3">
      <c r="A94" s="897">
        <v>33301</v>
      </c>
      <c r="B94" s="910" t="s">
        <v>1146</v>
      </c>
      <c r="C94" s="909">
        <v>0</v>
      </c>
      <c r="D94" s="900">
        <v>0</v>
      </c>
      <c r="E94" s="947">
        <v>0</v>
      </c>
      <c r="F94" s="947">
        <v>0</v>
      </c>
      <c r="G94" s="901">
        <f t="shared" si="28"/>
        <v>0</v>
      </c>
      <c r="H94" s="902">
        <f t="shared" si="25"/>
        <v>0</v>
      </c>
      <c r="I94" s="903" t="e">
        <f t="shared" si="23"/>
        <v>#DIV/0!</v>
      </c>
    </row>
    <row r="95" spans="1:9" x14ac:dyDescent="0.3">
      <c r="A95" s="897">
        <v>33401</v>
      </c>
      <c r="B95" s="910" t="s">
        <v>1147</v>
      </c>
      <c r="C95" s="909">
        <v>0</v>
      </c>
      <c r="D95" s="900">
        <v>900</v>
      </c>
      <c r="E95" s="947">
        <v>900</v>
      </c>
      <c r="F95" s="947">
        <v>870</v>
      </c>
      <c r="G95" s="901">
        <f t="shared" si="28"/>
        <v>870</v>
      </c>
      <c r="H95" s="902">
        <f t="shared" si="25"/>
        <v>30</v>
      </c>
      <c r="I95" s="903">
        <f t="shared" si="23"/>
        <v>0.96666666666666667</v>
      </c>
    </row>
    <row r="96" spans="1:9" x14ac:dyDescent="0.3">
      <c r="A96" s="897">
        <v>33501</v>
      </c>
      <c r="B96" s="910" t="s">
        <v>1148</v>
      </c>
      <c r="C96" s="909">
        <v>0</v>
      </c>
      <c r="D96" s="900">
        <v>0</v>
      </c>
      <c r="E96" s="947">
        <v>0</v>
      </c>
      <c r="F96" s="947">
        <v>0</v>
      </c>
      <c r="G96" s="901">
        <f t="shared" si="28"/>
        <v>0</v>
      </c>
      <c r="H96" s="902"/>
      <c r="I96" s="903"/>
    </row>
    <row r="97" spans="1:9" x14ac:dyDescent="0.3">
      <c r="A97" s="897">
        <v>33603</v>
      </c>
      <c r="B97" s="910" t="s">
        <v>1149</v>
      </c>
      <c r="C97" s="909">
        <v>0</v>
      </c>
      <c r="D97" s="900"/>
      <c r="E97" s="909">
        <f t="shared" si="27"/>
        <v>0</v>
      </c>
      <c r="F97" s="901"/>
      <c r="G97" s="901">
        <f t="shared" si="28"/>
        <v>0</v>
      </c>
      <c r="H97" s="902">
        <f t="shared" si="25"/>
        <v>0</v>
      </c>
      <c r="I97" s="903" t="e">
        <f t="shared" si="23"/>
        <v>#DIV/0!</v>
      </c>
    </row>
    <row r="98" spans="1:9" x14ac:dyDescent="0.3">
      <c r="A98" s="897">
        <v>33605</v>
      </c>
      <c r="B98" s="910" t="s">
        <v>1150</v>
      </c>
      <c r="C98" s="909">
        <v>0</v>
      </c>
      <c r="D98" s="900">
        <v>66000</v>
      </c>
      <c r="E98" s="909">
        <v>66000</v>
      </c>
      <c r="F98" s="901">
        <v>65816</v>
      </c>
      <c r="G98" s="901">
        <f t="shared" si="28"/>
        <v>65816</v>
      </c>
      <c r="H98" s="902">
        <f t="shared" si="25"/>
        <v>184</v>
      </c>
      <c r="I98" s="903">
        <f t="shared" si="23"/>
        <v>0.99721212121212122</v>
      </c>
    </row>
    <row r="99" spans="1:9" x14ac:dyDescent="0.3">
      <c r="A99" s="897">
        <v>33801</v>
      </c>
      <c r="B99" s="910" t="s">
        <v>1151</v>
      </c>
      <c r="C99" s="909">
        <v>0</v>
      </c>
      <c r="D99" s="900">
        <v>202170</v>
      </c>
      <c r="E99" s="909">
        <v>202170</v>
      </c>
      <c r="F99" s="901">
        <v>201840</v>
      </c>
      <c r="G99" s="901">
        <f t="shared" si="28"/>
        <v>201840</v>
      </c>
      <c r="H99" s="902">
        <f t="shared" si="25"/>
        <v>330</v>
      </c>
      <c r="I99" s="903">
        <f t="shared" si="23"/>
        <v>0.99836771034278082</v>
      </c>
    </row>
    <row r="100" spans="1:9" ht="22.5" x14ac:dyDescent="0.3">
      <c r="A100" s="892">
        <v>3400</v>
      </c>
      <c r="B100" s="912" t="s">
        <v>1152</v>
      </c>
      <c r="C100" s="894">
        <f>SUM(C101:C103)</f>
        <v>0</v>
      </c>
      <c r="D100" s="894">
        <f>SUM(D101:D103)</f>
        <v>101830.59999999999</v>
      </c>
      <c r="E100" s="894">
        <f>+C100+D100</f>
        <v>101830.59999999999</v>
      </c>
      <c r="F100" s="895">
        <f t="shared" ref="F100:G100" si="29">SUM(F101:F104)</f>
        <v>101821.31999999999</v>
      </c>
      <c r="G100" s="895">
        <f t="shared" si="29"/>
        <v>101821.31999999999</v>
      </c>
      <c r="H100" s="890">
        <f t="shared" si="25"/>
        <v>9.2799999999988358</v>
      </c>
      <c r="I100" s="896">
        <f t="shared" si="23"/>
        <v>0.999908868257675</v>
      </c>
    </row>
    <row r="101" spans="1:9" x14ac:dyDescent="0.3">
      <c r="A101" s="897">
        <v>34101</v>
      </c>
      <c r="B101" s="910" t="s">
        <v>1153</v>
      </c>
      <c r="C101" s="909">
        <v>0</v>
      </c>
      <c r="D101" s="900">
        <v>80994.259999999995</v>
      </c>
      <c r="E101" s="909">
        <v>80994.259999999995</v>
      </c>
      <c r="F101" s="901">
        <v>80984.98</v>
      </c>
      <c r="G101" s="901">
        <f>+F101</f>
        <v>80984.98</v>
      </c>
      <c r="H101" s="902">
        <f t="shared" si="25"/>
        <v>9.2799999999988358</v>
      </c>
      <c r="I101" s="903">
        <f t="shared" si="23"/>
        <v>0.9998854239794277</v>
      </c>
    </row>
    <row r="102" spans="1:9" x14ac:dyDescent="0.3">
      <c r="A102" s="897">
        <v>34501</v>
      </c>
      <c r="B102" s="910" t="s">
        <v>1154</v>
      </c>
      <c r="C102" s="909">
        <v>0</v>
      </c>
      <c r="D102" s="900">
        <v>20836.34</v>
      </c>
      <c r="E102" s="909">
        <v>20836.34</v>
      </c>
      <c r="F102" s="901">
        <v>20836.34</v>
      </c>
      <c r="G102" s="901">
        <f>+F102</f>
        <v>20836.34</v>
      </c>
      <c r="H102" s="902">
        <f t="shared" si="25"/>
        <v>0</v>
      </c>
      <c r="I102" s="903">
        <f t="shared" si="23"/>
        <v>1</v>
      </c>
    </row>
    <row r="103" spans="1:9" x14ac:dyDescent="0.3">
      <c r="A103" s="911">
        <v>34701</v>
      </c>
      <c r="B103" s="920" t="s">
        <v>1155</v>
      </c>
      <c r="C103" s="909">
        <v>0</v>
      </c>
      <c r="D103" s="900">
        <v>0</v>
      </c>
      <c r="E103" s="921">
        <v>0</v>
      </c>
      <c r="F103" s="922"/>
      <c r="G103" s="922"/>
      <c r="H103" s="923">
        <f t="shared" si="25"/>
        <v>0</v>
      </c>
      <c r="I103" s="903" t="e">
        <f t="shared" si="23"/>
        <v>#DIV/0!</v>
      </c>
    </row>
    <row r="104" spans="1:9" x14ac:dyDescent="0.3">
      <c r="A104" s="897">
        <v>34801</v>
      </c>
      <c r="B104" s="910" t="s">
        <v>1156</v>
      </c>
      <c r="C104" s="909">
        <v>0</v>
      </c>
      <c r="D104" s="900"/>
      <c r="E104" s="909">
        <f t="shared" si="27"/>
        <v>0</v>
      </c>
      <c r="F104" s="901"/>
      <c r="G104" s="901"/>
      <c r="H104" s="902">
        <f t="shared" si="25"/>
        <v>0</v>
      </c>
      <c r="I104" s="903" t="e">
        <f t="shared" si="23"/>
        <v>#DIV/0!</v>
      </c>
    </row>
    <row r="105" spans="1:9" ht="22.5" x14ac:dyDescent="0.3">
      <c r="A105" s="892">
        <v>3500</v>
      </c>
      <c r="B105" s="912" t="s">
        <v>1157</v>
      </c>
      <c r="C105" s="894">
        <f>SUM(C106:C112)</f>
        <v>0</v>
      </c>
      <c r="D105" s="894">
        <f>SUM(D106:D112)</f>
        <v>417104.72</v>
      </c>
      <c r="E105" s="894">
        <f t="shared" si="27"/>
        <v>417104.72</v>
      </c>
      <c r="F105" s="895">
        <f t="shared" ref="F105:G105" si="30">SUM(F106:F112)</f>
        <v>419419.88</v>
      </c>
      <c r="G105" s="895">
        <f t="shared" si="30"/>
        <v>419419.88</v>
      </c>
      <c r="H105" s="890">
        <f t="shared" si="25"/>
        <v>-2315.1600000000326</v>
      </c>
      <c r="I105" s="896">
        <f t="shared" si="23"/>
        <v>1.0055505485528911</v>
      </c>
    </row>
    <row r="106" spans="1:9" x14ac:dyDescent="0.3">
      <c r="A106" s="897">
        <v>35101</v>
      </c>
      <c r="B106" s="910" t="s">
        <v>1158</v>
      </c>
      <c r="C106" s="909">
        <v>0</v>
      </c>
      <c r="D106" s="900">
        <v>58610.720000000001</v>
      </c>
      <c r="E106" s="909">
        <v>58610.720000000001</v>
      </c>
      <c r="F106" s="901">
        <v>58577.89</v>
      </c>
      <c r="G106" s="901">
        <f>+F106</f>
        <v>58577.89</v>
      </c>
      <c r="H106" s="902">
        <f t="shared" si="25"/>
        <v>32.830000000001746</v>
      </c>
      <c r="I106" s="903">
        <f t="shared" si="23"/>
        <v>0.99943986356079573</v>
      </c>
    </row>
    <row r="107" spans="1:9" ht="22.5" x14ac:dyDescent="0.3">
      <c r="A107" s="897">
        <v>35201</v>
      </c>
      <c r="B107" s="910" t="s">
        <v>1159</v>
      </c>
      <c r="C107" s="909">
        <v>0</v>
      </c>
      <c r="D107" s="900">
        <v>0</v>
      </c>
      <c r="E107" s="909">
        <v>0</v>
      </c>
      <c r="F107" s="901">
        <v>0</v>
      </c>
      <c r="G107" s="901">
        <f t="shared" ref="G107:G112" si="31">+F107</f>
        <v>0</v>
      </c>
      <c r="H107" s="902">
        <f t="shared" si="25"/>
        <v>0</v>
      </c>
      <c r="I107" s="903" t="e">
        <f t="shared" si="23"/>
        <v>#DIV/0!</v>
      </c>
    </row>
    <row r="108" spans="1:9" x14ac:dyDescent="0.3">
      <c r="A108" s="897">
        <v>35301</v>
      </c>
      <c r="B108" s="910" t="s">
        <v>1160</v>
      </c>
      <c r="C108" s="909">
        <v>0</v>
      </c>
      <c r="D108" s="900">
        <v>4060</v>
      </c>
      <c r="E108" s="909">
        <v>4060</v>
      </c>
      <c r="F108" s="901">
        <v>4060</v>
      </c>
      <c r="G108" s="901">
        <f t="shared" si="31"/>
        <v>4060</v>
      </c>
      <c r="H108" s="902">
        <f t="shared" si="25"/>
        <v>0</v>
      </c>
      <c r="I108" s="903">
        <f t="shared" si="23"/>
        <v>1</v>
      </c>
    </row>
    <row r="109" spans="1:9" ht="22.5" x14ac:dyDescent="0.3">
      <c r="A109" s="911">
        <v>35302</v>
      </c>
      <c r="B109" s="920" t="s">
        <v>1161</v>
      </c>
      <c r="C109" s="909">
        <v>0</v>
      </c>
      <c r="D109" s="900">
        <v>128020</v>
      </c>
      <c r="E109" s="909">
        <v>128020</v>
      </c>
      <c r="F109" s="922">
        <v>127478</v>
      </c>
      <c r="G109" s="901">
        <f t="shared" si="31"/>
        <v>127478</v>
      </c>
      <c r="H109" s="923">
        <f t="shared" si="25"/>
        <v>542</v>
      </c>
      <c r="I109" s="903">
        <f t="shared" si="23"/>
        <v>0.99576628651773158</v>
      </c>
    </row>
    <row r="110" spans="1:9" ht="22.5" x14ac:dyDescent="0.3">
      <c r="A110" s="897">
        <v>35501</v>
      </c>
      <c r="B110" s="910" t="s">
        <v>1162</v>
      </c>
      <c r="C110" s="909">
        <v>0</v>
      </c>
      <c r="D110" s="900">
        <v>191000</v>
      </c>
      <c r="E110" s="909">
        <v>191000</v>
      </c>
      <c r="F110" s="901">
        <v>190946.99</v>
      </c>
      <c r="G110" s="901">
        <f t="shared" si="31"/>
        <v>190946.99</v>
      </c>
      <c r="H110" s="902">
        <f t="shared" si="25"/>
        <v>53.010000000009313</v>
      </c>
      <c r="I110" s="903">
        <f t="shared" si="23"/>
        <v>0.99972246073298421</v>
      </c>
    </row>
    <row r="111" spans="1:9" ht="22.5" x14ac:dyDescent="0.3">
      <c r="A111" s="897">
        <v>35701</v>
      </c>
      <c r="B111" s="910" t="s">
        <v>1163</v>
      </c>
      <c r="C111" s="909">
        <v>0</v>
      </c>
      <c r="D111" s="900">
        <v>35414</v>
      </c>
      <c r="E111" s="909">
        <v>35414</v>
      </c>
      <c r="F111" s="901">
        <v>38357</v>
      </c>
      <c r="G111" s="901">
        <f t="shared" si="31"/>
        <v>38357</v>
      </c>
      <c r="H111" s="902">
        <f t="shared" si="25"/>
        <v>-2943</v>
      </c>
      <c r="I111" s="903">
        <f t="shared" si="23"/>
        <v>1.0831027277347942</v>
      </c>
    </row>
    <row r="112" spans="1:9" x14ac:dyDescent="0.3">
      <c r="A112" s="897">
        <v>35901</v>
      </c>
      <c r="B112" s="910" t="s">
        <v>1164</v>
      </c>
      <c r="C112" s="909">
        <v>0</v>
      </c>
      <c r="D112" s="900">
        <v>0</v>
      </c>
      <c r="E112" s="909">
        <v>0</v>
      </c>
      <c r="F112" s="901">
        <v>0</v>
      </c>
      <c r="G112" s="901">
        <f t="shared" si="31"/>
        <v>0</v>
      </c>
      <c r="H112" s="902">
        <f t="shared" si="25"/>
        <v>0</v>
      </c>
      <c r="I112" s="903" t="e">
        <f t="shared" si="23"/>
        <v>#DIV/0!</v>
      </c>
    </row>
    <row r="113" spans="1:9" ht="22.5" x14ac:dyDescent="0.3">
      <c r="A113" s="892">
        <v>3600</v>
      </c>
      <c r="B113" s="912" t="s">
        <v>1165</v>
      </c>
      <c r="C113" s="894">
        <f>SUM(C114)</f>
        <v>0</v>
      </c>
      <c r="D113" s="894">
        <f t="shared" ref="D113:G113" si="32">SUM(D114)</f>
        <v>217500</v>
      </c>
      <c r="E113" s="894">
        <f t="shared" si="27"/>
        <v>217500</v>
      </c>
      <c r="F113" s="895">
        <f t="shared" si="32"/>
        <v>217500</v>
      </c>
      <c r="G113" s="895">
        <f t="shared" si="32"/>
        <v>217500</v>
      </c>
      <c r="H113" s="890">
        <f t="shared" si="25"/>
        <v>0</v>
      </c>
      <c r="I113" s="896">
        <f t="shared" si="23"/>
        <v>1</v>
      </c>
    </row>
    <row r="114" spans="1:9" ht="33.75" x14ac:dyDescent="0.3">
      <c r="A114" s="897">
        <v>36101</v>
      </c>
      <c r="B114" s="910" t="s">
        <v>1166</v>
      </c>
      <c r="C114" s="909">
        <v>0</v>
      </c>
      <c r="D114" s="900">
        <v>217500</v>
      </c>
      <c r="E114" s="909">
        <v>217500</v>
      </c>
      <c r="F114" s="901">
        <v>217500</v>
      </c>
      <c r="G114" s="901">
        <f>+F114</f>
        <v>217500</v>
      </c>
      <c r="H114" s="902">
        <f t="shared" si="25"/>
        <v>0</v>
      </c>
      <c r="I114" s="903">
        <f t="shared" si="23"/>
        <v>1</v>
      </c>
    </row>
    <row r="115" spans="1:9" x14ac:dyDescent="0.3">
      <c r="A115" s="892">
        <v>3700</v>
      </c>
      <c r="B115" s="912" t="s">
        <v>1167</v>
      </c>
      <c r="C115" s="894">
        <f>SUM(C116:C120)</f>
        <v>0</v>
      </c>
      <c r="D115" s="894">
        <f>SUM(D116:D120)</f>
        <v>854217</v>
      </c>
      <c r="E115" s="894">
        <f t="shared" si="27"/>
        <v>854217</v>
      </c>
      <c r="F115" s="895">
        <f t="shared" ref="F115:G115" si="33">SUM(F116:F120)</f>
        <v>823979.23</v>
      </c>
      <c r="G115" s="895">
        <f t="shared" si="33"/>
        <v>823979.23</v>
      </c>
      <c r="H115" s="890">
        <f t="shared" si="25"/>
        <v>30237.770000000019</v>
      </c>
      <c r="I115" s="896">
        <f t="shared" si="23"/>
        <v>0.96460176980790591</v>
      </c>
    </row>
    <row r="116" spans="1:9" x14ac:dyDescent="0.3">
      <c r="A116" s="897">
        <v>37101</v>
      </c>
      <c r="B116" s="910" t="s">
        <v>1168</v>
      </c>
      <c r="C116" s="909">
        <v>0</v>
      </c>
      <c r="D116" s="900">
        <v>54145</v>
      </c>
      <c r="E116" s="909">
        <v>54145</v>
      </c>
      <c r="F116" s="901">
        <v>54020</v>
      </c>
      <c r="G116" s="901">
        <f>+F116</f>
        <v>54020</v>
      </c>
      <c r="H116" s="902">
        <f t="shared" si="25"/>
        <v>125</v>
      </c>
      <c r="I116" s="903">
        <f t="shared" si="23"/>
        <v>0.99769138424600612</v>
      </c>
    </row>
    <row r="117" spans="1:9" x14ac:dyDescent="0.3">
      <c r="A117" s="897">
        <v>37201</v>
      </c>
      <c r="B117" s="910" t="s">
        <v>1169</v>
      </c>
      <c r="C117" s="909">
        <v>0</v>
      </c>
      <c r="D117" s="900">
        <v>0</v>
      </c>
      <c r="E117" s="909">
        <v>0</v>
      </c>
      <c r="F117" s="901">
        <v>0</v>
      </c>
      <c r="G117" s="901">
        <f t="shared" ref="G117:G120" si="34">+F117</f>
        <v>0</v>
      </c>
      <c r="H117" s="902">
        <f t="shared" si="25"/>
        <v>0</v>
      </c>
      <c r="I117" s="903" t="e">
        <f t="shared" si="23"/>
        <v>#DIV/0!</v>
      </c>
    </row>
    <row r="118" spans="1:9" x14ac:dyDescent="0.3">
      <c r="A118" s="897">
        <v>37501</v>
      </c>
      <c r="B118" s="910" t="s">
        <v>1170</v>
      </c>
      <c r="C118" s="909">
        <v>0</v>
      </c>
      <c r="D118" s="900">
        <v>645899</v>
      </c>
      <c r="E118" s="909">
        <v>645899</v>
      </c>
      <c r="F118" s="901">
        <v>631900.23</v>
      </c>
      <c r="G118" s="901">
        <f t="shared" si="34"/>
        <v>631900.23</v>
      </c>
      <c r="H118" s="902">
        <f t="shared" si="25"/>
        <v>13998.770000000019</v>
      </c>
      <c r="I118" s="903">
        <f t="shared" si="23"/>
        <v>0.97832668884763718</v>
      </c>
    </row>
    <row r="119" spans="1:9" x14ac:dyDescent="0.3">
      <c r="A119" s="897">
        <v>37502</v>
      </c>
      <c r="B119" s="910" t="s">
        <v>1171</v>
      </c>
      <c r="C119" s="909">
        <v>0</v>
      </c>
      <c r="D119" s="900">
        <v>132750</v>
      </c>
      <c r="E119" s="909">
        <v>132750</v>
      </c>
      <c r="F119" s="901">
        <v>127600</v>
      </c>
      <c r="G119" s="901">
        <f t="shared" si="34"/>
        <v>127600</v>
      </c>
      <c r="H119" s="902">
        <f t="shared" si="25"/>
        <v>5150</v>
      </c>
      <c r="I119" s="903">
        <f t="shared" si="23"/>
        <v>0.96120527306967984</v>
      </c>
    </row>
    <row r="120" spans="1:9" x14ac:dyDescent="0.3">
      <c r="A120" s="897">
        <v>37901</v>
      </c>
      <c r="B120" s="910" t="s">
        <v>1172</v>
      </c>
      <c r="C120" s="909">
        <v>0</v>
      </c>
      <c r="D120" s="900">
        <v>21423</v>
      </c>
      <c r="E120" s="909">
        <v>21423</v>
      </c>
      <c r="F120" s="901">
        <v>10459</v>
      </c>
      <c r="G120" s="901">
        <f t="shared" si="34"/>
        <v>10459</v>
      </c>
      <c r="H120" s="902">
        <f t="shared" si="25"/>
        <v>10964</v>
      </c>
      <c r="I120" s="903">
        <f t="shared" si="23"/>
        <v>0.48821360220323951</v>
      </c>
    </row>
    <row r="121" spans="1:9" x14ac:dyDescent="0.3">
      <c r="A121" s="892">
        <v>3800</v>
      </c>
      <c r="B121" s="912" t="s">
        <v>1173</v>
      </c>
      <c r="C121" s="894">
        <f>SUM(C122:C124)</f>
        <v>0</v>
      </c>
      <c r="D121" s="894">
        <f>SUM(D122:D124)</f>
        <v>7500</v>
      </c>
      <c r="E121" s="894">
        <f t="shared" si="27"/>
        <v>7500</v>
      </c>
      <c r="F121" s="895">
        <f t="shared" ref="F121:G121" si="35">SUM(F122:F124)</f>
        <v>6960</v>
      </c>
      <c r="G121" s="895">
        <f t="shared" si="35"/>
        <v>6960</v>
      </c>
      <c r="H121" s="890">
        <f t="shared" si="25"/>
        <v>540</v>
      </c>
      <c r="I121" s="896">
        <f t="shared" si="23"/>
        <v>0.92800000000000005</v>
      </c>
    </row>
    <row r="122" spans="1:9" x14ac:dyDescent="0.3">
      <c r="A122" s="897">
        <v>38101</v>
      </c>
      <c r="B122" s="910" t="s">
        <v>1174</v>
      </c>
      <c r="C122" s="909">
        <v>0</v>
      </c>
      <c r="D122" s="900">
        <v>7500</v>
      </c>
      <c r="E122" s="909">
        <v>7500</v>
      </c>
      <c r="F122" s="901">
        <v>6960</v>
      </c>
      <c r="G122" s="901">
        <f>+F122</f>
        <v>6960</v>
      </c>
      <c r="H122" s="902">
        <f t="shared" si="25"/>
        <v>540</v>
      </c>
      <c r="I122" s="903">
        <f t="shared" si="23"/>
        <v>0.92800000000000005</v>
      </c>
    </row>
    <row r="123" spans="1:9" x14ac:dyDescent="0.3">
      <c r="A123" s="897">
        <v>38201</v>
      </c>
      <c r="B123" s="910" t="s">
        <v>1175</v>
      </c>
      <c r="C123" s="909">
        <v>0</v>
      </c>
      <c r="D123" s="900">
        <v>0</v>
      </c>
      <c r="E123" s="909">
        <v>0</v>
      </c>
      <c r="F123" s="901">
        <v>0</v>
      </c>
      <c r="G123" s="901">
        <f t="shared" ref="G123:G124" si="36">+F123</f>
        <v>0</v>
      </c>
      <c r="H123" s="902">
        <f t="shared" si="25"/>
        <v>0</v>
      </c>
      <c r="I123" s="903" t="e">
        <f t="shared" si="23"/>
        <v>#DIV/0!</v>
      </c>
    </row>
    <row r="124" spans="1:9" x14ac:dyDescent="0.3">
      <c r="A124" s="897">
        <v>38301</v>
      </c>
      <c r="B124" s="910" t="s">
        <v>1176</v>
      </c>
      <c r="C124" s="909">
        <v>0</v>
      </c>
      <c r="D124" s="900">
        <v>0</v>
      </c>
      <c r="E124" s="909">
        <v>0</v>
      </c>
      <c r="F124" s="901"/>
      <c r="G124" s="901">
        <f t="shared" si="36"/>
        <v>0</v>
      </c>
      <c r="H124" s="902">
        <f t="shared" si="25"/>
        <v>0</v>
      </c>
      <c r="I124" s="903" t="e">
        <f t="shared" si="23"/>
        <v>#DIV/0!</v>
      </c>
    </row>
    <row r="125" spans="1:9" x14ac:dyDescent="0.3">
      <c r="A125" s="892">
        <v>3900</v>
      </c>
      <c r="B125" s="912" t="s">
        <v>1177</v>
      </c>
      <c r="C125" s="894">
        <f>SUM(C126:C128)</f>
        <v>0</v>
      </c>
      <c r="D125" s="894">
        <f>SUM(D126:D128)</f>
        <v>3503</v>
      </c>
      <c r="E125" s="894">
        <f>+E126+E128</f>
        <v>3503</v>
      </c>
      <c r="F125" s="895">
        <f t="shared" ref="F125:G125" si="37">SUM(F126:F128)</f>
        <v>3503</v>
      </c>
      <c r="G125" s="895">
        <f t="shared" si="37"/>
        <v>3503</v>
      </c>
      <c r="H125" s="890">
        <f t="shared" si="25"/>
        <v>0</v>
      </c>
      <c r="I125" s="896">
        <f t="shared" si="23"/>
        <v>1</v>
      </c>
    </row>
    <row r="126" spans="1:9" x14ac:dyDescent="0.3">
      <c r="A126" s="897">
        <v>39201</v>
      </c>
      <c r="B126" s="910" t="s">
        <v>1178</v>
      </c>
      <c r="C126" s="909"/>
      <c r="D126" s="900"/>
      <c r="E126" s="909">
        <f>+C126+D126</f>
        <v>0</v>
      </c>
      <c r="F126" s="901"/>
      <c r="G126" s="901"/>
      <c r="H126" s="902">
        <f t="shared" si="25"/>
        <v>0</v>
      </c>
      <c r="I126" s="903" t="e">
        <f t="shared" si="23"/>
        <v>#DIV/0!</v>
      </c>
    </row>
    <row r="127" spans="1:9" x14ac:dyDescent="0.3">
      <c r="A127" s="897">
        <v>39101</v>
      </c>
      <c r="B127" s="910" t="s">
        <v>1179</v>
      </c>
      <c r="C127" s="909"/>
      <c r="D127" s="900"/>
      <c r="E127" s="909">
        <f t="shared" ref="E127" si="38">+C127+D127</f>
        <v>0</v>
      </c>
      <c r="F127" s="901"/>
      <c r="G127" s="901"/>
      <c r="H127" s="902">
        <f t="shared" si="25"/>
        <v>0</v>
      </c>
      <c r="I127" s="903" t="e">
        <f t="shared" si="23"/>
        <v>#DIV/0!</v>
      </c>
    </row>
    <row r="128" spans="1:9" x14ac:dyDescent="0.3">
      <c r="A128" s="897">
        <v>39501</v>
      </c>
      <c r="B128" s="910" t="s">
        <v>1180</v>
      </c>
      <c r="C128" s="909"/>
      <c r="D128" s="900">
        <v>3503</v>
      </c>
      <c r="E128" s="909">
        <v>3503</v>
      </c>
      <c r="F128" s="901">
        <v>3503</v>
      </c>
      <c r="G128" s="901">
        <f>+F128</f>
        <v>3503</v>
      </c>
      <c r="H128" s="902">
        <f t="shared" si="25"/>
        <v>0</v>
      </c>
      <c r="I128" s="903">
        <f t="shared" si="23"/>
        <v>1</v>
      </c>
    </row>
    <row r="129" spans="1:11" x14ac:dyDescent="0.3">
      <c r="A129" s="892">
        <v>5000</v>
      </c>
      <c r="B129" s="912" t="s">
        <v>1181</v>
      </c>
      <c r="C129" s="894">
        <f>+C130+C134</f>
        <v>0</v>
      </c>
      <c r="D129" s="894">
        <f>+D130+D134+D136</f>
        <v>44270.07</v>
      </c>
      <c r="E129" s="894">
        <f>+C129+D129</f>
        <v>44270.07</v>
      </c>
      <c r="F129" s="894">
        <f t="shared" ref="F129:G129" si="39">+F130+F134+F136</f>
        <v>43970.009999999995</v>
      </c>
      <c r="G129" s="894">
        <f t="shared" si="39"/>
        <v>43970.009999999995</v>
      </c>
      <c r="H129" s="890">
        <f t="shared" si="25"/>
        <v>300.06000000000495</v>
      </c>
      <c r="I129" s="896">
        <f t="shared" si="23"/>
        <v>0.99322205724996582</v>
      </c>
    </row>
    <row r="130" spans="1:11" x14ac:dyDescent="0.3">
      <c r="A130" s="892">
        <v>5100</v>
      </c>
      <c r="B130" s="912" t="s">
        <v>1182</v>
      </c>
      <c r="C130" s="894">
        <f>SUM(C131:C133)</f>
        <v>0</v>
      </c>
      <c r="D130" s="894">
        <f>SUM(D131:D133)</f>
        <v>32770.07</v>
      </c>
      <c r="E130" s="894">
        <f t="shared" si="27"/>
        <v>32770.07</v>
      </c>
      <c r="F130" s="894">
        <f>+F131+F132+F133</f>
        <v>32602.01</v>
      </c>
      <c r="G130" s="894">
        <f>+G131+G132+G133</f>
        <v>32602.01</v>
      </c>
      <c r="H130" s="890">
        <f t="shared" si="25"/>
        <v>168.06000000000131</v>
      </c>
      <c r="I130" s="896">
        <f t="shared" si="23"/>
        <v>0.99487153979225551</v>
      </c>
    </row>
    <row r="131" spans="1:11" x14ac:dyDescent="0.3">
      <c r="A131" s="897">
        <v>51101</v>
      </c>
      <c r="B131" s="910" t="s">
        <v>1183</v>
      </c>
      <c r="C131" s="909"/>
      <c r="D131" s="900">
        <v>0</v>
      </c>
      <c r="E131" s="909">
        <v>0</v>
      </c>
      <c r="F131" s="901">
        <v>0</v>
      </c>
      <c r="G131" s="901">
        <v>0</v>
      </c>
      <c r="H131" s="902">
        <f t="shared" si="25"/>
        <v>0</v>
      </c>
      <c r="I131" s="903" t="e">
        <f t="shared" si="23"/>
        <v>#DIV/0!</v>
      </c>
    </row>
    <row r="132" spans="1:11" x14ac:dyDescent="0.3">
      <c r="A132" s="897">
        <v>51501</v>
      </c>
      <c r="B132" s="910" t="s">
        <v>1184</v>
      </c>
      <c r="C132" s="909"/>
      <c r="D132" s="900">
        <v>28411.38</v>
      </c>
      <c r="E132" s="909">
        <v>28411.38</v>
      </c>
      <c r="F132" s="901">
        <v>28243.32</v>
      </c>
      <c r="G132" s="901">
        <f>+F132</f>
        <v>28243.32</v>
      </c>
      <c r="H132" s="902">
        <f t="shared" si="25"/>
        <v>168.06000000000131</v>
      </c>
      <c r="I132" s="903">
        <f t="shared" si="23"/>
        <v>0.99408476462600548</v>
      </c>
    </row>
    <row r="133" spans="1:11" x14ac:dyDescent="0.3">
      <c r="A133" s="897">
        <v>51901</v>
      </c>
      <c r="B133" s="910" t="s">
        <v>1185</v>
      </c>
      <c r="C133" s="909"/>
      <c r="D133" s="900">
        <v>4358.6899999999996</v>
      </c>
      <c r="E133" s="909">
        <v>4358.6899999999996</v>
      </c>
      <c r="F133" s="901">
        <v>4358.6899999999996</v>
      </c>
      <c r="G133" s="901">
        <f>+F133</f>
        <v>4358.6899999999996</v>
      </c>
      <c r="H133" s="902">
        <f t="shared" si="25"/>
        <v>0</v>
      </c>
      <c r="I133" s="903">
        <f t="shared" si="23"/>
        <v>1</v>
      </c>
    </row>
    <row r="134" spans="1:11" x14ac:dyDescent="0.3">
      <c r="A134" s="892">
        <v>5400</v>
      </c>
      <c r="B134" s="912" t="s">
        <v>1186</v>
      </c>
      <c r="C134" s="894">
        <f>SUM(C135:C135)</f>
        <v>0</v>
      </c>
      <c r="D134" s="894">
        <f>SUM(D135:D135)</f>
        <v>0</v>
      </c>
      <c r="E134" s="894">
        <f t="shared" si="27"/>
        <v>0</v>
      </c>
      <c r="F134" s="895">
        <f t="shared" ref="F134:G136" si="40">SUM(F135:F135)</f>
        <v>0</v>
      </c>
      <c r="G134" s="895">
        <f t="shared" si="40"/>
        <v>0</v>
      </c>
      <c r="H134" s="924">
        <f t="shared" si="25"/>
        <v>0</v>
      </c>
      <c r="I134" s="896" t="e">
        <f t="shared" si="23"/>
        <v>#DIV/0!</v>
      </c>
    </row>
    <row r="135" spans="1:11" x14ac:dyDescent="0.3">
      <c r="A135" s="897">
        <v>54101</v>
      </c>
      <c r="B135" s="910" t="s">
        <v>1187</v>
      </c>
      <c r="C135" s="909"/>
      <c r="D135" s="900">
        <v>0</v>
      </c>
      <c r="E135" s="909">
        <v>0</v>
      </c>
      <c r="F135" s="925">
        <v>0</v>
      </c>
      <c r="G135" s="925">
        <v>0</v>
      </c>
      <c r="H135" s="902">
        <f t="shared" si="25"/>
        <v>0</v>
      </c>
      <c r="I135" s="903" t="e">
        <f t="shared" si="23"/>
        <v>#DIV/0!</v>
      </c>
    </row>
    <row r="136" spans="1:11" ht="22.5" x14ac:dyDescent="0.3">
      <c r="A136" s="892">
        <v>5600</v>
      </c>
      <c r="B136" s="912" t="s">
        <v>1188</v>
      </c>
      <c r="C136" s="894">
        <f>SUM(C137:C137)</f>
        <v>0</v>
      </c>
      <c r="D136" s="894">
        <f>SUM(D137:D137)</f>
        <v>11500</v>
      </c>
      <c r="E136" s="894">
        <f t="shared" ref="E136" si="41">+C136+D136</f>
        <v>11500</v>
      </c>
      <c r="F136" s="895">
        <f t="shared" si="40"/>
        <v>11368</v>
      </c>
      <c r="G136" s="895">
        <f t="shared" si="40"/>
        <v>11368</v>
      </c>
      <c r="H136" s="924">
        <f t="shared" si="25"/>
        <v>132</v>
      </c>
      <c r="I136" s="896">
        <f t="shared" si="23"/>
        <v>0.98852173913043473</v>
      </c>
    </row>
    <row r="137" spans="1:11" x14ac:dyDescent="0.3">
      <c r="A137" s="897">
        <v>56401</v>
      </c>
      <c r="B137" s="910" t="s">
        <v>1189</v>
      </c>
      <c r="C137" s="909">
        <v>0</v>
      </c>
      <c r="D137" s="900">
        <v>11500</v>
      </c>
      <c r="E137" s="909">
        <v>11500</v>
      </c>
      <c r="F137" s="925">
        <v>11368</v>
      </c>
      <c r="G137" s="925">
        <f>+F137</f>
        <v>11368</v>
      </c>
      <c r="H137" s="902"/>
      <c r="I137" s="903"/>
    </row>
    <row r="138" spans="1:11" x14ac:dyDescent="0.3">
      <c r="A138" s="897"/>
      <c r="B138" s="910"/>
      <c r="C138" s="909"/>
      <c r="D138" s="900"/>
      <c r="E138" s="909"/>
      <c r="F138" s="925"/>
      <c r="G138" s="925"/>
      <c r="H138" s="902"/>
      <c r="I138" s="903"/>
    </row>
    <row r="139" spans="1:11" x14ac:dyDescent="0.3">
      <c r="A139" s="892">
        <v>6000</v>
      </c>
      <c r="B139" s="912" t="s">
        <v>1190</v>
      </c>
      <c r="C139" s="894">
        <f>+C140+C142+C153+C156+C164+C173+C175</f>
        <v>405931835.12</v>
      </c>
      <c r="D139" s="894">
        <f>+D142+D153+D156</f>
        <v>258871041.19999996</v>
      </c>
      <c r="E139" s="894">
        <f t="shared" si="27"/>
        <v>664802876.31999993</v>
      </c>
      <c r="F139" s="895">
        <f>+F140+F142+F153+F156+F164+F173+F175</f>
        <v>202485211.56999999</v>
      </c>
      <c r="G139" s="895">
        <f>+G140+G142+G153+G156+G164+G173+G175</f>
        <v>202485211.56999999</v>
      </c>
      <c r="H139" s="890">
        <f t="shared" si="25"/>
        <v>462317664.74999994</v>
      </c>
      <c r="I139" s="896">
        <f t="shared" ref="I139:I176" si="42">+F139/E139</f>
        <v>0.30457932536461324</v>
      </c>
    </row>
    <row r="140" spans="1:11" x14ac:dyDescent="0.3">
      <c r="A140" s="908">
        <v>611</v>
      </c>
      <c r="B140" s="912" t="s">
        <v>1191</v>
      </c>
      <c r="C140" s="894">
        <f>SUM(C141)</f>
        <v>0</v>
      </c>
      <c r="D140" s="894">
        <f t="shared" ref="D140:G140" si="43">SUM(D141)</f>
        <v>0</v>
      </c>
      <c r="E140" s="894">
        <f t="shared" si="27"/>
        <v>0</v>
      </c>
      <c r="F140" s="895">
        <f t="shared" si="43"/>
        <v>0</v>
      </c>
      <c r="G140" s="895">
        <f t="shared" si="43"/>
        <v>0</v>
      </c>
      <c r="H140" s="890">
        <f t="shared" si="25"/>
        <v>0</v>
      </c>
      <c r="I140" s="896" t="e">
        <f t="shared" si="42"/>
        <v>#DIV/0!</v>
      </c>
    </row>
    <row r="141" spans="1:11" x14ac:dyDescent="0.3">
      <c r="A141" s="898">
        <v>61102</v>
      </c>
      <c r="B141" s="926" t="s">
        <v>1192</v>
      </c>
      <c r="C141" s="909"/>
      <c r="D141" s="900"/>
      <c r="E141" s="909">
        <f t="shared" si="27"/>
        <v>0</v>
      </c>
      <c r="F141" s="907"/>
      <c r="G141" s="907"/>
      <c r="H141" s="902">
        <f t="shared" si="25"/>
        <v>0</v>
      </c>
      <c r="I141" s="903" t="e">
        <f t="shared" si="42"/>
        <v>#DIV/0!</v>
      </c>
    </row>
    <row r="142" spans="1:11" x14ac:dyDescent="0.3">
      <c r="A142" s="908">
        <v>612</v>
      </c>
      <c r="B142" s="912" t="s">
        <v>1193</v>
      </c>
      <c r="C142" s="894">
        <f t="shared" ref="C142:D142" si="44">SUM(C143:C152)</f>
        <v>79931835.120000005</v>
      </c>
      <c r="D142" s="894">
        <f t="shared" si="44"/>
        <v>224619388.72999996</v>
      </c>
      <c r="E142" s="894">
        <f>+C142+D142</f>
        <v>304551223.84999996</v>
      </c>
      <c r="F142" s="895">
        <f>SUM(F143:F152)</f>
        <v>107161010.47</v>
      </c>
      <c r="G142" s="895">
        <f>SUM(G143:G152)</f>
        <v>107161010.47</v>
      </c>
      <c r="H142" s="890">
        <f t="shared" si="25"/>
        <v>197390213.37999997</v>
      </c>
      <c r="I142" s="896">
        <f t="shared" si="42"/>
        <v>0.35186530894645102</v>
      </c>
    </row>
    <row r="143" spans="1:11" x14ac:dyDescent="0.3">
      <c r="A143" s="898">
        <v>61201</v>
      </c>
      <c r="B143" s="910" t="s">
        <v>1194</v>
      </c>
      <c r="C143" s="909">
        <v>9000000</v>
      </c>
      <c r="D143" s="900">
        <v>1085052.6199999992</v>
      </c>
      <c r="E143" s="909">
        <v>10085052.619999999</v>
      </c>
      <c r="F143" s="901">
        <v>1039163.06</v>
      </c>
      <c r="G143" s="901">
        <f>+F143</f>
        <v>1039163.06</v>
      </c>
      <c r="H143" s="902">
        <f t="shared" si="25"/>
        <v>9045889.5599999987</v>
      </c>
      <c r="I143" s="903">
        <f t="shared" si="42"/>
        <v>0.10303992444612552</v>
      </c>
    </row>
    <row r="144" spans="1:11" x14ac:dyDescent="0.3">
      <c r="A144" s="898">
        <v>61203</v>
      </c>
      <c r="B144" s="926" t="s">
        <v>1195</v>
      </c>
      <c r="C144" s="909">
        <v>70931835.120000005</v>
      </c>
      <c r="D144" s="900">
        <v>0</v>
      </c>
      <c r="E144" s="909">
        <v>70931835.120000005</v>
      </c>
      <c r="F144" s="901">
        <v>0</v>
      </c>
      <c r="G144" s="901">
        <f t="shared" ref="G144:G152" si="45">+F144</f>
        <v>0</v>
      </c>
      <c r="H144" s="902">
        <f t="shared" si="25"/>
        <v>70931835.120000005</v>
      </c>
      <c r="I144" s="903">
        <f t="shared" si="42"/>
        <v>0</v>
      </c>
      <c r="K144" s="919"/>
    </row>
    <row r="145" spans="1:11" ht="45" x14ac:dyDescent="0.3">
      <c r="A145" s="898">
        <v>61211</v>
      </c>
      <c r="B145" s="926" t="s">
        <v>1196</v>
      </c>
      <c r="C145" s="909">
        <v>0</v>
      </c>
      <c r="D145" s="900">
        <v>17453221.870000001</v>
      </c>
      <c r="E145" s="909">
        <v>17453221.870000001</v>
      </c>
      <c r="F145" s="901">
        <v>2266345.4700000002</v>
      </c>
      <c r="G145" s="901">
        <f t="shared" si="45"/>
        <v>2266345.4700000002</v>
      </c>
      <c r="H145" s="902">
        <f t="shared" si="25"/>
        <v>15186876.4</v>
      </c>
      <c r="I145" s="903">
        <f t="shared" si="42"/>
        <v>0.12985255598541245</v>
      </c>
      <c r="K145" s="927"/>
    </row>
    <row r="146" spans="1:11" ht="22.5" x14ac:dyDescent="0.3">
      <c r="A146" s="898">
        <v>61212</v>
      </c>
      <c r="B146" s="926" t="s">
        <v>1197</v>
      </c>
      <c r="C146" s="909">
        <v>0</v>
      </c>
      <c r="D146" s="900">
        <v>10961181</v>
      </c>
      <c r="E146" s="909">
        <v>10961181</v>
      </c>
      <c r="F146" s="901">
        <v>7134697.9500000002</v>
      </c>
      <c r="G146" s="901">
        <f t="shared" si="45"/>
        <v>7134697.9500000002</v>
      </c>
      <c r="H146" s="902">
        <f t="shared" si="25"/>
        <v>3826483.05</v>
      </c>
      <c r="I146" s="903">
        <f t="shared" si="42"/>
        <v>0.65090595164882326</v>
      </c>
      <c r="K146" s="919"/>
    </row>
    <row r="147" spans="1:11" ht="22.5" x14ac:dyDescent="0.3">
      <c r="A147" s="898">
        <v>61213</v>
      </c>
      <c r="B147" s="926" t="s">
        <v>1198</v>
      </c>
      <c r="C147" s="909">
        <v>0</v>
      </c>
      <c r="D147" s="900">
        <v>64935647.890000001</v>
      </c>
      <c r="E147" s="909">
        <v>64935647.890000001</v>
      </c>
      <c r="F147" s="901">
        <v>35488962.649999999</v>
      </c>
      <c r="G147" s="901">
        <f t="shared" si="45"/>
        <v>35488962.649999999</v>
      </c>
      <c r="H147" s="902">
        <f t="shared" si="25"/>
        <v>29446685.240000002</v>
      </c>
      <c r="I147" s="903">
        <f t="shared" si="42"/>
        <v>0.54652511837747064</v>
      </c>
    </row>
    <row r="148" spans="1:11" ht="22.5" x14ac:dyDescent="0.3">
      <c r="A148" s="898">
        <v>61214</v>
      </c>
      <c r="B148" s="926" t="s">
        <v>1199</v>
      </c>
      <c r="C148" s="909">
        <v>0</v>
      </c>
      <c r="D148" s="900">
        <v>76689043.209999993</v>
      </c>
      <c r="E148" s="909">
        <v>76689043.209999993</v>
      </c>
      <c r="F148" s="901">
        <v>35367198.420000002</v>
      </c>
      <c r="G148" s="901">
        <f t="shared" si="45"/>
        <v>35367198.420000002</v>
      </c>
      <c r="H148" s="902">
        <f t="shared" si="25"/>
        <v>41321844.789999992</v>
      </c>
      <c r="I148" s="903">
        <f t="shared" si="42"/>
        <v>0.46117668104363879</v>
      </c>
    </row>
    <row r="149" spans="1:11" ht="22.5" x14ac:dyDescent="0.3">
      <c r="A149" s="898">
        <v>61215</v>
      </c>
      <c r="B149" s="926" t="s">
        <v>1200</v>
      </c>
      <c r="C149" s="909">
        <v>0</v>
      </c>
      <c r="D149" s="900">
        <v>43923570</v>
      </c>
      <c r="E149" s="909">
        <v>43923570</v>
      </c>
      <c r="F149" s="901">
        <v>24349912.469999999</v>
      </c>
      <c r="G149" s="901">
        <f t="shared" si="45"/>
        <v>24349912.469999999</v>
      </c>
      <c r="H149" s="902">
        <f t="shared" si="25"/>
        <v>19573657.530000001</v>
      </c>
      <c r="I149" s="903">
        <f t="shared" si="42"/>
        <v>0.55437006759696439</v>
      </c>
    </row>
    <row r="150" spans="1:11" ht="22.5" x14ac:dyDescent="0.3">
      <c r="A150" s="898">
        <v>61216</v>
      </c>
      <c r="B150" s="926" t="s">
        <v>1200</v>
      </c>
      <c r="C150" s="909">
        <v>0</v>
      </c>
      <c r="D150" s="900">
        <v>861045.26</v>
      </c>
      <c r="E150" s="909">
        <v>861045.26</v>
      </c>
      <c r="F150" s="901">
        <v>0</v>
      </c>
      <c r="G150" s="901">
        <f t="shared" si="45"/>
        <v>0</v>
      </c>
      <c r="H150" s="902">
        <f t="shared" si="25"/>
        <v>861045.26</v>
      </c>
      <c r="I150" s="903">
        <f t="shared" si="42"/>
        <v>0</v>
      </c>
    </row>
    <row r="151" spans="1:11" ht="22.5" x14ac:dyDescent="0.3">
      <c r="A151" s="898">
        <v>61218</v>
      </c>
      <c r="B151" s="926" t="s">
        <v>1201</v>
      </c>
      <c r="C151" s="909">
        <v>0</v>
      </c>
      <c r="D151" s="900">
        <v>2204281.44</v>
      </c>
      <c r="E151" s="909">
        <v>2204281.44</v>
      </c>
      <c r="F151" s="901">
        <v>0</v>
      </c>
      <c r="G151" s="901">
        <f t="shared" si="45"/>
        <v>0</v>
      </c>
      <c r="H151" s="902">
        <f t="shared" si="25"/>
        <v>2204281.44</v>
      </c>
      <c r="I151" s="903">
        <f t="shared" si="42"/>
        <v>0</v>
      </c>
    </row>
    <row r="152" spans="1:11" ht="22.5" x14ac:dyDescent="0.3">
      <c r="A152" s="898">
        <v>61222</v>
      </c>
      <c r="B152" s="926" t="s">
        <v>1202</v>
      </c>
      <c r="C152" s="909">
        <v>0</v>
      </c>
      <c r="D152" s="900">
        <v>6506345.4400000004</v>
      </c>
      <c r="E152" s="909">
        <v>6506345.4400000004</v>
      </c>
      <c r="F152" s="901">
        <v>1514730.45</v>
      </c>
      <c r="G152" s="901">
        <f t="shared" si="45"/>
        <v>1514730.45</v>
      </c>
      <c r="H152" s="902">
        <f t="shared" si="25"/>
        <v>4991614.99</v>
      </c>
      <c r="I152" s="903">
        <f t="shared" si="42"/>
        <v>0.23280818148505805</v>
      </c>
    </row>
    <row r="153" spans="1:11" ht="33.75" x14ac:dyDescent="0.3">
      <c r="A153" s="908">
        <v>613</v>
      </c>
      <c r="B153" s="912" t="s">
        <v>1203</v>
      </c>
      <c r="C153" s="894">
        <f>SUM(C154:C155)</f>
        <v>0</v>
      </c>
      <c r="D153" s="894">
        <f>SUM(D154:D155)</f>
        <v>0</v>
      </c>
      <c r="E153" s="894">
        <f t="shared" ref="E153" si="46">+C153+D153</f>
        <v>0</v>
      </c>
      <c r="F153" s="895">
        <f t="shared" ref="F153:G153" si="47">SUM(F154)</f>
        <v>0</v>
      </c>
      <c r="G153" s="895">
        <f t="shared" si="47"/>
        <v>0</v>
      </c>
      <c r="H153" s="890">
        <f t="shared" si="25"/>
        <v>0</v>
      </c>
      <c r="I153" s="896" t="e">
        <f t="shared" si="42"/>
        <v>#DIV/0!</v>
      </c>
    </row>
    <row r="154" spans="1:11" ht="22.5" x14ac:dyDescent="0.3">
      <c r="A154" s="898">
        <v>61311</v>
      </c>
      <c r="B154" s="926" t="s">
        <v>1204</v>
      </c>
      <c r="C154" s="909"/>
      <c r="D154" s="900"/>
      <c r="E154" s="909"/>
      <c r="F154" s="901"/>
      <c r="G154" s="901"/>
      <c r="H154" s="902">
        <f t="shared" si="25"/>
        <v>0</v>
      </c>
      <c r="I154" s="903" t="e">
        <f t="shared" si="42"/>
        <v>#DIV/0!</v>
      </c>
    </row>
    <row r="155" spans="1:11" x14ac:dyDescent="0.3">
      <c r="A155" s="898">
        <v>61313</v>
      </c>
      <c r="B155" s="926" t="s">
        <v>1205</v>
      </c>
      <c r="C155" s="909"/>
      <c r="D155" s="900"/>
      <c r="E155" s="909"/>
      <c r="F155" s="901"/>
      <c r="G155" s="901"/>
      <c r="H155" s="902">
        <f t="shared" si="25"/>
        <v>0</v>
      </c>
      <c r="I155" s="903" t="e">
        <f t="shared" si="42"/>
        <v>#DIV/0!</v>
      </c>
    </row>
    <row r="156" spans="1:11" ht="22.5" x14ac:dyDescent="0.3">
      <c r="A156" s="908">
        <v>614</v>
      </c>
      <c r="B156" s="912" t="s">
        <v>1206</v>
      </c>
      <c r="C156" s="894">
        <f>SUM(C157:C163)</f>
        <v>261824807</v>
      </c>
      <c r="D156" s="894">
        <f>SUM(D157:D163)</f>
        <v>34251652.469999999</v>
      </c>
      <c r="E156" s="894">
        <f t="shared" ref="E156:E172" si="48">+C156+D156</f>
        <v>296076459.47000003</v>
      </c>
      <c r="F156" s="895">
        <f t="shared" ref="F156:G156" si="49">SUM(F157:F163)</f>
        <v>57557651.609999999</v>
      </c>
      <c r="G156" s="895">
        <f t="shared" si="49"/>
        <v>57557651.609999999</v>
      </c>
      <c r="H156" s="890">
        <f t="shared" si="25"/>
        <v>238518807.86000001</v>
      </c>
      <c r="I156" s="896">
        <f t="shared" si="42"/>
        <v>0.19440131009750888</v>
      </c>
    </row>
    <row r="157" spans="1:11" x14ac:dyDescent="0.3">
      <c r="A157" s="898">
        <v>61403</v>
      </c>
      <c r="B157" s="926" t="s">
        <v>1195</v>
      </c>
      <c r="C157" s="909"/>
      <c r="D157" s="900">
        <v>15729016.91</v>
      </c>
      <c r="E157" s="909">
        <v>15729016.91</v>
      </c>
      <c r="F157" s="901">
        <v>5427334.6799999997</v>
      </c>
      <c r="G157" s="901">
        <f>+F157</f>
        <v>5427334.6799999997</v>
      </c>
      <c r="H157" s="902">
        <f t="shared" si="25"/>
        <v>10301682.23</v>
      </c>
      <c r="I157" s="903">
        <f t="shared" si="42"/>
        <v>0.34505237746610062</v>
      </c>
    </row>
    <row r="158" spans="1:11" x14ac:dyDescent="0.3">
      <c r="A158" s="898">
        <v>61416</v>
      </c>
      <c r="B158" s="926" t="s">
        <v>1207</v>
      </c>
      <c r="C158" s="909">
        <v>90158952</v>
      </c>
      <c r="D158" s="900">
        <v>2000000</v>
      </c>
      <c r="E158" s="909">
        <v>92158952</v>
      </c>
      <c r="F158" s="901">
        <v>21189302.170000002</v>
      </c>
      <c r="G158" s="901">
        <f t="shared" ref="G158:G162" si="50">+F158</f>
        <v>21189302.170000002</v>
      </c>
      <c r="H158" s="902">
        <f t="shared" si="25"/>
        <v>70969649.829999998</v>
      </c>
      <c r="I158" s="903">
        <f t="shared" si="42"/>
        <v>0.22992125789364448</v>
      </c>
    </row>
    <row r="159" spans="1:11" x14ac:dyDescent="0.3">
      <c r="A159" s="898">
        <v>61418</v>
      </c>
      <c r="B159" s="928" t="s">
        <v>1208</v>
      </c>
      <c r="C159" s="909"/>
      <c r="D159" s="900"/>
      <c r="E159" s="909">
        <f t="shared" si="48"/>
        <v>0</v>
      </c>
      <c r="F159" s="901"/>
      <c r="G159" s="901">
        <f t="shared" si="50"/>
        <v>0</v>
      </c>
      <c r="H159" s="902">
        <f t="shared" si="25"/>
        <v>0</v>
      </c>
      <c r="I159" s="903" t="e">
        <f t="shared" si="42"/>
        <v>#DIV/0!</v>
      </c>
    </row>
    <row r="160" spans="1:11" x14ac:dyDescent="0.3">
      <c r="A160" s="898">
        <v>61422</v>
      </c>
      <c r="B160" s="928" t="s">
        <v>1209</v>
      </c>
      <c r="C160" s="909"/>
      <c r="D160" s="900"/>
      <c r="E160" s="909">
        <f t="shared" si="48"/>
        <v>0</v>
      </c>
      <c r="F160" s="901"/>
      <c r="G160" s="901">
        <f t="shared" si="50"/>
        <v>0</v>
      </c>
      <c r="H160" s="902">
        <f t="shared" ref="H160:H176" si="51">+E160-F160</f>
        <v>0</v>
      </c>
      <c r="I160" s="903" t="e">
        <f t="shared" si="42"/>
        <v>#DIV/0!</v>
      </c>
    </row>
    <row r="161" spans="1:9" x14ac:dyDescent="0.3">
      <c r="A161" s="898">
        <v>61424</v>
      </c>
      <c r="B161" s="929" t="s">
        <v>1210</v>
      </c>
      <c r="C161" s="909"/>
      <c r="D161" s="900"/>
      <c r="E161" s="909">
        <f t="shared" si="48"/>
        <v>0</v>
      </c>
      <c r="F161" s="901"/>
      <c r="G161" s="901">
        <f t="shared" si="50"/>
        <v>0</v>
      </c>
      <c r="H161" s="902">
        <f t="shared" si="51"/>
        <v>0</v>
      </c>
      <c r="I161" s="903" t="e">
        <f t="shared" si="42"/>
        <v>#DIV/0!</v>
      </c>
    </row>
    <row r="162" spans="1:9" x14ac:dyDescent="0.3">
      <c r="A162" s="898">
        <v>61425</v>
      </c>
      <c r="B162" s="926" t="s">
        <v>1205</v>
      </c>
      <c r="C162" s="909">
        <v>171665855</v>
      </c>
      <c r="D162" s="900">
        <v>16522635.560000002</v>
      </c>
      <c r="E162" s="909">
        <v>188188490.56</v>
      </c>
      <c r="F162" s="901">
        <v>30941014.760000002</v>
      </c>
      <c r="G162" s="901">
        <f t="shared" si="50"/>
        <v>30941014.760000002</v>
      </c>
      <c r="H162" s="902">
        <f t="shared" si="51"/>
        <v>157247475.80000001</v>
      </c>
      <c r="I162" s="903">
        <f t="shared" si="42"/>
        <v>0.16441502170471525</v>
      </c>
    </row>
    <row r="163" spans="1:9" x14ac:dyDescent="0.3">
      <c r="A163" s="898">
        <v>61427</v>
      </c>
      <c r="B163" s="926" t="s">
        <v>1211</v>
      </c>
      <c r="C163" s="909"/>
      <c r="D163" s="900"/>
      <c r="E163" s="909">
        <f t="shared" si="48"/>
        <v>0</v>
      </c>
      <c r="F163" s="901"/>
      <c r="G163" s="901"/>
      <c r="H163" s="902">
        <f t="shared" si="51"/>
        <v>0</v>
      </c>
      <c r="I163" s="903" t="e">
        <f t="shared" si="42"/>
        <v>#DIV/0!</v>
      </c>
    </row>
    <row r="164" spans="1:9" x14ac:dyDescent="0.3">
      <c r="A164" s="908">
        <v>622</v>
      </c>
      <c r="B164" s="912" t="s">
        <v>1193</v>
      </c>
      <c r="C164" s="894">
        <f>SUM(C165:C172)</f>
        <v>0</v>
      </c>
      <c r="D164" s="894">
        <f>SUM(D165:D172)</f>
        <v>0</v>
      </c>
      <c r="E164" s="894">
        <f t="shared" si="48"/>
        <v>0</v>
      </c>
      <c r="F164" s="895">
        <f t="shared" ref="F164:G164" si="52">SUM(F165:F172)</f>
        <v>0</v>
      </c>
      <c r="G164" s="895">
        <f t="shared" si="52"/>
        <v>0</v>
      </c>
      <c r="H164" s="890">
        <f t="shared" si="51"/>
        <v>0</v>
      </c>
      <c r="I164" s="896" t="e">
        <f t="shared" si="42"/>
        <v>#DIV/0!</v>
      </c>
    </row>
    <row r="165" spans="1:9" x14ac:dyDescent="0.3">
      <c r="A165" s="898">
        <v>62201</v>
      </c>
      <c r="B165" s="926" t="s">
        <v>1194</v>
      </c>
      <c r="C165" s="909"/>
      <c r="D165" s="900"/>
      <c r="E165" s="909">
        <f t="shared" si="48"/>
        <v>0</v>
      </c>
      <c r="F165" s="907"/>
      <c r="G165" s="907"/>
      <c r="H165" s="902">
        <f t="shared" si="51"/>
        <v>0</v>
      </c>
      <c r="I165" s="903" t="e">
        <f t="shared" si="42"/>
        <v>#DIV/0!</v>
      </c>
    </row>
    <row r="166" spans="1:9" x14ac:dyDescent="0.3">
      <c r="A166" s="898">
        <v>62202</v>
      </c>
      <c r="B166" s="926" t="s">
        <v>1212</v>
      </c>
      <c r="C166" s="909"/>
      <c r="D166" s="900"/>
      <c r="E166" s="909">
        <f t="shared" si="48"/>
        <v>0</v>
      </c>
      <c r="F166" s="907"/>
      <c r="G166" s="907"/>
      <c r="H166" s="902">
        <f t="shared" si="51"/>
        <v>0</v>
      </c>
      <c r="I166" s="903" t="e">
        <f t="shared" si="42"/>
        <v>#DIV/0!</v>
      </c>
    </row>
    <row r="167" spans="1:9" ht="22.5" x14ac:dyDescent="0.3">
      <c r="A167" s="898">
        <v>62211</v>
      </c>
      <c r="B167" s="926" t="s">
        <v>1213</v>
      </c>
      <c r="C167" s="909"/>
      <c r="D167" s="900"/>
      <c r="E167" s="909">
        <f t="shared" si="48"/>
        <v>0</v>
      </c>
      <c r="F167" s="907"/>
      <c r="G167" s="907"/>
      <c r="H167" s="902">
        <f t="shared" si="51"/>
        <v>0</v>
      </c>
      <c r="I167" s="903" t="e">
        <f t="shared" si="42"/>
        <v>#DIV/0!</v>
      </c>
    </row>
    <row r="168" spans="1:9" ht="22.5" x14ac:dyDescent="0.3">
      <c r="A168" s="898">
        <v>62213</v>
      </c>
      <c r="B168" s="926" t="s">
        <v>1198</v>
      </c>
      <c r="C168" s="909"/>
      <c r="D168" s="900"/>
      <c r="E168" s="909">
        <f t="shared" si="48"/>
        <v>0</v>
      </c>
      <c r="F168" s="907"/>
      <c r="G168" s="907"/>
      <c r="H168" s="902">
        <f t="shared" si="51"/>
        <v>0</v>
      </c>
      <c r="I168" s="903" t="e">
        <f t="shared" si="42"/>
        <v>#DIV/0!</v>
      </c>
    </row>
    <row r="169" spans="1:9" ht="22.5" x14ac:dyDescent="0.3">
      <c r="A169" s="898">
        <v>62214</v>
      </c>
      <c r="B169" s="926" t="s">
        <v>1199</v>
      </c>
      <c r="C169" s="909"/>
      <c r="D169" s="900"/>
      <c r="E169" s="909">
        <f t="shared" si="48"/>
        <v>0</v>
      </c>
      <c r="F169" s="907"/>
      <c r="G169" s="907"/>
      <c r="H169" s="902">
        <f t="shared" si="51"/>
        <v>0</v>
      </c>
      <c r="I169" s="903" t="e">
        <f t="shared" si="42"/>
        <v>#DIV/0!</v>
      </c>
    </row>
    <row r="170" spans="1:9" ht="22.5" x14ac:dyDescent="0.3">
      <c r="A170" s="898">
        <v>62215</v>
      </c>
      <c r="B170" s="926" t="s">
        <v>1200</v>
      </c>
      <c r="C170" s="909"/>
      <c r="D170" s="900"/>
      <c r="E170" s="909">
        <f t="shared" si="48"/>
        <v>0</v>
      </c>
      <c r="F170" s="907"/>
      <c r="G170" s="907"/>
      <c r="H170" s="902">
        <f t="shared" si="51"/>
        <v>0</v>
      </c>
      <c r="I170" s="903" t="e">
        <f t="shared" si="42"/>
        <v>#DIV/0!</v>
      </c>
    </row>
    <row r="171" spans="1:9" ht="22.5" x14ac:dyDescent="0.3">
      <c r="A171" s="898">
        <v>62217</v>
      </c>
      <c r="B171" s="926" t="s">
        <v>1214</v>
      </c>
      <c r="C171" s="909"/>
      <c r="D171" s="900"/>
      <c r="E171" s="909">
        <f t="shared" si="48"/>
        <v>0</v>
      </c>
      <c r="F171" s="907"/>
      <c r="G171" s="907"/>
      <c r="H171" s="902">
        <f t="shared" si="51"/>
        <v>0</v>
      </c>
      <c r="I171" s="903" t="e">
        <f t="shared" si="42"/>
        <v>#DIV/0!</v>
      </c>
    </row>
    <row r="172" spans="1:9" x14ac:dyDescent="0.3">
      <c r="A172" s="898">
        <v>62220</v>
      </c>
      <c r="B172" s="926" t="s">
        <v>1215</v>
      </c>
      <c r="C172" s="909"/>
      <c r="D172" s="900"/>
      <c r="E172" s="909">
        <f t="shared" si="48"/>
        <v>0</v>
      </c>
      <c r="F172" s="907"/>
      <c r="G172" s="907"/>
      <c r="H172" s="902">
        <f t="shared" si="51"/>
        <v>0</v>
      </c>
      <c r="I172" s="903" t="e">
        <f t="shared" si="42"/>
        <v>#DIV/0!</v>
      </c>
    </row>
    <row r="173" spans="1:9" ht="22.5" x14ac:dyDescent="0.3">
      <c r="A173" s="908">
        <v>624</v>
      </c>
      <c r="B173" s="912" t="s">
        <v>1216</v>
      </c>
      <c r="C173" s="894">
        <f>SUM(C174)</f>
        <v>0</v>
      </c>
      <c r="D173" s="894">
        <f>SUM(D174:D176)</f>
        <v>0</v>
      </c>
      <c r="E173" s="930">
        <f>+C173+D173</f>
        <v>0</v>
      </c>
      <c r="F173" s="895">
        <f>SUM(F174)</f>
        <v>0</v>
      </c>
      <c r="G173" s="895">
        <f>SUM(G174)</f>
        <v>0</v>
      </c>
      <c r="H173" s="890">
        <f t="shared" si="51"/>
        <v>0</v>
      </c>
      <c r="I173" s="896" t="e">
        <f t="shared" si="42"/>
        <v>#DIV/0!</v>
      </c>
    </row>
    <row r="174" spans="1:9" x14ac:dyDescent="0.3">
      <c r="A174" s="898">
        <v>62420</v>
      </c>
      <c r="B174" s="926" t="s">
        <v>1211</v>
      </c>
      <c r="C174" s="931"/>
      <c r="D174" s="931"/>
      <c r="E174" s="931"/>
      <c r="F174" s="931"/>
      <c r="G174" s="931"/>
      <c r="H174" s="902">
        <f t="shared" si="51"/>
        <v>0</v>
      </c>
      <c r="I174" s="903" t="e">
        <f t="shared" si="42"/>
        <v>#DIV/0!</v>
      </c>
    </row>
    <row r="175" spans="1:9" ht="33.75" x14ac:dyDescent="0.3">
      <c r="A175" s="908">
        <v>632</v>
      </c>
      <c r="B175" s="912" t="s">
        <v>1217</v>
      </c>
      <c r="C175" s="894">
        <f>SUM(C176)</f>
        <v>64175193</v>
      </c>
      <c r="D175" s="894">
        <f>SUM(D176:D176)</f>
        <v>0</v>
      </c>
      <c r="E175" s="930">
        <f>+C175+D175</f>
        <v>64175193</v>
      </c>
      <c r="F175" s="895">
        <f>SUM(F176:F176)</f>
        <v>37766549.490000002</v>
      </c>
      <c r="G175" s="895">
        <f>SUM(G176:G176)</f>
        <v>37766549.490000002</v>
      </c>
      <c r="H175" s="890">
        <f t="shared" si="51"/>
        <v>26408643.509999998</v>
      </c>
      <c r="I175" s="896">
        <f t="shared" si="42"/>
        <v>0.58849140492651109</v>
      </c>
    </row>
    <row r="176" spans="1:9" ht="33.75" x14ac:dyDescent="0.3">
      <c r="A176" s="898">
        <v>63201</v>
      </c>
      <c r="B176" s="910" t="s">
        <v>1217</v>
      </c>
      <c r="C176" s="931">
        <v>64175193</v>
      </c>
      <c r="D176" s="900"/>
      <c r="E176" s="932">
        <f>+C176+D176</f>
        <v>64175193</v>
      </c>
      <c r="F176" s="933">
        <v>37766549.490000002</v>
      </c>
      <c r="G176" s="933">
        <f>+F176</f>
        <v>37766549.490000002</v>
      </c>
      <c r="H176" s="902">
        <f t="shared" si="51"/>
        <v>26408643.509999998</v>
      </c>
      <c r="I176" s="903">
        <f t="shared" si="42"/>
        <v>0.58849140492651109</v>
      </c>
    </row>
    <row r="177" spans="1:9" ht="17.25" thickBot="1" x14ac:dyDescent="0.35">
      <c r="A177" s="934"/>
      <c r="B177" s="935" t="s">
        <v>628</v>
      </c>
      <c r="C177" s="936">
        <f>+C139+C129+C77+C41+C10</f>
        <v>431991645.12</v>
      </c>
      <c r="D177" s="936">
        <f>+D139+D129+D77+D41+D10</f>
        <v>261387538.46999994</v>
      </c>
      <c r="E177" s="936">
        <f>+C177+D177</f>
        <v>693379183.58999991</v>
      </c>
      <c r="F177" s="936">
        <f>+F139+F129+F77+F41+F10</f>
        <v>221644805.09999996</v>
      </c>
      <c r="G177" s="936">
        <f>+G139+G129+G77+G41+G10</f>
        <v>221644805.09999996</v>
      </c>
      <c r="H177" s="936">
        <f>+E177-F177</f>
        <v>471734378.48999995</v>
      </c>
      <c r="I177" s="937">
        <f>+F177/E177</f>
        <v>0.31965886825794892</v>
      </c>
    </row>
    <row r="179" spans="1:9" x14ac:dyDescent="0.3">
      <c r="F179" s="938"/>
    </row>
    <row r="180" spans="1:9" x14ac:dyDescent="0.3">
      <c r="E180" s="938"/>
    </row>
  </sheetData>
  <mergeCells count="8">
    <mergeCell ref="A7:B8"/>
    <mergeCell ref="A1:I1"/>
    <mergeCell ref="A2:I2"/>
    <mergeCell ref="A3:I3"/>
    <mergeCell ref="A4:I4"/>
    <mergeCell ref="A5:I5"/>
    <mergeCell ref="C6:E6"/>
    <mergeCell ref="H6:I6"/>
  </mergeCells>
  <printOptions horizontalCentered="1"/>
  <pageMargins left="0.39370078740157483" right="0.39370078740157483" top="0.51181102362204722" bottom="0.19685039370078741" header="0.31496062992125984" footer="0.15748031496062992"/>
  <pageSetup scale="8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F10" sqref="F10"/>
    </sheetView>
  </sheetViews>
  <sheetFormatPr baseColWidth="10" defaultColWidth="11.42578125" defaultRowHeight="15" x14ac:dyDescent="0.25"/>
  <cols>
    <col min="1" max="1" width="32.140625" customWidth="1"/>
    <col min="2" max="2" width="11.7109375" bestFit="1" customWidth="1"/>
    <col min="3" max="3" width="13" customWidth="1"/>
  </cols>
  <sheetData>
    <row r="1" spans="1:9" ht="15.75" x14ac:dyDescent="0.25">
      <c r="A1" s="965" t="s">
        <v>25</v>
      </c>
      <c r="B1" s="965"/>
      <c r="C1" s="965"/>
      <c r="D1" s="965"/>
      <c r="E1" s="965"/>
      <c r="F1" s="965"/>
      <c r="G1" s="965"/>
      <c r="H1" s="671"/>
      <c r="I1" s="671"/>
    </row>
    <row r="2" spans="1:9" ht="15.75" customHeight="1" x14ac:dyDescent="0.25">
      <c r="A2" s="966" t="s">
        <v>824</v>
      </c>
      <c r="B2" s="966"/>
      <c r="C2" s="966"/>
      <c r="D2" s="966"/>
      <c r="E2" s="966"/>
      <c r="F2" s="966"/>
      <c r="G2" s="966"/>
      <c r="H2" s="672"/>
      <c r="I2" s="672"/>
    </row>
    <row r="3" spans="1:9" ht="15.75" customHeight="1" x14ac:dyDescent="0.25">
      <c r="A3" s="966" t="s">
        <v>825</v>
      </c>
      <c r="B3" s="966"/>
      <c r="C3" s="966"/>
      <c r="D3" s="966"/>
      <c r="E3" s="966"/>
      <c r="F3" s="966"/>
      <c r="G3" s="966"/>
      <c r="H3" s="672"/>
      <c r="I3" s="672"/>
    </row>
    <row r="4" spans="1:9" ht="16.5" customHeight="1" x14ac:dyDescent="0.25">
      <c r="A4" s="966" t="str">
        <f>'ETCA-I-01'!A3:G3</f>
        <v>Consejo Estatal de Concertacion para la Obra Publica</v>
      </c>
      <c r="B4" s="966"/>
      <c r="C4" s="966"/>
      <c r="D4" s="966"/>
      <c r="E4" s="966"/>
      <c r="F4" s="966"/>
      <c r="G4" s="966"/>
      <c r="H4" s="672"/>
      <c r="I4" s="672"/>
    </row>
    <row r="5" spans="1:9" ht="15.75" customHeight="1" x14ac:dyDescent="0.25">
      <c r="A5" s="1184" t="str">
        <f>'ETCA-I-03'!A4:D4</f>
        <v>Del 01 de Enero  al 30 de Septiembre de 2017</v>
      </c>
      <c r="B5" s="1184"/>
      <c r="C5" s="1184"/>
      <c r="D5" s="1184"/>
      <c r="E5" s="1184"/>
      <c r="F5" s="1184"/>
      <c r="G5" s="1184"/>
      <c r="H5" s="673"/>
      <c r="I5" s="673"/>
    </row>
    <row r="6" spans="1:9" ht="15.75" customHeight="1" thickBot="1" x14ac:dyDescent="0.3">
      <c r="A6" s="1002" t="s">
        <v>89</v>
      </c>
      <c r="B6" s="1002"/>
      <c r="C6" s="1002"/>
      <c r="D6" s="1002"/>
      <c r="E6" s="1002"/>
      <c r="F6" s="1002"/>
      <c r="G6" s="1002"/>
      <c r="H6" s="674"/>
      <c r="I6" s="674"/>
    </row>
    <row r="7" spans="1:9" ht="15.75" thickBot="1" x14ac:dyDescent="0.3">
      <c r="A7" s="1177" t="s">
        <v>90</v>
      </c>
      <c r="B7" s="1179" t="s">
        <v>631</v>
      </c>
      <c r="C7" s="1180"/>
      <c r="D7" s="1180"/>
      <c r="E7" s="1180"/>
      <c r="F7" s="1181"/>
      <c r="G7" s="1182" t="s">
        <v>632</v>
      </c>
    </row>
    <row r="8" spans="1:9" ht="20.25" thickBot="1" x14ac:dyDescent="0.3">
      <c r="A8" s="1178"/>
      <c r="B8" s="648" t="s">
        <v>633</v>
      </c>
      <c r="C8" s="648" t="s">
        <v>634</v>
      </c>
      <c r="D8" s="648" t="s">
        <v>635</v>
      </c>
      <c r="E8" s="648" t="s">
        <v>826</v>
      </c>
      <c r="F8" s="648" t="s">
        <v>733</v>
      </c>
      <c r="G8" s="1183"/>
    </row>
    <row r="9" spans="1:9" ht="19.5" x14ac:dyDescent="0.25">
      <c r="A9" s="665" t="s">
        <v>827</v>
      </c>
      <c r="B9" s="730">
        <f>B10+B11+B12+B13+B14+B15+B16+B19</f>
        <v>24059810</v>
      </c>
      <c r="C9" s="730">
        <f t="shared" ref="C9:G9" si="0">C10+C11+C12+C13+C14+C15+C16+C19</f>
        <v>657400.98000000045</v>
      </c>
      <c r="D9" s="730">
        <f t="shared" si="0"/>
        <v>24717210.98</v>
      </c>
      <c r="E9" s="730">
        <f t="shared" si="0"/>
        <v>15399711.67</v>
      </c>
      <c r="F9" s="730">
        <f t="shared" si="0"/>
        <v>15399711.67</v>
      </c>
      <c r="G9" s="730">
        <f t="shared" si="0"/>
        <v>9317499.3100000005</v>
      </c>
    </row>
    <row r="10" spans="1:9" ht="19.5" x14ac:dyDescent="0.25">
      <c r="A10" s="666" t="s">
        <v>828</v>
      </c>
      <c r="B10" s="732">
        <v>24059810</v>
      </c>
      <c r="C10" s="733">
        <v>657400.98000000045</v>
      </c>
      <c r="D10" s="731">
        <f>B10+C10</f>
        <v>24717210.98</v>
      </c>
      <c r="E10" s="733">
        <v>15399711.67</v>
      </c>
      <c r="F10" s="733">
        <f>+E10</f>
        <v>15399711.67</v>
      </c>
      <c r="G10" s="731">
        <f>D10-E10</f>
        <v>9317499.3100000005</v>
      </c>
    </row>
    <row r="11" spans="1:9" x14ac:dyDescent="0.25">
      <c r="A11" s="666" t="s">
        <v>829</v>
      </c>
      <c r="B11" s="732"/>
      <c r="C11" s="733"/>
      <c r="D11" s="731">
        <f t="shared" ref="D11:D19" si="1">B11+C11</f>
        <v>0</v>
      </c>
      <c r="E11" s="733"/>
      <c r="F11" s="733"/>
      <c r="G11" s="731">
        <f t="shared" ref="G11:G15" si="2">D11-E11</f>
        <v>0</v>
      </c>
    </row>
    <row r="12" spans="1:9" x14ac:dyDescent="0.25">
      <c r="A12" s="666" t="s">
        <v>830</v>
      </c>
      <c r="B12" s="732"/>
      <c r="C12" s="733"/>
      <c r="D12" s="731">
        <f t="shared" si="1"/>
        <v>0</v>
      </c>
      <c r="E12" s="733"/>
      <c r="F12" s="733"/>
      <c r="G12" s="731">
        <f t="shared" si="2"/>
        <v>0</v>
      </c>
    </row>
    <row r="13" spans="1:9" x14ac:dyDescent="0.25">
      <c r="A13" s="666" t="s">
        <v>831</v>
      </c>
      <c r="B13" s="732"/>
      <c r="C13" s="733"/>
      <c r="D13" s="731">
        <f t="shared" si="1"/>
        <v>0</v>
      </c>
      <c r="E13" s="733"/>
      <c r="F13" s="733"/>
      <c r="G13" s="731">
        <f t="shared" si="2"/>
        <v>0</v>
      </c>
    </row>
    <row r="14" spans="1:9" x14ac:dyDescent="0.25">
      <c r="A14" s="666" t="s">
        <v>832</v>
      </c>
      <c r="B14" s="732"/>
      <c r="C14" s="733"/>
      <c r="D14" s="731">
        <f t="shared" si="1"/>
        <v>0</v>
      </c>
      <c r="E14" s="733"/>
      <c r="F14" s="733"/>
      <c r="G14" s="731">
        <f t="shared" si="2"/>
        <v>0</v>
      </c>
    </row>
    <row r="15" spans="1:9" x14ac:dyDescent="0.25">
      <c r="A15" s="666" t="s">
        <v>833</v>
      </c>
      <c r="B15" s="732"/>
      <c r="C15" s="733"/>
      <c r="D15" s="731">
        <f t="shared" si="1"/>
        <v>0</v>
      </c>
      <c r="E15" s="733"/>
      <c r="F15" s="733"/>
      <c r="G15" s="731">
        <f t="shared" si="2"/>
        <v>0</v>
      </c>
    </row>
    <row r="16" spans="1:9" ht="29.25" x14ac:dyDescent="0.25">
      <c r="A16" s="666" t="s">
        <v>834</v>
      </c>
      <c r="B16" s="730">
        <f>B17+B18</f>
        <v>0</v>
      </c>
      <c r="C16" s="730">
        <f t="shared" ref="C16:G16" si="3">C17+C18</f>
        <v>0</v>
      </c>
      <c r="D16" s="730">
        <f t="shared" si="3"/>
        <v>0</v>
      </c>
      <c r="E16" s="730">
        <f t="shared" si="3"/>
        <v>0</v>
      </c>
      <c r="F16" s="730">
        <f t="shared" si="3"/>
        <v>0</v>
      </c>
      <c r="G16" s="730">
        <f t="shared" si="3"/>
        <v>0</v>
      </c>
    </row>
    <row r="17" spans="1:7" x14ac:dyDescent="0.25">
      <c r="A17" s="667" t="s">
        <v>835</v>
      </c>
      <c r="B17" s="732"/>
      <c r="C17" s="733"/>
      <c r="D17" s="731">
        <f t="shared" si="1"/>
        <v>0</v>
      </c>
      <c r="E17" s="733"/>
      <c r="F17" s="733"/>
      <c r="G17" s="731">
        <f t="shared" ref="G17:G19" si="4">D17-E17</f>
        <v>0</v>
      </c>
    </row>
    <row r="18" spans="1:7" x14ac:dyDescent="0.25">
      <c r="A18" s="667" t="s">
        <v>836</v>
      </c>
      <c r="B18" s="732"/>
      <c r="C18" s="733"/>
      <c r="D18" s="731">
        <f t="shared" si="1"/>
        <v>0</v>
      </c>
      <c r="E18" s="733"/>
      <c r="F18" s="733"/>
      <c r="G18" s="731">
        <f t="shared" si="4"/>
        <v>0</v>
      </c>
    </row>
    <row r="19" spans="1:7" x14ac:dyDescent="0.25">
      <c r="A19" s="666" t="s">
        <v>837</v>
      </c>
      <c r="B19" s="732"/>
      <c r="C19" s="733"/>
      <c r="D19" s="731">
        <f t="shared" si="1"/>
        <v>0</v>
      </c>
      <c r="E19" s="733"/>
      <c r="F19" s="733"/>
      <c r="G19" s="731">
        <f t="shared" si="4"/>
        <v>0</v>
      </c>
    </row>
    <row r="20" spans="1:7" x14ac:dyDescent="0.25">
      <c r="A20" s="666"/>
      <c r="B20" s="730"/>
      <c r="C20" s="731"/>
      <c r="D20" s="731"/>
      <c r="E20" s="731"/>
      <c r="F20" s="731"/>
      <c r="G20" s="731"/>
    </row>
    <row r="21" spans="1:7" ht="19.5" x14ac:dyDescent="0.25">
      <c r="A21" s="665" t="s">
        <v>838</v>
      </c>
      <c r="B21" s="730">
        <f>B22+B23+B24+B25+B26+B27+B28+B31</f>
        <v>0</v>
      </c>
      <c r="C21" s="730">
        <f t="shared" ref="C21:G21" si="5">C22+C23+C24+C25+C26+C27+C28+C31</f>
        <v>0</v>
      </c>
      <c r="D21" s="730">
        <f t="shared" si="5"/>
        <v>0</v>
      </c>
      <c r="E21" s="730">
        <f t="shared" si="5"/>
        <v>0</v>
      </c>
      <c r="F21" s="730">
        <f t="shared" si="5"/>
        <v>0</v>
      </c>
      <c r="G21" s="730">
        <f t="shared" si="5"/>
        <v>0</v>
      </c>
    </row>
    <row r="22" spans="1:7" ht="19.5" x14ac:dyDescent="0.25">
      <c r="A22" s="666" t="s">
        <v>828</v>
      </c>
      <c r="B22" s="732"/>
      <c r="C22" s="733"/>
      <c r="D22" s="731">
        <f>B22+C22</f>
        <v>0</v>
      </c>
      <c r="E22" s="733"/>
      <c r="F22" s="733"/>
      <c r="G22" s="731">
        <f t="shared" ref="G22:G27" si="6">D22-E22</f>
        <v>0</v>
      </c>
    </row>
    <row r="23" spans="1:7" x14ac:dyDescent="0.25">
      <c r="A23" s="666" t="s">
        <v>829</v>
      </c>
      <c r="B23" s="732"/>
      <c r="C23" s="733"/>
      <c r="D23" s="731">
        <f t="shared" ref="D23:D27" si="7">B23+C23</f>
        <v>0</v>
      </c>
      <c r="E23" s="733"/>
      <c r="F23" s="733"/>
      <c r="G23" s="731">
        <f t="shared" si="6"/>
        <v>0</v>
      </c>
    </row>
    <row r="24" spans="1:7" x14ac:dyDescent="0.25">
      <c r="A24" s="666" t="s">
        <v>830</v>
      </c>
      <c r="B24" s="732"/>
      <c r="C24" s="733"/>
      <c r="D24" s="731">
        <f t="shared" si="7"/>
        <v>0</v>
      </c>
      <c r="E24" s="733"/>
      <c r="F24" s="733"/>
      <c r="G24" s="731">
        <f t="shared" si="6"/>
        <v>0</v>
      </c>
    </row>
    <row r="25" spans="1:7" x14ac:dyDescent="0.25">
      <c r="A25" s="666" t="s">
        <v>831</v>
      </c>
      <c r="B25" s="732"/>
      <c r="C25" s="733"/>
      <c r="D25" s="731">
        <f t="shared" si="7"/>
        <v>0</v>
      </c>
      <c r="E25" s="733"/>
      <c r="F25" s="733"/>
      <c r="G25" s="731">
        <f t="shared" si="6"/>
        <v>0</v>
      </c>
    </row>
    <row r="26" spans="1:7" x14ac:dyDescent="0.25">
      <c r="A26" s="666" t="s">
        <v>832</v>
      </c>
      <c r="B26" s="732"/>
      <c r="C26" s="733"/>
      <c r="D26" s="731">
        <f t="shared" si="7"/>
        <v>0</v>
      </c>
      <c r="E26" s="733"/>
      <c r="F26" s="733"/>
      <c r="G26" s="731">
        <f t="shared" si="6"/>
        <v>0</v>
      </c>
    </row>
    <row r="27" spans="1:7" x14ac:dyDescent="0.25">
      <c r="A27" s="666" t="s">
        <v>833</v>
      </c>
      <c r="B27" s="732"/>
      <c r="C27" s="733"/>
      <c r="D27" s="731">
        <f t="shared" si="7"/>
        <v>0</v>
      </c>
      <c r="E27" s="733"/>
      <c r="F27" s="733"/>
      <c r="G27" s="731">
        <f t="shared" si="6"/>
        <v>0</v>
      </c>
    </row>
    <row r="28" spans="1:7" ht="29.25" x14ac:dyDescent="0.25">
      <c r="A28" s="666" t="s">
        <v>834</v>
      </c>
      <c r="B28" s="730">
        <f>B29+B30</f>
        <v>0</v>
      </c>
      <c r="C28" s="730">
        <f t="shared" ref="C28:G28" si="8">C29+C30</f>
        <v>0</v>
      </c>
      <c r="D28" s="730">
        <f t="shared" si="8"/>
        <v>0</v>
      </c>
      <c r="E28" s="730">
        <f t="shared" si="8"/>
        <v>0</v>
      </c>
      <c r="F28" s="730">
        <f t="shared" si="8"/>
        <v>0</v>
      </c>
      <c r="G28" s="730">
        <f t="shared" si="8"/>
        <v>0</v>
      </c>
    </row>
    <row r="29" spans="1:7" x14ac:dyDescent="0.25">
      <c r="A29" s="667" t="s">
        <v>835</v>
      </c>
      <c r="B29" s="732"/>
      <c r="C29" s="733"/>
      <c r="D29" s="731">
        <f>B29+C29</f>
        <v>0</v>
      </c>
      <c r="E29" s="733"/>
      <c r="F29" s="733"/>
      <c r="G29" s="731">
        <f t="shared" ref="G29:G31" si="9">D29-E29</f>
        <v>0</v>
      </c>
    </row>
    <row r="30" spans="1:7" x14ac:dyDescent="0.25">
      <c r="A30" s="667" t="s">
        <v>836</v>
      </c>
      <c r="B30" s="732"/>
      <c r="C30" s="733"/>
      <c r="D30" s="731">
        <f>B30+C30</f>
        <v>0</v>
      </c>
      <c r="E30" s="733"/>
      <c r="F30" s="733"/>
      <c r="G30" s="731">
        <f t="shared" si="9"/>
        <v>0</v>
      </c>
    </row>
    <row r="31" spans="1:7" x14ac:dyDescent="0.25">
      <c r="A31" s="666" t="s">
        <v>837</v>
      </c>
      <c r="B31" s="732"/>
      <c r="C31" s="733"/>
      <c r="D31" s="731">
        <f>B31+C31</f>
        <v>0</v>
      </c>
      <c r="E31" s="733"/>
      <c r="F31" s="733"/>
      <c r="G31" s="731">
        <f t="shared" si="9"/>
        <v>0</v>
      </c>
    </row>
    <row r="32" spans="1:7" ht="19.5" x14ac:dyDescent="0.25">
      <c r="A32" s="665" t="s">
        <v>839</v>
      </c>
      <c r="B32" s="730">
        <f>B9+B21</f>
        <v>24059810</v>
      </c>
      <c r="C32" s="730">
        <f t="shared" ref="C32:G32" si="10">C9+C21</f>
        <v>657400.98000000045</v>
      </c>
      <c r="D32" s="730">
        <f t="shared" si="10"/>
        <v>24717210.98</v>
      </c>
      <c r="E32" s="730">
        <f t="shared" si="10"/>
        <v>15399711.67</v>
      </c>
      <c r="F32" s="730">
        <f t="shared" si="10"/>
        <v>15399711.67</v>
      </c>
      <c r="G32" s="730">
        <f t="shared" si="10"/>
        <v>9317499.3100000005</v>
      </c>
    </row>
    <row r="33" spans="1:7" ht="15.75" thickBot="1" x14ac:dyDescent="0.3">
      <c r="A33" s="668"/>
      <c r="B33" s="669"/>
      <c r="C33" s="670"/>
      <c r="D33" s="670"/>
      <c r="E33" s="670"/>
      <c r="F33" s="670"/>
      <c r="G33" s="670"/>
    </row>
  </sheetData>
  <sheetProtection password="C115" sheet="1" scenarios="1" insertHyperlinks="0"/>
  <mergeCells count="9">
    <mergeCell ref="A7:A8"/>
    <mergeCell ref="B7:F7"/>
    <mergeCell ref="G7:G8"/>
    <mergeCell ref="A1:G1"/>
    <mergeCell ref="A2:G2"/>
    <mergeCell ref="A3:G3"/>
    <mergeCell ref="A4:G4"/>
    <mergeCell ref="A5:G5"/>
    <mergeCell ref="A6:G6"/>
  </mergeCells>
  <printOptions horizontalCentered="1"/>
  <pageMargins left="0.23622047244094491" right="0.23622047244094491" top="0.74803149606299213" bottom="0.74803149606299213" header="0.31496062992125984" footer="0.31496062992125984"/>
  <pageSetup scale="95"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rgb="FF00B050"/>
    <pageSetUpPr fitToPage="1"/>
  </sheetPr>
  <dimension ref="A1:D44"/>
  <sheetViews>
    <sheetView zoomScaleNormal="100" zoomScaleSheetLayoutView="110" workbookViewId="0">
      <selection sqref="A1:C43"/>
    </sheetView>
  </sheetViews>
  <sheetFormatPr baseColWidth="10" defaultColWidth="11.28515625" defaultRowHeight="16.5" x14ac:dyDescent="0.25"/>
  <cols>
    <col min="1" max="1" width="64.5703125" style="280" customWidth="1"/>
    <col min="2" max="2" width="25.7109375" style="280" customWidth="1"/>
    <col min="3" max="3" width="25.7109375" style="410" customWidth="1"/>
    <col min="4" max="4" width="89.140625" style="280" customWidth="1"/>
    <col min="5" max="16384" width="11.28515625" style="280"/>
  </cols>
  <sheetData>
    <row r="1" spans="1:4" x14ac:dyDescent="0.25">
      <c r="A1" s="983" t="s">
        <v>25</v>
      </c>
      <c r="B1" s="983"/>
      <c r="C1" s="983"/>
      <c r="D1" s="430"/>
    </row>
    <row r="2" spans="1:4" s="281" customFormat="1" ht="15.75" x14ac:dyDescent="0.25">
      <c r="A2" s="983" t="s">
        <v>13</v>
      </c>
      <c r="B2" s="983"/>
      <c r="C2" s="983"/>
    </row>
    <row r="3" spans="1:4" s="281" customFormat="1" ht="15.75" x14ac:dyDescent="0.25">
      <c r="A3" s="984" t="str">
        <f>'ETCA-I-01'!A3:G3</f>
        <v>Consejo Estatal de Concertacion para la Obra Publica</v>
      </c>
      <c r="B3" s="984"/>
      <c r="C3" s="984"/>
    </row>
    <row r="4" spans="1:4" s="281" customFormat="1" x14ac:dyDescent="0.25">
      <c r="A4" s="985" t="str">
        <f>'ETCA-I-01'!A4:G4</f>
        <v>Al 30 de Septiembre de 2017</v>
      </c>
      <c r="B4" s="985"/>
      <c r="C4" s="985"/>
    </row>
    <row r="5" spans="1:4" s="282" customFormat="1" ht="17.25" thickBot="1" x14ac:dyDescent="0.3">
      <c r="A5" s="397"/>
      <c r="B5" s="538"/>
      <c r="C5" s="398"/>
    </row>
    <row r="6" spans="1:4" s="400" customFormat="1" ht="27" customHeight="1" thickBot="1" x14ac:dyDescent="0.3">
      <c r="A6" s="399" t="s">
        <v>840</v>
      </c>
      <c r="B6" s="165"/>
      <c r="C6" s="252">
        <f>'ETCA II-04'!E81</f>
        <v>221644805.09999996</v>
      </c>
      <c r="D6" s="411" t="str">
        <f>IF((C6-'ETCA II-04'!E81)&gt;0.9,"ERROR!!!!! EL MONTO NO COINCIDE CON LO REPORTADO EN EL FORMATO ETCA-II-04, EN EL TOTAL DE EGRESOS DEVENGADO ANUAL","")</f>
        <v/>
      </c>
    </row>
    <row r="7" spans="1:4" s="400" customFormat="1" ht="9.75" customHeight="1" x14ac:dyDescent="0.25">
      <c r="A7" s="401"/>
      <c r="B7" s="269"/>
      <c r="C7" s="412"/>
      <c r="D7" s="411"/>
    </row>
    <row r="8" spans="1:4" s="400" customFormat="1" ht="17.25" customHeight="1" thickBot="1" x14ac:dyDescent="0.3">
      <c r="A8" s="402" t="s">
        <v>561</v>
      </c>
      <c r="B8" s="272"/>
      <c r="C8" s="413"/>
      <c r="D8" s="411"/>
    </row>
    <row r="9" spans="1:4" ht="20.100000000000001" customHeight="1" x14ac:dyDescent="0.25">
      <c r="A9" s="403" t="s">
        <v>841</v>
      </c>
      <c r="B9" s="837"/>
      <c r="C9" s="414">
        <f>SUM(B10:B26)</f>
        <v>202529181.57999998</v>
      </c>
      <c r="D9" s="415"/>
    </row>
    <row r="10" spans="1:4" ht="20.100000000000001" customHeight="1" x14ac:dyDescent="0.25">
      <c r="A10" s="404" t="s">
        <v>842</v>
      </c>
      <c r="B10" s="879">
        <v>32602.01</v>
      </c>
      <c r="C10" s="416"/>
      <c r="D10" s="415"/>
    </row>
    <row r="11" spans="1:4" x14ac:dyDescent="0.25">
      <c r="A11" s="404" t="s">
        <v>843</v>
      </c>
      <c r="B11" s="879"/>
      <c r="C11" s="416"/>
      <c r="D11" s="415"/>
    </row>
    <row r="12" spans="1:4" ht="20.100000000000001" customHeight="1" x14ac:dyDescent="0.25">
      <c r="A12" s="404" t="s">
        <v>844</v>
      </c>
      <c r="B12" s="879"/>
      <c r="C12" s="416"/>
      <c r="D12" s="415"/>
    </row>
    <row r="13" spans="1:4" ht="20.100000000000001" customHeight="1" x14ac:dyDescent="0.25">
      <c r="A13" s="404" t="s">
        <v>845</v>
      </c>
      <c r="B13" s="879"/>
      <c r="C13" s="416"/>
      <c r="D13" s="415"/>
    </row>
    <row r="14" spans="1:4" ht="20.100000000000001" customHeight="1" x14ac:dyDescent="0.25">
      <c r="A14" s="404" t="s">
        <v>846</v>
      </c>
      <c r="B14" s="879"/>
      <c r="C14" s="416"/>
      <c r="D14" s="415"/>
    </row>
    <row r="15" spans="1:4" ht="20.100000000000001" customHeight="1" x14ac:dyDescent="0.25">
      <c r="A15" s="404" t="s">
        <v>847</v>
      </c>
      <c r="B15" s="879">
        <v>11368</v>
      </c>
      <c r="C15" s="416"/>
      <c r="D15" s="415"/>
    </row>
    <row r="16" spans="1:4" ht="20.100000000000001" customHeight="1" x14ac:dyDescent="0.25">
      <c r="A16" s="404" t="s">
        <v>848</v>
      </c>
      <c r="B16" s="879"/>
      <c r="C16" s="416"/>
      <c r="D16" s="415"/>
    </row>
    <row r="17" spans="1:4" ht="20.100000000000001" customHeight="1" x14ac:dyDescent="0.25">
      <c r="A17" s="404" t="s">
        <v>849</v>
      </c>
      <c r="B17" s="879"/>
      <c r="C17" s="416"/>
      <c r="D17" s="415"/>
    </row>
    <row r="18" spans="1:4" ht="20.100000000000001" customHeight="1" x14ac:dyDescent="0.25">
      <c r="A18" s="404" t="s">
        <v>850</v>
      </c>
      <c r="B18" s="879"/>
      <c r="C18" s="416"/>
      <c r="D18" s="415"/>
    </row>
    <row r="19" spans="1:4" ht="20.100000000000001" customHeight="1" x14ac:dyDescent="0.25">
      <c r="A19" s="404" t="s">
        <v>851</v>
      </c>
      <c r="B19" s="879"/>
      <c r="C19" s="416"/>
      <c r="D19" s="415"/>
    </row>
    <row r="20" spans="1:4" ht="20.100000000000001" customHeight="1" x14ac:dyDescent="0.25">
      <c r="A20" s="404" t="s">
        <v>852</v>
      </c>
      <c r="B20" s="879"/>
      <c r="C20" s="416"/>
      <c r="D20" s="415"/>
    </row>
    <row r="21" spans="1:4" ht="20.100000000000001" customHeight="1" x14ac:dyDescent="0.25">
      <c r="A21" s="404" t="s">
        <v>853</v>
      </c>
      <c r="B21" s="879"/>
      <c r="C21" s="416"/>
      <c r="D21" s="415"/>
    </row>
    <row r="22" spans="1:4" ht="20.100000000000001" customHeight="1" x14ac:dyDescent="0.25">
      <c r="A22" s="404" t="s">
        <v>854</v>
      </c>
      <c r="B22" s="879"/>
      <c r="C22" s="416"/>
      <c r="D22" s="415"/>
    </row>
    <row r="23" spans="1:4" ht="20.100000000000001" customHeight="1" x14ac:dyDescent="0.25">
      <c r="A23" s="404" t="s">
        <v>855</v>
      </c>
      <c r="B23" s="879"/>
      <c r="C23" s="416"/>
      <c r="D23" s="415"/>
    </row>
    <row r="24" spans="1:4" ht="20.100000000000001" customHeight="1" x14ac:dyDescent="0.25">
      <c r="A24" s="404" t="s">
        <v>856</v>
      </c>
      <c r="B24" s="879"/>
      <c r="C24" s="416"/>
      <c r="D24" s="415"/>
    </row>
    <row r="25" spans="1:4" ht="20.100000000000001" customHeight="1" x14ac:dyDescent="0.25">
      <c r="A25" s="404" t="s">
        <v>857</v>
      </c>
      <c r="B25" s="879"/>
      <c r="C25" s="416"/>
      <c r="D25" s="415"/>
    </row>
    <row r="26" spans="1:4" ht="20.100000000000001" customHeight="1" thickBot="1" x14ac:dyDescent="0.3">
      <c r="A26" s="405" t="s">
        <v>858</v>
      </c>
      <c r="B26" s="880">
        <v>202485211.56999999</v>
      </c>
      <c r="C26" s="417"/>
      <c r="D26" s="415"/>
    </row>
    <row r="27" spans="1:4" ht="7.5" customHeight="1" x14ac:dyDescent="0.25">
      <c r="A27" s="406"/>
      <c r="B27" s="269"/>
      <c r="C27" s="418"/>
      <c r="D27" s="415"/>
    </row>
    <row r="28" spans="1:4" ht="20.100000000000001" customHeight="1" thickBot="1" x14ac:dyDescent="0.3">
      <c r="A28" s="407" t="s">
        <v>554</v>
      </c>
      <c r="B28" s="272"/>
      <c r="C28" s="419"/>
      <c r="D28" s="415"/>
    </row>
    <row r="29" spans="1:4" ht="20.100000000000001" customHeight="1" x14ac:dyDescent="0.25">
      <c r="A29" s="403" t="s">
        <v>859</v>
      </c>
      <c r="B29" s="881"/>
      <c r="C29" s="414">
        <f>SUM(B30:B36)</f>
        <v>66423928.009999998</v>
      </c>
      <c r="D29" s="415"/>
    </row>
    <row r="30" spans="1:4" x14ac:dyDescent="0.25">
      <c r="A30" s="404" t="s">
        <v>860</v>
      </c>
      <c r="B30" s="879">
        <v>537572.73</v>
      </c>
      <c r="C30" s="416"/>
      <c r="D30" s="423" t="str">
        <f>IF(B30&lt;&gt;'ETCA-I-03'!C55,"ERROR!!!!! EL MONTO NO COINCIDE CON LO REPORTADO EN EL FORMATO ETCA-I-02 POR CONCEPTO DE ESTIMACIONES, DEPRECIACIONES, ETC..","")</f>
        <v/>
      </c>
    </row>
    <row r="31" spans="1:4" ht="20.100000000000001" customHeight="1" x14ac:dyDescent="0.25">
      <c r="A31" s="404" t="s">
        <v>248</v>
      </c>
      <c r="B31" s="879"/>
      <c r="C31" s="416"/>
      <c r="D31" s="415"/>
    </row>
    <row r="32" spans="1:4" ht="20.100000000000001" customHeight="1" x14ac:dyDescent="0.25">
      <c r="A32" s="404" t="s">
        <v>861</v>
      </c>
      <c r="B32" s="879"/>
      <c r="C32" s="416"/>
      <c r="D32" s="415"/>
    </row>
    <row r="33" spans="1:4" ht="25.5" customHeight="1" x14ac:dyDescent="0.25">
      <c r="A33" s="404" t="s">
        <v>862</v>
      </c>
      <c r="B33" s="879"/>
      <c r="C33" s="416"/>
      <c r="D33" s="415"/>
    </row>
    <row r="34" spans="1:4" ht="20.100000000000001" customHeight="1" x14ac:dyDescent="0.25">
      <c r="A34" s="404" t="s">
        <v>863</v>
      </c>
      <c r="B34" s="879"/>
      <c r="C34" s="416"/>
      <c r="D34" s="415"/>
    </row>
    <row r="35" spans="1:4" ht="20.100000000000001" customHeight="1" x14ac:dyDescent="0.25">
      <c r="A35" s="404" t="s">
        <v>864</v>
      </c>
      <c r="B35" s="879"/>
      <c r="C35" s="416"/>
      <c r="D35" s="415"/>
    </row>
    <row r="36" spans="1:4" ht="20.100000000000001" customHeight="1" x14ac:dyDescent="0.25">
      <c r="A36" s="408" t="s">
        <v>865</v>
      </c>
      <c r="B36" s="879">
        <v>65886355.280000001</v>
      </c>
      <c r="C36" s="416"/>
      <c r="D36" s="415"/>
    </row>
    <row r="37" spans="1:4" ht="20.100000000000001" customHeight="1" thickBot="1" x14ac:dyDescent="0.3">
      <c r="A37" s="409"/>
      <c r="B37" s="882"/>
      <c r="C37" s="417"/>
      <c r="D37" s="415"/>
    </row>
    <row r="38" spans="1:4" ht="20.100000000000001" customHeight="1" thickBot="1" x14ac:dyDescent="0.3">
      <c r="A38" s="514" t="s">
        <v>866</v>
      </c>
      <c r="B38" s="883"/>
      <c r="C38" s="252">
        <f>C6-C9+C29</f>
        <v>85539551.529999971</v>
      </c>
      <c r="D38" s="415" t="str">
        <f>IF((C38-'ETCA-I-03'!C64)&gt;0.9,"ERROR!!!!! EL MONTO NO COINCIDE CON LO REPORTADO EN EL FORMATO ETCA-I-03, EN EL MISMO RUBRO","")</f>
        <v/>
      </c>
    </row>
    <row r="39" spans="1:4" ht="20.100000000000001" customHeight="1" x14ac:dyDescent="0.25">
      <c r="A39" s="513"/>
      <c r="B39" s="511"/>
      <c r="C39" s="512"/>
      <c r="D39" s="415"/>
    </row>
    <row r="40" spans="1:4" ht="20.100000000000001" customHeight="1" x14ac:dyDescent="0.25">
      <c r="A40" s="510"/>
      <c r="B40" s="511"/>
      <c r="C40" s="512"/>
      <c r="D40" s="415"/>
    </row>
    <row r="41" spans="1:4" ht="20.100000000000001" customHeight="1" x14ac:dyDescent="0.25">
      <c r="A41" s="510"/>
      <c r="B41" s="511"/>
      <c r="C41" s="512"/>
      <c r="D41" s="415"/>
    </row>
    <row r="42" spans="1:4" ht="20.100000000000001" customHeight="1" x14ac:dyDescent="0.25">
      <c r="A42" s="510"/>
      <c r="B42" s="511"/>
      <c r="C42" s="512"/>
      <c r="D42" s="415"/>
    </row>
    <row r="43" spans="1:4" ht="20.100000000000001" customHeight="1" x14ac:dyDescent="0.25">
      <c r="A43" s="510"/>
      <c r="B43" s="511"/>
      <c r="C43" s="512"/>
      <c r="D43" s="415"/>
    </row>
    <row r="44" spans="1:4" ht="26.25" customHeight="1" x14ac:dyDescent="0.25">
      <c r="A44" s="513"/>
      <c r="B44" s="511"/>
      <c r="C44" s="512"/>
      <c r="D44" s="415"/>
    </row>
  </sheetData>
  <sheetProtection password="C115" sheet="1" scenarios="1" formatColumns="0" formatRows="0" insertHyperlinks="0"/>
  <mergeCells count="4">
    <mergeCell ref="A1:C1"/>
    <mergeCell ref="A2:C2"/>
    <mergeCell ref="A3:C3"/>
    <mergeCell ref="A4:C4"/>
  </mergeCells>
  <printOptions horizontalCentered="1"/>
  <pageMargins left="0.39370078740157483" right="0.39370078740157483" top="0.74803149606299213" bottom="0.74803149606299213" header="0.31496062992125984" footer="0.31496062992125984"/>
  <pageSetup scale="84"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50"/>
  </sheetPr>
  <dimension ref="A1:J38"/>
  <sheetViews>
    <sheetView view="pageBreakPreview" topLeftCell="A7" zoomScaleNormal="100" zoomScaleSheetLayoutView="100" workbookViewId="0">
      <selection sqref="A1:E38"/>
    </sheetView>
  </sheetViews>
  <sheetFormatPr baseColWidth="10" defaultColWidth="11.28515625" defaultRowHeight="16.5" x14ac:dyDescent="0.3"/>
  <cols>
    <col min="1" max="1" width="4.28515625" style="117" customWidth="1"/>
    <col min="2" max="2" width="41.7109375" style="97" customWidth="1"/>
    <col min="3" max="5" width="16.7109375" style="97" customWidth="1"/>
    <col min="6" max="16384" width="11.28515625" style="97"/>
  </cols>
  <sheetData>
    <row r="1" spans="1:7" x14ac:dyDescent="0.3">
      <c r="A1" s="1185" t="s">
        <v>25</v>
      </c>
      <c r="B1" s="1185"/>
      <c r="C1" s="1185"/>
      <c r="D1" s="1185"/>
      <c r="E1" s="1185"/>
    </row>
    <row r="2" spans="1:7" x14ac:dyDescent="0.3">
      <c r="A2" s="1189" t="s">
        <v>292</v>
      </c>
      <c r="B2" s="1189"/>
      <c r="C2" s="1189"/>
      <c r="D2" s="1189"/>
      <c r="E2" s="1189"/>
    </row>
    <row r="3" spans="1:7" x14ac:dyDescent="0.3">
      <c r="A3" s="974" t="str">
        <f>'ETCA-I-01'!A3:G3</f>
        <v>Consejo Estatal de Concertacion para la Obra Publica</v>
      </c>
      <c r="B3" s="974"/>
      <c r="C3" s="974"/>
      <c r="D3" s="974"/>
      <c r="E3" s="974"/>
      <c r="G3" s="328"/>
    </row>
    <row r="4" spans="1:7" x14ac:dyDescent="0.3">
      <c r="A4" s="976" t="str">
        <f>'ETCA-I-03'!A4:D4</f>
        <v>Del 01 de Enero  al 30 de Septiembre de 2017</v>
      </c>
      <c r="B4" s="976"/>
      <c r="C4" s="976"/>
      <c r="D4" s="976"/>
      <c r="E4" s="976"/>
    </row>
    <row r="5" spans="1:7" ht="17.25" thickBot="1" x14ac:dyDescent="0.35">
      <c r="A5" s="329"/>
      <c r="B5" s="1189" t="s">
        <v>867</v>
      </c>
      <c r="C5" s="1189"/>
      <c r="D5" s="42"/>
      <c r="E5" s="329"/>
    </row>
    <row r="6" spans="1:7" s="198" customFormat="1" ht="30" customHeight="1" x14ac:dyDescent="0.25">
      <c r="A6" s="1190" t="s">
        <v>868</v>
      </c>
      <c r="B6" s="1191"/>
      <c r="C6" s="330" t="s">
        <v>869</v>
      </c>
      <c r="D6" s="331" t="s">
        <v>870</v>
      </c>
      <c r="E6" s="332" t="s">
        <v>292</v>
      </c>
    </row>
    <row r="7" spans="1:7" s="198" customFormat="1" ht="30" customHeight="1" thickBot="1" x14ac:dyDescent="0.3">
      <c r="A7" s="1192"/>
      <c r="B7" s="1193"/>
      <c r="C7" s="333" t="s">
        <v>871</v>
      </c>
      <c r="D7" s="333" t="s">
        <v>872</v>
      </c>
      <c r="E7" s="334" t="s">
        <v>873</v>
      </c>
    </row>
    <row r="8" spans="1:7" s="198" customFormat="1" ht="21" customHeight="1" x14ac:dyDescent="0.25">
      <c r="A8" s="1194" t="s">
        <v>874</v>
      </c>
      <c r="B8" s="1195"/>
      <c r="C8" s="1195"/>
      <c r="D8" s="1195"/>
      <c r="E8" s="1196"/>
    </row>
    <row r="9" spans="1:7" s="198" customFormat="1" ht="20.25" customHeight="1" x14ac:dyDescent="0.25">
      <c r="A9" s="335">
        <v>1</v>
      </c>
      <c r="B9" s="336"/>
      <c r="C9" s="337"/>
      <c r="D9" s="338"/>
      <c r="E9" s="348" t="str">
        <f>IF(B9="","",C9-D9)</f>
        <v/>
      </c>
    </row>
    <row r="10" spans="1:7" s="198" customFormat="1" ht="20.25" customHeight="1" x14ac:dyDescent="0.25">
      <c r="A10" s="335">
        <v>2</v>
      </c>
      <c r="B10" s="336" t="s">
        <v>1063</v>
      </c>
      <c r="C10" s="337"/>
      <c r="D10" s="338"/>
      <c r="E10" s="348">
        <f t="shared" ref="E10:E18" si="0">IF(B10="","",C10-D10)</f>
        <v>0</v>
      </c>
    </row>
    <row r="11" spans="1:7" s="198" customFormat="1" ht="20.25" customHeight="1" x14ac:dyDescent="0.25">
      <c r="A11" s="335">
        <v>3</v>
      </c>
      <c r="B11" s="336"/>
      <c r="C11" s="337"/>
      <c r="D11" s="338"/>
      <c r="E11" s="348" t="str">
        <f t="shared" si="0"/>
        <v/>
      </c>
    </row>
    <row r="12" spans="1:7" s="198" customFormat="1" ht="20.25" customHeight="1" x14ac:dyDescent="0.25">
      <c r="A12" s="335">
        <v>4</v>
      </c>
      <c r="B12" s="336"/>
      <c r="C12" s="337"/>
      <c r="D12" s="338"/>
      <c r="E12" s="348" t="str">
        <f t="shared" si="0"/>
        <v/>
      </c>
    </row>
    <row r="13" spans="1:7" s="198" customFormat="1" ht="20.25" customHeight="1" x14ac:dyDescent="0.25">
      <c r="A13" s="335">
        <v>5</v>
      </c>
      <c r="B13" s="336"/>
      <c r="C13" s="337"/>
      <c r="D13" s="338"/>
      <c r="E13" s="348" t="str">
        <f t="shared" si="0"/>
        <v/>
      </c>
    </row>
    <row r="14" spans="1:7" s="198" customFormat="1" ht="20.25" customHeight="1" x14ac:dyDescent="0.25">
      <c r="A14" s="335">
        <v>6</v>
      </c>
      <c r="B14" s="336"/>
      <c r="C14" s="337"/>
      <c r="D14" s="338"/>
      <c r="E14" s="348" t="str">
        <f t="shared" si="0"/>
        <v/>
      </c>
    </row>
    <row r="15" spans="1:7" s="198" customFormat="1" ht="20.25" customHeight="1" x14ac:dyDescent="0.25">
      <c r="A15" s="335">
        <v>7</v>
      </c>
      <c r="B15" s="336"/>
      <c r="C15" s="337"/>
      <c r="D15" s="338"/>
      <c r="E15" s="348" t="str">
        <f t="shared" si="0"/>
        <v/>
      </c>
    </row>
    <row r="16" spans="1:7" s="198" customFormat="1" ht="20.25" customHeight="1" x14ac:dyDescent="0.25">
      <c r="A16" s="335">
        <v>8</v>
      </c>
      <c r="B16" s="336"/>
      <c r="C16" s="337"/>
      <c r="D16" s="338"/>
      <c r="E16" s="348" t="str">
        <f t="shared" si="0"/>
        <v/>
      </c>
    </row>
    <row r="17" spans="1:5" s="198" customFormat="1" ht="20.25" customHeight="1" x14ac:dyDescent="0.25">
      <c r="A17" s="335">
        <v>9</v>
      </c>
      <c r="B17" s="336"/>
      <c r="C17" s="337"/>
      <c r="D17" s="338"/>
      <c r="E17" s="348" t="str">
        <f t="shared" si="0"/>
        <v/>
      </c>
    </row>
    <row r="18" spans="1:5" s="198" customFormat="1" ht="20.25" customHeight="1" x14ac:dyDescent="0.25">
      <c r="A18" s="335">
        <v>10</v>
      </c>
      <c r="B18" s="336"/>
      <c r="C18" s="337"/>
      <c r="D18" s="338"/>
      <c r="E18" s="348" t="str">
        <f t="shared" si="0"/>
        <v/>
      </c>
    </row>
    <row r="19" spans="1:5" s="198" customFormat="1" ht="20.25" customHeight="1" x14ac:dyDescent="0.25">
      <c r="A19" s="335"/>
      <c r="B19" s="340" t="s">
        <v>875</v>
      </c>
      <c r="C19" s="346">
        <f>SUM(C9:C18)</f>
        <v>0</v>
      </c>
      <c r="D19" s="347">
        <f>SUM(D9:D18)</f>
        <v>0</v>
      </c>
      <c r="E19" s="348">
        <f>SUM(E9:E18)</f>
        <v>0</v>
      </c>
    </row>
    <row r="20" spans="1:5" s="198" customFormat="1" ht="21" customHeight="1" x14ac:dyDescent="0.25">
      <c r="A20" s="1186" t="s">
        <v>876</v>
      </c>
      <c r="B20" s="1187"/>
      <c r="C20" s="1187"/>
      <c r="D20" s="1187"/>
      <c r="E20" s="1188"/>
    </row>
    <row r="21" spans="1:5" s="198" customFormat="1" ht="20.25" customHeight="1" x14ac:dyDescent="0.25">
      <c r="A21" s="335">
        <v>1</v>
      </c>
      <c r="B21" s="336"/>
      <c r="C21" s="337"/>
      <c r="D21" s="338"/>
      <c r="E21" s="348" t="str">
        <f>IF(B21="","",C21-D21)</f>
        <v/>
      </c>
    </row>
    <row r="22" spans="1:5" s="198" customFormat="1" ht="20.25" customHeight="1" x14ac:dyDescent="0.25">
      <c r="A22" s="335">
        <v>2</v>
      </c>
      <c r="B22" s="336"/>
      <c r="C22" s="337"/>
      <c r="D22" s="338"/>
      <c r="E22" s="348" t="str">
        <f t="shared" ref="E22:E30" si="1">IF(B22="","",C22-D22)</f>
        <v/>
      </c>
    </row>
    <row r="23" spans="1:5" s="198" customFormat="1" ht="20.25" customHeight="1" x14ac:dyDescent="0.25">
      <c r="A23" s="335">
        <v>3</v>
      </c>
      <c r="B23" s="336"/>
      <c r="C23" s="337"/>
      <c r="D23" s="338"/>
      <c r="E23" s="348" t="str">
        <f t="shared" si="1"/>
        <v/>
      </c>
    </row>
    <row r="24" spans="1:5" s="198" customFormat="1" ht="20.25" customHeight="1" x14ac:dyDescent="0.25">
      <c r="A24" s="335">
        <v>4</v>
      </c>
      <c r="B24" s="336"/>
      <c r="C24" s="337"/>
      <c r="D24" s="338"/>
      <c r="E24" s="348" t="str">
        <f t="shared" si="1"/>
        <v/>
      </c>
    </row>
    <row r="25" spans="1:5" s="198" customFormat="1" ht="20.25" customHeight="1" x14ac:dyDescent="0.25">
      <c r="A25" s="335">
        <v>5</v>
      </c>
      <c r="B25" s="336"/>
      <c r="C25" s="337"/>
      <c r="D25" s="338"/>
      <c r="E25" s="348" t="str">
        <f t="shared" si="1"/>
        <v/>
      </c>
    </row>
    <row r="26" spans="1:5" s="198" customFormat="1" ht="20.25" customHeight="1" x14ac:dyDescent="0.25">
      <c r="A26" s="335">
        <v>6</v>
      </c>
      <c r="B26" s="336"/>
      <c r="C26" s="337"/>
      <c r="D26" s="338"/>
      <c r="E26" s="348" t="str">
        <f t="shared" si="1"/>
        <v/>
      </c>
    </row>
    <row r="27" spans="1:5" s="198" customFormat="1" ht="20.25" customHeight="1" x14ac:dyDescent="0.25">
      <c r="A27" s="335">
        <v>7</v>
      </c>
      <c r="B27" s="336"/>
      <c r="C27" s="337"/>
      <c r="D27" s="338"/>
      <c r="E27" s="348" t="str">
        <f t="shared" si="1"/>
        <v/>
      </c>
    </row>
    <row r="28" spans="1:5" s="198" customFormat="1" ht="20.25" customHeight="1" x14ac:dyDescent="0.25">
      <c r="A28" s="335">
        <v>8</v>
      </c>
      <c r="B28" s="336"/>
      <c r="C28" s="337"/>
      <c r="D28" s="338"/>
      <c r="E28" s="348" t="str">
        <f>IF(B28="","",C28-D29)</f>
        <v/>
      </c>
    </row>
    <row r="29" spans="1:5" s="198" customFormat="1" ht="20.25" customHeight="1" x14ac:dyDescent="0.25">
      <c r="A29" s="335">
        <v>9</v>
      </c>
      <c r="B29" s="336"/>
      <c r="C29" s="337"/>
      <c r="D29" s="338"/>
      <c r="E29" s="348" t="str">
        <f>IF(B29="","",C29-#REF!)</f>
        <v/>
      </c>
    </row>
    <row r="30" spans="1:5" s="198" customFormat="1" ht="20.25" customHeight="1" x14ac:dyDescent="0.25">
      <c r="A30" s="335">
        <v>10</v>
      </c>
      <c r="B30" s="336"/>
      <c r="C30" s="337"/>
      <c r="D30" s="338"/>
      <c r="E30" s="348" t="str">
        <f t="shared" si="1"/>
        <v/>
      </c>
    </row>
    <row r="31" spans="1:5" s="342" customFormat="1" ht="39.950000000000003" customHeight="1" thickBot="1" x14ac:dyDescent="0.35">
      <c r="A31" s="335"/>
      <c r="B31" s="341" t="s">
        <v>877</v>
      </c>
      <c r="C31" s="346">
        <f>SUM(C21:C30)</f>
        <v>0</v>
      </c>
      <c r="D31" s="347">
        <f>SUM(D21:D30)</f>
        <v>0</v>
      </c>
      <c r="E31" s="348">
        <f>SUM(E21:E30)</f>
        <v>0</v>
      </c>
    </row>
    <row r="32" spans="1:5" ht="30" customHeight="1" thickBot="1" x14ac:dyDescent="0.35">
      <c r="A32" s="343"/>
      <c r="B32" s="344" t="s">
        <v>878</v>
      </c>
      <c r="C32" s="349">
        <f>SUM(C19,C31)</f>
        <v>0</v>
      </c>
      <c r="D32" s="349">
        <f>SUM(D19,D31)</f>
        <v>0</v>
      </c>
      <c r="E32" s="350">
        <f>SUM(E19,E31)</f>
        <v>0</v>
      </c>
    </row>
    <row r="33" spans="1:10" ht="17.100000000000001" customHeight="1" x14ac:dyDescent="0.3">
      <c r="A33" s="445" t="s">
        <v>86</v>
      </c>
    </row>
    <row r="34" spans="1:10" ht="17.100000000000001" customHeight="1" x14ac:dyDescent="0.3">
      <c r="A34" s="515"/>
      <c r="B34" s="516"/>
      <c r="C34" s="517"/>
      <c r="D34" s="517"/>
      <c r="E34" s="517"/>
    </row>
    <row r="35" spans="1:10" ht="17.100000000000001" customHeight="1" x14ac:dyDescent="0.3">
      <c r="A35" s="515"/>
      <c r="B35" s="516"/>
      <c r="C35" s="517"/>
      <c r="D35" s="517"/>
      <c r="E35" s="517"/>
    </row>
    <row r="36" spans="1:10" ht="17.100000000000001" customHeight="1" x14ac:dyDescent="0.3">
      <c r="A36" s="515"/>
      <c r="B36" s="516"/>
      <c r="C36" s="517"/>
      <c r="D36" s="517"/>
      <c r="E36" s="517"/>
    </row>
    <row r="37" spans="1:10" ht="17.100000000000001" customHeight="1" x14ac:dyDescent="0.3">
      <c r="A37" s="515"/>
      <c r="B37" s="516"/>
      <c r="C37" s="517"/>
      <c r="D37" s="517"/>
      <c r="E37" s="517"/>
    </row>
    <row r="38" spans="1:10" ht="17.100000000000001" customHeight="1" x14ac:dyDescent="0.3">
      <c r="A38" s="41" t="s">
        <v>258</v>
      </c>
      <c r="J38" s="345"/>
    </row>
  </sheetData>
  <sheetProtection password="C115" sheet="1" scenarios="1" insertHyperlinks="0"/>
  <mergeCells count="8">
    <mergeCell ref="A1:E1"/>
    <mergeCell ref="A3:E3"/>
    <mergeCell ref="A4:E4"/>
    <mergeCell ref="A20:E20"/>
    <mergeCell ref="A2:E2"/>
    <mergeCell ref="A6:B7"/>
    <mergeCell ref="A8:E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4"/>
  <sheetViews>
    <sheetView zoomScaleNormal="100" workbookViewId="0">
      <selection activeCell="B13" sqref="B13"/>
    </sheetView>
  </sheetViews>
  <sheetFormatPr baseColWidth="10" defaultColWidth="11.42578125" defaultRowHeight="15" x14ac:dyDescent="0.25"/>
  <cols>
    <col min="1" max="1" width="40.28515625" customWidth="1"/>
    <col min="2" max="2" width="15.140625" bestFit="1" customWidth="1"/>
    <col min="3" max="3" width="21.5703125" bestFit="1" customWidth="1"/>
    <col min="4" max="4" width="1.28515625" customWidth="1"/>
    <col min="5" max="5" width="40.28515625" customWidth="1"/>
    <col min="6" max="6" width="15.140625" bestFit="1" customWidth="1"/>
    <col min="7" max="7" width="21.5703125" bestFit="1" customWidth="1"/>
  </cols>
  <sheetData>
    <row r="1" spans="1:7" ht="15.75" x14ac:dyDescent="0.25">
      <c r="A1" s="965" t="s">
        <v>25</v>
      </c>
      <c r="B1" s="965"/>
      <c r="C1" s="965"/>
      <c r="D1" s="965"/>
      <c r="E1" s="965"/>
      <c r="F1" s="965"/>
      <c r="G1" s="965"/>
    </row>
    <row r="2" spans="1:7" ht="14.25" customHeight="1" x14ac:dyDescent="0.25">
      <c r="A2" s="966" t="s">
        <v>88</v>
      </c>
      <c r="B2" s="966"/>
      <c r="C2" s="966"/>
      <c r="D2" s="966"/>
      <c r="E2" s="966"/>
      <c r="F2" s="966"/>
      <c r="G2" s="966"/>
    </row>
    <row r="3" spans="1:7" s="41" customFormat="1" ht="14.25" customHeight="1" x14ac:dyDescent="0.3">
      <c r="A3" s="966" t="str">
        <f>'ETCA-I-01'!A3:G3</f>
        <v>Consejo Estatal de Concertacion para la Obra Publica</v>
      </c>
      <c r="B3" s="966"/>
      <c r="C3" s="966"/>
      <c r="D3" s="966"/>
      <c r="E3" s="966"/>
      <c r="F3" s="966"/>
      <c r="G3" s="966"/>
    </row>
    <row r="4" spans="1:7" ht="12.75" customHeight="1" x14ac:dyDescent="0.25">
      <c r="A4" s="970" t="s">
        <v>1064</v>
      </c>
      <c r="B4" s="970"/>
      <c r="C4" s="970"/>
      <c r="D4" s="970"/>
      <c r="E4" s="970"/>
      <c r="F4" s="970"/>
      <c r="G4" s="970"/>
    </row>
    <row r="5" spans="1:7" ht="12" customHeight="1" thickBot="1" x14ac:dyDescent="0.3">
      <c r="A5" s="971" t="s">
        <v>89</v>
      </c>
      <c r="B5" s="971"/>
      <c r="C5" s="971"/>
      <c r="D5" s="971"/>
      <c r="E5" s="971"/>
      <c r="F5" s="971"/>
      <c r="G5" s="971"/>
    </row>
    <row r="6" spans="1:7" ht="15.75" thickBot="1" x14ac:dyDescent="0.3">
      <c r="A6" s="704" t="s">
        <v>90</v>
      </c>
      <c r="B6" s="870">
        <v>2017</v>
      </c>
      <c r="C6" s="870" t="s">
        <v>1059</v>
      </c>
      <c r="D6" s="705"/>
      <c r="E6" s="706" t="s">
        <v>90</v>
      </c>
      <c r="F6" s="870">
        <v>2017</v>
      </c>
      <c r="G6" s="870" t="s">
        <v>1059</v>
      </c>
    </row>
    <row r="7" spans="1:7" ht="15.75" customHeight="1" x14ac:dyDescent="0.25">
      <c r="A7" s="627" t="s">
        <v>28</v>
      </c>
      <c r="B7" s="710"/>
      <c r="C7" s="710"/>
      <c r="D7" s="711"/>
      <c r="E7" s="710" t="s">
        <v>29</v>
      </c>
      <c r="F7" s="710"/>
      <c r="G7" s="710"/>
    </row>
    <row r="8" spans="1:7" ht="10.5" customHeight="1" x14ac:dyDescent="0.25">
      <c r="A8" s="627" t="s">
        <v>30</v>
      </c>
      <c r="B8" s="712"/>
      <c r="C8" s="712"/>
      <c r="D8" s="711"/>
      <c r="E8" s="710" t="s">
        <v>31</v>
      </c>
      <c r="F8" s="712"/>
      <c r="G8" s="712"/>
    </row>
    <row r="9" spans="1:7" s="675" customFormat="1" ht="25.5" x14ac:dyDescent="0.25">
      <c r="A9" s="627" t="s">
        <v>91</v>
      </c>
      <c r="B9" s="683">
        <f>SUM(B10:B16)</f>
        <v>168500674.05000001</v>
      </c>
      <c r="C9" s="683">
        <f>SUM(C10:C16)</f>
        <v>109329311.7</v>
      </c>
      <c r="D9" s="713"/>
      <c r="E9" s="710" t="s">
        <v>92</v>
      </c>
      <c r="F9" s="683">
        <f>SUM(F10:F18)</f>
        <v>12623054.33</v>
      </c>
      <c r="G9" s="683">
        <f>SUM(G10:G18)</f>
        <v>73854041.169999987</v>
      </c>
    </row>
    <row r="10" spans="1:7" x14ac:dyDescent="0.25">
      <c r="A10" s="714" t="s">
        <v>93</v>
      </c>
      <c r="B10" s="715">
        <v>21995.95</v>
      </c>
      <c r="C10" s="715">
        <v>-4.05</v>
      </c>
      <c r="D10" s="711"/>
      <c r="E10" s="712" t="s">
        <v>94</v>
      </c>
      <c r="F10" s="715">
        <v>0</v>
      </c>
      <c r="G10" s="715">
        <v>0</v>
      </c>
    </row>
    <row r="11" spans="1:7" x14ac:dyDescent="0.25">
      <c r="A11" s="714" t="s">
        <v>95</v>
      </c>
      <c r="B11" s="715">
        <v>56479673.579999998</v>
      </c>
      <c r="C11" s="715">
        <v>81796141.769999996</v>
      </c>
      <c r="D11" s="711"/>
      <c r="E11" s="712" t="s">
        <v>96</v>
      </c>
      <c r="F11" s="715">
        <v>-0.22</v>
      </c>
      <c r="G11" s="715">
        <v>-0.22</v>
      </c>
    </row>
    <row r="12" spans="1:7" x14ac:dyDescent="0.25">
      <c r="A12" s="714" t="s">
        <v>97</v>
      </c>
      <c r="B12" s="715">
        <v>0</v>
      </c>
      <c r="C12" s="715"/>
      <c r="D12" s="711"/>
      <c r="E12" s="712" t="s">
        <v>98</v>
      </c>
      <c r="F12" s="715">
        <v>11166312.23</v>
      </c>
      <c r="G12" s="715">
        <v>51239421.729999997</v>
      </c>
    </row>
    <row r="13" spans="1:7" x14ac:dyDescent="0.25">
      <c r="A13" s="714" t="s">
        <v>99</v>
      </c>
      <c r="B13" s="715">
        <v>111979279.52</v>
      </c>
      <c r="C13" s="715">
        <v>27513448.98</v>
      </c>
      <c r="D13" s="711"/>
      <c r="E13" s="712" t="s">
        <v>100</v>
      </c>
      <c r="F13" s="715">
        <v>0</v>
      </c>
      <c r="G13" s="715">
        <v>0</v>
      </c>
    </row>
    <row r="14" spans="1:7" x14ac:dyDescent="0.25">
      <c r="A14" s="714" t="s">
        <v>101</v>
      </c>
      <c r="B14" s="715">
        <v>0</v>
      </c>
      <c r="C14" s="715"/>
      <c r="D14" s="711"/>
      <c r="E14" s="712" t="s">
        <v>102</v>
      </c>
      <c r="F14" s="715">
        <v>0</v>
      </c>
      <c r="G14" s="715">
        <v>0</v>
      </c>
    </row>
    <row r="15" spans="1:7" ht="25.5" x14ac:dyDescent="0.25">
      <c r="A15" s="714" t="s">
        <v>103</v>
      </c>
      <c r="B15" s="715">
        <v>19725</v>
      </c>
      <c r="C15" s="715">
        <v>19725</v>
      </c>
      <c r="D15" s="711"/>
      <c r="E15" s="712" t="s">
        <v>104</v>
      </c>
      <c r="F15" s="715">
        <v>0</v>
      </c>
      <c r="G15" s="715">
        <v>0</v>
      </c>
    </row>
    <row r="16" spans="1:7" x14ac:dyDescent="0.25">
      <c r="A16" s="714" t="s">
        <v>105</v>
      </c>
      <c r="B16" s="715">
        <v>0</v>
      </c>
      <c r="C16" s="715">
        <v>0</v>
      </c>
      <c r="D16" s="711"/>
      <c r="E16" s="712" t="s">
        <v>106</v>
      </c>
      <c r="F16" s="715">
        <v>1139399.5</v>
      </c>
      <c r="G16" s="715">
        <v>452300.08</v>
      </c>
    </row>
    <row r="17" spans="1:7" ht="25.5" x14ac:dyDescent="0.25">
      <c r="A17" s="636" t="s">
        <v>107</v>
      </c>
      <c r="B17" s="683">
        <f>SUM(B18:B24)</f>
        <v>497719.2</v>
      </c>
      <c r="C17" s="683">
        <f>SUM(C18:C24)</f>
        <v>520682.20999999996</v>
      </c>
      <c r="D17" s="711"/>
      <c r="E17" s="712" t="s">
        <v>108</v>
      </c>
      <c r="F17" s="715">
        <v>0</v>
      </c>
      <c r="G17" s="715">
        <v>0</v>
      </c>
    </row>
    <row r="18" spans="1:7" x14ac:dyDescent="0.25">
      <c r="A18" s="716" t="s">
        <v>109</v>
      </c>
      <c r="B18" s="715">
        <v>0</v>
      </c>
      <c r="C18" s="715">
        <v>0</v>
      </c>
      <c r="D18" s="711"/>
      <c r="E18" s="712" t="s">
        <v>110</v>
      </c>
      <c r="F18" s="715">
        <v>317342.82</v>
      </c>
      <c r="G18" s="715">
        <v>22162319.579999998</v>
      </c>
    </row>
    <row r="19" spans="1:7" ht="19.5" customHeight="1" x14ac:dyDescent="0.25">
      <c r="A19" s="716" t="s">
        <v>111</v>
      </c>
      <c r="B19" s="715">
        <v>0.01</v>
      </c>
      <c r="C19" s="715">
        <v>40125</v>
      </c>
      <c r="D19" s="711"/>
      <c r="E19" s="710" t="s">
        <v>112</v>
      </c>
      <c r="F19" s="683">
        <f>SUM(F20:F22)</f>
        <v>0</v>
      </c>
      <c r="G19" s="683">
        <f>SUM(G20:G22)</f>
        <v>0</v>
      </c>
    </row>
    <row r="20" spans="1:7" ht="15.75" customHeight="1" x14ac:dyDescent="0.25">
      <c r="A20" s="716" t="s">
        <v>113</v>
      </c>
      <c r="B20" s="715">
        <v>488588.61</v>
      </c>
      <c r="C20" s="715">
        <v>471274.55</v>
      </c>
      <c r="D20" s="711"/>
      <c r="E20" s="712" t="s">
        <v>114</v>
      </c>
      <c r="F20" s="715">
        <v>0</v>
      </c>
      <c r="G20" s="715">
        <v>0</v>
      </c>
    </row>
    <row r="21" spans="1:7" ht="25.5" x14ac:dyDescent="0.25">
      <c r="A21" s="716" t="s">
        <v>115</v>
      </c>
      <c r="B21" s="715">
        <v>9130.58</v>
      </c>
      <c r="C21" s="715">
        <v>9282.66</v>
      </c>
      <c r="D21" s="711"/>
      <c r="E21" s="712" t="s">
        <v>116</v>
      </c>
      <c r="F21" s="715">
        <v>0</v>
      </c>
      <c r="G21" s="715">
        <v>0</v>
      </c>
    </row>
    <row r="22" spans="1:7" ht="14.25" customHeight="1" x14ac:dyDescent="0.25">
      <c r="A22" s="716" t="s">
        <v>117</v>
      </c>
      <c r="B22" s="715">
        <v>0</v>
      </c>
      <c r="C22" s="715">
        <v>0</v>
      </c>
      <c r="D22" s="711"/>
      <c r="E22" s="712" t="s">
        <v>118</v>
      </c>
      <c r="F22" s="715">
        <v>0</v>
      </c>
      <c r="G22" s="715">
        <v>0</v>
      </c>
    </row>
    <row r="23" spans="1:7" ht="25.5" x14ac:dyDescent="0.25">
      <c r="A23" s="716" t="s">
        <v>119</v>
      </c>
      <c r="B23" s="715">
        <v>0</v>
      </c>
      <c r="C23" s="715">
        <v>0</v>
      </c>
      <c r="D23" s="711"/>
      <c r="E23" s="710" t="s">
        <v>120</v>
      </c>
      <c r="F23" s="683">
        <f>SUM(F24:F25)</f>
        <v>0</v>
      </c>
      <c r="G23" s="683">
        <f>SUM(G24:G25)</f>
        <v>0</v>
      </c>
    </row>
    <row r="24" spans="1:7" ht="25.5" x14ac:dyDescent="0.25">
      <c r="A24" s="716" t="s">
        <v>121</v>
      </c>
      <c r="B24" s="715">
        <v>0</v>
      </c>
      <c r="C24" s="715">
        <v>0</v>
      </c>
      <c r="D24" s="711"/>
      <c r="E24" s="712" t="s">
        <v>122</v>
      </c>
      <c r="F24" s="715">
        <v>0</v>
      </c>
      <c r="G24" s="715">
        <v>0</v>
      </c>
    </row>
    <row r="25" spans="1:7" ht="25.5" x14ac:dyDescent="0.25">
      <c r="A25" s="627" t="s">
        <v>123</v>
      </c>
      <c r="B25" s="683">
        <f>SUM(B26:B30)</f>
        <v>41984815.640000001</v>
      </c>
      <c r="C25" s="683">
        <f>SUM(C26:C30)</f>
        <v>29263097.66</v>
      </c>
      <c r="D25" s="711"/>
      <c r="E25" s="712" t="s">
        <v>124</v>
      </c>
      <c r="F25" s="715">
        <v>0</v>
      </c>
      <c r="G25" s="715">
        <v>0</v>
      </c>
    </row>
    <row r="26" spans="1:7" ht="25.5" x14ac:dyDescent="0.25">
      <c r="A26" s="716" t="s">
        <v>125</v>
      </c>
      <c r="B26" s="715">
        <v>0</v>
      </c>
      <c r="C26" s="715"/>
      <c r="D26" s="711"/>
      <c r="E26" s="712" t="s">
        <v>126</v>
      </c>
      <c r="F26" s="715">
        <v>0</v>
      </c>
      <c r="G26" s="715">
        <v>0</v>
      </c>
    </row>
    <row r="27" spans="1:7" ht="25.5" x14ac:dyDescent="0.25">
      <c r="A27" s="716" t="s">
        <v>127</v>
      </c>
      <c r="B27" s="715">
        <v>0</v>
      </c>
      <c r="C27" s="715">
        <v>0</v>
      </c>
      <c r="D27" s="711"/>
      <c r="E27" s="710" t="s">
        <v>128</v>
      </c>
      <c r="F27" s="683">
        <f>SUM(F28:F30)</f>
        <v>0</v>
      </c>
      <c r="G27" s="683">
        <f>SUM(G28:G30)</f>
        <v>0</v>
      </c>
    </row>
    <row r="28" spans="1:7" ht="25.5" x14ac:dyDescent="0.25">
      <c r="A28" s="716" t="s">
        <v>129</v>
      </c>
      <c r="B28" s="715">
        <v>0</v>
      </c>
      <c r="C28" s="715">
        <v>0</v>
      </c>
      <c r="D28" s="711"/>
      <c r="E28" s="712" t="s">
        <v>130</v>
      </c>
      <c r="F28" s="715">
        <v>0</v>
      </c>
      <c r="G28" s="715">
        <v>0</v>
      </c>
    </row>
    <row r="29" spans="1:7" ht="17.25" customHeight="1" x14ac:dyDescent="0.25">
      <c r="A29" s="716" t="s">
        <v>131</v>
      </c>
      <c r="B29" s="715">
        <v>41984815.640000001</v>
      </c>
      <c r="C29" s="715">
        <v>29263097.66</v>
      </c>
      <c r="D29" s="711"/>
      <c r="E29" s="712" t="s">
        <v>132</v>
      </c>
      <c r="F29" s="715">
        <v>0</v>
      </c>
      <c r="G29" s="715">
        <v>0</v>
      </c>
    </row>
    <row r="30" spans="1:7" x14ac:dyDescent="0.25">
      <c r="A30" s="716" t="s">
        <v>133</v>
      </c>
      <c r="B30" s="715">
        <v>0</v>
      </c>
      <c r="C30" s="715">
        <v>0</v>
      </c>
      <c r="D30" s="711"/>
      <c r="E30" s="712" t="s">
        <v>134</v>
      </c>
      <c r="F30" s="715">
        <v>0</v>
      </c>
      <c r="G30" s="715">
        <v>0</v>
      </c>
    </row>
    <row r="31" spans="1:7" ht="25.5" x14ac:dyDescent="0.25">
      <c r="A31" s="627" t="s">
        <v>135</v>
      </c>
      <c r="B31" s="683">
        <f>SUM(B32:B36)</f>
        <v>0</v>
      </c>
      <c r="C31" s="683">
        <f>SUM(C32:C36)</f>
        <v>0</v>
      </c>
      <c r="D31" s="711"/>
      <c r="E31" s="710" t="s">
        <v>136</v>
      </c>
      <c r="F31" s="683">
        <f>SUM(F32:F37)</f>
        <v>0</v>
      </c>
      <c r="G31" s="683">
        <f>SUM(G32:G37)</f>
        <v>0</v>
      </c>
    </row>
    <row r="32" spans="1:7" ht="12.75" customHeight="1" x14ac:dyDescent="0.25">
      <c r="A32" s="716" t="s">
        <v>137</v>
      </c>
      <c r="B32" s="715">
        <v>0</v>
      </c>
      <c r="C32" s="715">
        <v>0</v>
      </c>
      <c r="D32" s="711"/>
      <c r="E32" s="712" t="s">
        <v>138</v>
      </c>
      <c r="F32" s="715">
        <v>0</v>
      </c>
      <c r="G32" s="715">
        <v>0</v>
      </c>
    </row>
    <row r="33" spans="1:7" ht="12.75" customHeight="1" x14ac:dyDescent="0.25">
      <c r="A33" s="716" t="s">
        <v>139</v>
      </c>
      <c r="B33" s="715">
        <v>0</v>
      </c>
      <c r="C33" s="715">
        <v>0</v>
      </c>
      <c r="D33" s="711"/>
      <c r="E33" s="712" t="s">
        <v>140</v>
      </c>
      <c r="F33" s="715">
        <v>0</v>
      </c>
      <c r="G33" s="715">
        <v>0</v>
      </c>
    </row>
    <row r="34" spans="1:7" ht="12.75" customHeight="1" x14ac:dyDescent="0.25">
      <c r="A34" s="716" t="s">
        <v>141</v>
      </c>
      <c r="B34" s="715">
        <v>0</v>
      </c>
      <c r="C34" s="715">
        <v>0</v>
      </c>
      <c r="D34" s="711"/>
      <c r="E34" s="712" t="s">
        <v>142</v>
      </c>
      <c r="F34" s="715">
        <v>0</v>
      </c>
      <c r="G34" s="715">
        <v>0</v>
      </c>
    </row>
    <row r="35" spans="1:7" ht="25.5" x14ac:dyDescent="0.25">
      <c r="A35" s="716" t="s">
        <v>143</v>
      </c>
      <c r="B35" s="715">
        <v>0</v>
      </c>
      <c r="C35" s="715">
        <v>0</v>
      </c>
      <c r="D35" s="719"/>
      <c r="E35" s="712" t="s">
        <v>144</v>
      </c>
      <c r="F35" s="715">
        <v>0</v>
      </c>
      <c r="G35" s="715">
        <v>0</v>
      </c>
    </row>
    <row r="36" spans="1:7" ht="25.5" x14ac:dyDescent="0.25">
      <c r="A36" s="716" t="s">
        <v>145</v>
      </c>
      <c r="B36" s="715">
        <v>0</v>
      </c>
      <c r="C36" s="715">
        <v>0</v>
      </c>
      <c r="D36" s="711"/>
      <c r="E36" s="712" t="s">
        <v>146</v>
      </c>
      <c r="F36" s="715">
        <v>0</v>
      </c>
      <c r="G36" s="715">
        <v>0</v>
      </c>
    </row>
    <row r="37" spans="1:7" ht="16.5" customHeight="1" thickBot="1" x14ac:dyDescent="0.3">
      <c r="A37" s="638" t="s">
        <v>147</v>
      </c>
      <c r="B37" s="718">
        <v>0</v>
      </c>
      <c r="C37" s="718">
        <v>0</v>
      </c>
      <c r="D37" s="708"/>
      <c r="E37" s="709" t="s">
        <v>148</v>
      </c>
      <c r="F37" s="718">
        <v>0</v>
      </c>
      <c r="G37" s="718">
        <v>0</v>
      </c>
    </row>
    <row r="38" spans="1:7" ht="25.5" x14ac:dyDescent="0.25">
      <c r="A38" s="734" t="s">
        <v>149</v>
      </c>
      <c r="B38" s="735">
        <f>SUM(B39:B40)</f>
        <v>0</v>
      </c>
      <c r="C38" s="735">
        <f>SUM(C39:C40)</f>
        <v>0</v>
      </c>
      <c r="D38" s="736"/>
      <c r="E38" s="737" t="s">
        <v>150</v>
      </c>
      <c r="F38" s="735">
        <f>SUM(F39:F41)</f>
        <v>0</v>
      </c>
      <c r="G38" s="735">
        <f>SUM(G39:G41)</f>
        <v>0</v>
      </c>
    </row>
    <row r="39" spans="1:7" ht="25.5" x14ac:dyDescent="0.25">
      <c r="A39" s="716" t="s">
        <v>151</v>
      </c>
      <c r="B39" s="715">
        <v>0</v>
      </c>
      <c r="C39" s="715">
        <v>0</v>
      </c>
      <c r="D39" s="719"/>
      <c r="E39" s="712" t="s">
        <v>152</v>
      </c>
      <c r="F39" s="715">
        <v>0</v>
      </c>
      <c r="G39" s="715">
        <v>0</v>
      </c>
    </row>
    <row r="40" spans="1:7" x14ac:dyDescent="0.25">
      <c r="A40" s="716" t="s">
        <v>153</v>
      </c>
      <c r="B40" s="715">
        <v>0</v>
      </c>
      <c r="C40" s="715">
        <v>0</v>
      </c>
      <c r="D40" s="711"/>
      <c r="E40" s="712" t="s">
        <v>154</v>
      </c>
      <c r="F40" s="715">
        <v>0</v>
      </c>
      <c r="G40" s="715">
        <v>0</v>
      </c>
    </row>
    <row r="41" spans="1:7" ht="12" customHeight="1" x14ac:dyDescent="0.25">
      <c r="A41" s="627" t="s">
        <v>155</v>
      </c>
      <c r="B41" s="683">
        <f>SUM(B42:B45)</f>
        <v>0</v>
      </c>
      <c r="C41" s="683">
        <f>SUM(C42:C45)</f>
        <v>0</v>
      </c>
      <c r="D41" s="711"/>
      <c r="E41" s="712" t="s">
        <v>156</v>
      </c>
      <c r="F41" s="715">
        <v>0</v>
      </c>
      <c r="G41" s="715">
        <v>0</v>
      </c>
    </row>
    <row r="42" spans="1:7" ht="12" customHeight="1" x14ac:dyDescent="0.25">
      <c r="A42" s="716" t="s">
        <v>157</v>
      </c>
      <c r="B42" s="715">
        <v>0</v>
      </c>
      <c r="C42" s="715">
        <v>0</v>
      </c>
      <c r="D42" s="711"/>
      <c r="E42" s="710" t="s">
        <v>158</v>
      </c>
      <c r="F42" s="695">
        <f>SUM(F43:F45)</f>
        <v>859033.65</v>
      </c>
      <c r="G42" s="695">
        <f>SUM(G43:G45)</f>
        <v>54222.74</v>
      </c>
    </row>
    <row r="43" spans="1:7" ht="12" customHeight="1" x14ac:dyDescent="0.25">
      <c r="A43" s="716" t="s">
        <v>159</v>
      </c>
      <c r="B43" s="715">
        <v>0</v>
      </c>
      <c r="C43" s="715">
        <v>0</v>
      </c>
      <c r="D43" s="711"/>
      <c r="E43" s="712" t="s">
        <v>160</v>
      </c>
      <c r="F43" s="715">
        <v>859033.65</v>
      </c>
      <c r="G43" s="715">
        <v>54222.74</v>
      </c>
    </row>
    <row r="44" spans="1:7" ht="25.5" x14ac:dyDescent="0.25">
      <c r="A44" s="716" t="s">
        <v>161</v>
      </c>
      <c r="B44" s="715">
        <v>0</v>
      </c>
      <c r="C44" s="715">
        <v>0</v>
      </c>
      <c r="D44" s="711"/>
      <c r="E44" s="712" t="s">
        <v>162</v>
      </c>
      <c r="F44" s="715">
        <v>0</v>
      </c>
      <c r="G44" s="715">
        <v>0</v>
      </c>
    </row>
    <row r="45" spans="1:7" ht="13.5" customHeight="1" x14ac:dyDescent="0.25">
      <c r="A45" s="716" t="s">
        <v>163</v>
      </c>
      <c r="B45" s="715">
        <v>0</v>
      </c>
      <c r="C45" s="715">
        <v>0</v>
      </c>
      <c r="D45" s="711"/>
      <c r="E45" s="712" t="s">
        <v>164</v>
      </c>
      <c r="F45" s="715">
        <v>0</v>
      </c>
      <c r="G45" s="715">
        <v>0</v>
      </c>
    </row>
    <row r="46" spans="1:7" ht="24" customHeight="1" x14ac:dyDescent="0.25">
      <c r="A46" s="627" t="s">
        <v>165</v>
      </c>
      <c r="B46" s="683">
        <f>+B41+B37+B38+B31+B25+B17+B9</f>
        <v>210983208.89000002</v>
      </c>
      <c r="C46" s="683">
        <f>+C41+C37+C38+C31+C25+C17+C9</f>
        <v>139113091.56999999</v>
      </c>
      <c r="D46" s="711"/>
      <c r="E46" s="710" t="s">
        <v>166</v>
      </c>
      <c r="F46" s="683">
        <f>+F42+F38+F31+F27+F26+F23+F19+F9</f>
        <v>13482087.98</v>
      </c>
      <c r="G46" s="683">
        <f>+G42+G38+G31+G27+G26+G23+G19+G9</f>
        <v>73908263.909999982</v>
      </c>
    </row>
    <row r="47" spans="1:7" x14ac:dyDescent="0.25">
      <c r="A47" s="627" t="s">
        <v>49</v>
      </c>
      <c r="B47" s="717"/>
      <c r="C47" s="717"/>
      <c r="D47" s="719"/>
      <c r="E47" s="710" t="s">
        <v>50</v>
      </c>
      <c r="F47" s="717"/>
      <c r="G47" s="717"/>
    </row>
    <row r="48" spans="1:7" ht="12.75" customHeight="1" x14ac:dyDescent="0.25">
      <c r="A48" s="716" t="s">
        <v>167</v>
      </c>
      <c r="B48" s="715">
        <v>0</v>
      </c>
      <c r="C48" s="715">
        <v>0</v>
      </c>
      <c r="D48" s="711"/>
      <c r="E48" s="712" t="s">
        <v>168</v>
      </c>
      <c r="F48" s="715">
        <v>0</v>
      </c>
      <c r="G48" s="715">
        <v>0</v>
      </c>
    </row>
    <row r="49" spans="1:8" ht="12.75" customHeight="1" x14ac:dyDescent="0.25">
      <c r="A49" s="716" t="s">
        <v>169</v>
      </c>
      <c r="B49" s="715">
        <v>0</v>
      </c>
      <c r="C49" s="715">
        <v>0</v>
      </c>
      <c r="D49" s="711"/>
      <c r="E49" s="712" t="s">
        <v>170</v>
      </c>
      <c r="F49" s="715">
        <v>0</v>
      </c>
      <c r="G49" s="715">
        <v>0</v>
      </c>
    </row>
    <row r="50" spans="1:8" ht="15.75" customHeight="1" x14ac:dyDescent="0.25">
      <c r="A50" s="716" t="s">
        <v>171</v>
      </c>
      <c r="B50" s="715">
        <f>485302735.38+52973085.75</f>
        <v>538275821.13</v>
      </c>
      <c r="C50" s="715">
        <f>500966826.43+52973085.75</f>
        <v>553939912.18000007</v>
      </c>
      <c r="D50" s="711"/>
      <c r="E50" s="712" t="s">
        <v>172</v>
      </c>
      <c r="F50" s="715">
        <v>0</v>
      </c>
      <c r="G50" s="715">
        <v>0</v>
      </c>
    </row>
    <row r="51" spans="1:8" ht="12" customHeight="1" x14ac:dyDescent="0.25">
      <c r="A51" s="716" t="s">
        <v>173</v>
      </c>
      <c r="B51" s="715">
        <f>3261710.23+220994.25+5366322.43+95235.99</f>
        <v>8944262.9000000004</v>
      </c>
      <c r="C51" s="715">
        <f>2980728.78+220994.25+3667172.43+46109.99</f>
        <v>6915005.4500000002</v>
      </c>
      <c r="D51" s="711"/>
      <c r="E51" s="712" t="s">
        <v>174</v>
      </c>
      <c r="F51" s="715">
        <v>0</v>
      </c>
      <c r="G51" s="715">
        <v>0</v>
      </c>
    </row>
    <row r="52" spans="1:8" ht="25.5" x14ac:dyDescent="0.25">
      <c r="A52" s="716" t="s">
        <v>175</v>
      </c>
      <c r="B52" s="715">
        <v>0</v>
      </c>
      <c r="C52" s="715">
        <v>0</v>
      </c>
      <c r="D52" s="711"/>
      <c r="E52" s="712" t="s">
        <v>176</v>
      </c>
      <c r="F52" s="715">
        <v>0</v>
      </c>
      <c r="G52" s="715">
        <v>0</v>
      </c>
    </row>
    <row r="53" spans="1:8" x14ac:dyDescent="0.25">
      <c r="A53" s="716" t="s">
        <v>177</v>
      </c>
      <c r="B53" s="715">
        <v>-5703586.3799999999</v>
      </c>
      <c r="C53" s="715">
        <v>-5166013.6500000004</v>
      </c>
      <c r="D53" s="713"/>
      <c r="E53" s="712" t="s">
        <v>178</v>
      </c>
      <c r="F53" s="715">
        <v>0</v>
      </c>
      <c r="G53" s="715">
        <v>0</v>
      </c>
    </row>
    <row r="54" spans="1:8" ht="11.25" customHeight="1" x14ac:dyDescent="0.25">
      <c r="A54" s="716" t="s">
        <v>179</v>
      </c>
      <c r="B54" s="715">
        <v>0</v>
      </c>
      <c r="C54" s="715">
        <v>0</v>
      </c>
      <c r="D54" s="713"/>
      <c r="E54" s="710"/>
      <c r="F54" s="717"/>
      <c r="G54" s="717"/>
    </row>
    <row r="55" spans="1:8" ht="19.5" customHeight="1" x14ac:dyDescent="0.25">
      <c r="A55" s="716" t="s">
        <v>180</v>
      </c>
      <c r="B55" s="715">
        <v>0</v>
      </c>
      <c r="C55" s="715">
        <v>0</v>
      </c>
      <c r="D55" s="713"/>
      <c r="E55" s="710" t="s">
        <v>181</v>
      </c>
      <c r="F55" s="683">
        <f>SUM(F47:F53)</f>
        <v>0</v>
      </c>
      <c r="G55" s="683">
        <f>SUM(G47:G53)</f>
        <v>0</v>
      </c>
    </row>
    <row r="56" spans="1:8" ht="13.5" customHeight="1" x14ac:dyDescent="0.25">
      <c r="A56" s="716" t="s">
        <v>182</v>
      </c>
      <c r="B56" s="715">
        <v>0</v>
      </c>
      <c r="C56" s="715">
        <v>-0.01</v>
      </c>
      <c r="D56" s="711"/>
      <c r="E56" s="629"/>
      <c r="F56" s="717"/>
      <c r="G56" s="717"/>
    </row>
    <row r="57" spans="1:8" ht="25.5" x14ac:dyDescent="0.25">
      <c r="A57" s="627" t="s">
        <v>183</v>
      </c>
      <c r="B57" s="683">
        <f>SUM(B48:B56)</f>
        <v>541516497.64999998</v>
      </c>
      <c r="C57" s="683">
        <f>SUM(C48:C56)</f>
        <v>555688903.97000015</v>
      </c>
      <c r="D57" s="711"/>
      <c r="E57" s="710" t="s">
        <v>184</v>
      </c>
      <c r="F57" s="683">
        <f>+F46+F55</f>
        <v>13482087.98</v>
      </c>
      <c r="G57" s="683">
        <f>+G46+G55</f>
        <v>73908263.909999982</v>
      </c>
    </row>
    <row r="58" spans="1:8" ht="14.25" customHeight="1" x14ac:dyDescent="0.25">
      <c r="A58" s="716"/>
      <c r="B58" s="717"/>
      <c r="C58" s="717"/>
      <c r="D58" s="713"/>
      <c r="E58" s="710" t="s">
        <v>185</v>
      </c>
      <c r="F58" s="717"/>
      <c r="G58" s="717"/>
    </row>
    <row r="59" spans="1:8" ht="15" customHeight="1" x14ac:dyDescent="0.25">
      <c r="A59" s="627" t="s">
        <v>186</v>
      </c>
      <c r="B59" s="683">
        <f>+B46+B57</f>
        <v>752499706.53999996</v>
      </c>
      <c r="C59" s="683">
        <f>+C46+C57</f>
        <v>694801995.5400002</v>
      </c>
      <c r="D59" s="711"/>
      <c r="E59" s="710" t="s">
        <v>187</v>
      </c>
      <c r="F59" s="683">
        <f>SUM(F60:F62)</f>
        <v>0</v>
      </c>
      <c r="G59" s="683">
        <f>SUM(G60:G62)</f>
        <v>0</v>
      </c>
      <c r="H59" s="423" t="str">
        <f>IF(C59&lt;&gt;'ETCA-I-01'!C33,"ERROR!!!!! ELTOTAL DE ACTIVO, NO CONCUERDA CON LO REPORTADO EN EL ESTADO DE SITUACION FINANCIERA","")</f>
        <v/>
      </c>
    </row>
    <row r="60" spans="1:8" ht="12" customHeight="1" x14ac:dyDescent="0.25">
      <c r="A60" s="716"/>
      <c r="B60" s="720"/>
      <c r="C60" s="720"/>
      <c r="D60" s="711"/>
      <c r="E60" s="712" t="s">
        <v>188</v>
      </c>
      <c r="F60" s="715">
        <v>0</v>
      </c>
      <c r="G60" s="715">
        <v>0</v>
      </c>
      <c r="H60" s="423" t="str">
        <f>IF(B59&lt;&gt;'ETCA-I-01'!B33,"ERROR!!!!! ELTOTAL DE ACTIVO, NO CONCUERDA CON LO REPORTADO EN EL ESTADO DE SITUACION FINANCIERA","")</f>
        <v/>
      </c>
    </row>
    <row r="61" spans="1:8" ht="11.25" customHeight="1" x14ac:dyDescent="0.25">
      <c r="A61" s="716"/>
      <c r="B61" s="720"/>
      <c r="C61" s="720"/>
      <c r="D61" s="711"/>
      <c r="E61" s="712" t="s">
        <v>189</v>
      </c>
      <c r="F61" s="715">
        <v>0</v>
      </c>
      <c r="G61" s="715">
        <v>0</v>
      </c>
    </row>
    <row r="62" spans="1:8" ht="10.5" customHeight="1" x14ac:dyDescent="0.25">
      <c r="A62" s="716"/>
      <c r="B62" s="720"/>
      <c r="C62" s="720"/>
      <c r="D62" s="711"/>
      <c r="E62" s="712" t="s">
        <v>190</v>
      </c>
      <c r="F62" s="715">
        <v>0</v>
      </c>
      <c r="G62" s="715">
        <v>0</v>
      </c>
    </row>
    <row r="63" spans="1:8" ht="25.5" x14ac:dyDescent="0.25">
      <c r="A63" s="716"/>
      <c r="B63" s="720"/>
      <c r="C63" s="720"/>
      <c r="D63" s="711"/>
      <c r="E63" s="710" t="s">
        <v>191</v>
      </c>
      <c r="F63" s="683">
        <f>SUM(F64:F68)</f>
        <v>739017618.55999994</v>
      </c>
      <c r="G63" s="683">
        <f>SUM(G64:G68)</f>
        <v>620893731.63</v>
      </c>
    </row>
    <row r="64" spans="1:8" x14ac:dyDescent="0.25">
      <c r="A64" s="716"/>
      <c r="B64" s="720"/>
      <c r="C64" s="720"/>
      <c r="D64" s="711"/>
      <c r="E64" s="712" t="s">
        <v>192</v>
      </c>
      <c r="F64" s="715">
        <v>368004688.57999998</v>
      </c>
      <c r="G64" s="715">
        <v>373029203.76999998</v>
      </c>
    </row>
    <row r="65" spans="1:8" x14ac:dyDescent="0.25">
      <c r="A65" s="716"/>
      <c r="B65" s="720"/>
      <c r="C65" s="720"/>
      <c r="D65" s="711"/>
      <c r="E65" s="712" t="s">
        <v>193</v>
      </c>
      <c r="F65" s="715">
        <v>371012929.98000002</v>
      </c>
      <c r="G65" s="715">
        <v>247864527.86000001</v>
      </c>
    </row>
    <row r="66" spans="1:8" ht="12.75" customHeight="1" x14ac:dyDescent="0.25">
      <c r="A66" s="716"/>
      <c r="B66" s="720"/>
      <c r="C66" s="720"/>
      <c r="D66" s="711"/>
      <c r="E66" s="712" t="s">
        <v>194</v>
      </c>
      <c r="F66" s="715">
        <v>0</v>
      </c>
      <c r="G66" s="715">
        <v>0</v>
      </c>
    </row>
    <row r="67" spans="1:8" ht="12" customHeight="1" x14ac:dyDescent="0.25">
      <c r="A67" s="716"/>
      <c r="B67" s="720"/>
      <c r="C67" s="720"/>
      <c r="D67" s="711"/>
      <c r="E67" s="712" t="s">
        <v>195</v>
      </c>
      <c r="F67" s="715">
        <v>0</v>
      </c>
      <c r="G67" s="715">
        <v>0</v>
      </c>
    </row>
    <row r="68" spans="1:8" ht="17.25" customHeight="1" x14ac:dyDescent="0.25">
      <c r="A68" s="716"/>
      <c r="B68" s="720"/>
      <c r="C68" s="720"/>
      <c r="D68" s="711"/>
      <c r="E68" s="712" t="s">
        <v>196</v>
      </c>
      <c r="F68" s="715">
        <v>0</v>
      </c>
      <c r="G68" s="715">
        <v>0</v>
      </c>
    </row>
    <row r="69" spans="1:8" ht="25.5" x14ac:dyDescent="0.25">
      <c r="A69" s="716"/>
      <c r="B69" s="720"/>
      <c r="C69" s="720"/>
      <c r="D69" s="711"/>
      <c r="E69" s="710" t="s">
        <v>197</v>
      </c>
      <c r="F69" s="683">
        <f>SUM(F70:F71)</f>
        <v>0</v>
      </c>
      <c r="G69" s="683">
        <f>SUM(G70:G71)</f>
        <v>0</v>
      </c>
    </row>
    <row r="70" spans="1:8" x14ac:dyDescent="0.25">
      <c r="A70" s="716"/>
      <c r="B70" s="720"/>
      <c r="C70" s="720"/>
      <c r="D70" s="711"/>
      <c r="E70" s="712" t="s">
        <v>198</v>
      </c>
      <c r="F70" s="715">
        <v>0</v>
      </c>
      <c r="G70" s="715">
        <v>0</v>
      </c>
    </row>
    <row r="71" spans="1:8" ht="14.25" customHeight="1" x14ac:dyDescent="0.25">
      <c r="A71" s="716"/>
      <c r="B71" s="720"/>
      <c r="C71" s="720"/>
      <c r="D71" s="711"/>
      <c r="E71" s="712" t="s">
        <v>199</v>
      </c>
      <c r="F71" s="715">
        <v>0</v>
      </c>
      <c r="G71" s="715">
        <v>0</v>
      </c>
    </row>
    <row r="72" spans="1:8" ht="15" customHeight="1" x14ac:dyDescent="0.25">
      <c r="A72" s="716"/>
      <c r="B72" s="720"/>
      <c r="C72" s="720"/>
      <c r="D72" s="711"/>
      <c r="E72" s="710" t="s">
        <v>200</v>
      </c>
      <c r="F72" s="683">
        <f>+F59+F63+F69</f>
        <v>739017618.55999994</v>
      </c>
      <c r="G72" s="683">
        <f>+G59+G63+G69</f>
        <v>620893731.63</v>
      </c>
    </row>
    <row r="73" spans="1:8" ht="15" customHeight="1" thickBot="1" x14ac:dyDescent="0.3">
      <c r="A73" s="638"/>
      <c r="B73" s="707"/>
      <c r="C73" s="707"/>
      <c r="D73" s="708"/>
      <c r="E73" s="639" t="s">
        <v>201</v>
      </c>
      <c r="F73" s="769">
        <f>+F57+F72</f>
        <v>752499706.53999996</v>
      </c>
      <c r="G73" s="721">
        <f>+G57+G72</f>
        <v>694801995.53999996</v>
      </c>
      <c r="H73" s="423" t="str">
        <f>IF((G73-'ETCA-I-01'!G52)&gt;0.9,"ERROR!!!!! ELTOTAL DE DEL PATRIMONIO Y HACIENDA PUBLICA, NO CONCUERDA CON LO REPORTADO EN EL ESTADO DE SITUACION FINANCIERA","")</f>
        <v/>
      </c>
    </row>
    <row r="74" spans="1:8" x14ac:dyDescent="0.25">
      <c r="H74" t="str">
        <f>IF(F73&lt;&gt;'ETCA-I-01'!F52,"ERROR!!!!! ELTOTAL DE DEL PATRIMONIO Y HACIENDA PUBLICA, NO CONCUERDA CON LO REPORTADO EN EL ESTADO DE SITUACION FINANCIERA","")</f>
        <v/>
      </c>
    </row>
  </sheetData>
  <sheetProtection password="C115" sheet="1" scenarios="1" formatColumns="0" formatRows="0" insertHyperlinks="0"/>
  <mergeCells count="5">
    <mergeCell ref="A1:G1"/>
    <mergeCell ref="A2:G2"/>
    <mergeCell ref="A4:G4"/>
    <mergeCell ref="A5:G5"/>
    <mergeCell ref="A3:G3"/>
  </mergeCells>
  <printOptions horizontalCentered="1"/>
  <pageMargins left="0.23622047244094491" right="0.23622047244094491" top="0.23622047244094491" bottom="0.23622047244094491" header="0.31496062992125984" footer="0.31496062992125984"/>
  <pageSetup scale="83" orientation="landscape" r:id="rId1"/>
  <rowBreaks count="1" manualBreakCount="1">
    <brk id="37" max="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50"/>
  </sheetPr>
  <dimension ref="A1:I38"/>
  <sheetViews>
    <sheetView view="pageBreakPreview" zoomScale="90" zoomScaleNormal="100" zoomScaleSheetLayoutView="90" workbookViewId="0">
      <selection activeCell="B24" sqref="B24"/>
    </sheetView>
  </sheetViews>
  <sheetFormatPr baseColWidth="10" defaultColWidth="11.28515625" defaultRowHeight="16.5" x14ac:dyDescent="0.3"/>
  <cols>
    <col min="1" max="1" width="4.85546875" style="117" customWidth="1"/>
    <col min="2" max="2" width="41" style="97" customWidth="1"/>
    <col min="3" max="4" width="25.7109375" style="97" customWidth="1"/>
    <col min="5" max="16384" width="11.28515625" style="97"/>
  </cols>
  <sheetData>
    <row r="1" spans="1:6" x14ac:dyDescent="0.3">
      <c r="A1" s="351"/>
      <c r="B1" s="1185" t="s">
        <v>25</v>
      </c>
      <c r="C1" s="1185"/>
      <c r="D1" s="1185"/>
    </row>
    <row r="2" spans="1:6" x14ac:dyDescent="0.3">
      <c r="A2" s="97"/>
      <c r="B2" s="1189" t="s">
        <v>879</v>
      </c>
      <c r="C2" s="1189"/>
      <c r="D2" s="1189"/>
      <c r="F2" s="328"/>
    </row>
    <row r="3" spans="1:6" x14ac:dyDescent="0.3">
      <c r="B3" s="974" t="str">
        <f>'ETCA-I-01'!A3</f>
        <v>Consejo Estatal de Concertacion para la Obra Publica</v>
      </c>
      <c r="C3" s="974"/>
      <c r="D3" s="974"/>
    </row>
    <row r="4" spans="1:6" x14ac:dyDescent="0.3">
      <c r="B4" s="976" t="str">
        <f>'ETCA-I-03'!A4</f>
        <v>Del 01 de Enero  al 30 de Septiembre de 2017</v>
      </c>
      <c r="C4" s="976"/>
      <c r="D4" s="976"/>
    </row>
    <row r="5" spans="1:6" x14ac:dyDescent="0.3">
      <c r="A5" s="820"/>
      <c r="B5" s="1197" t="s">
        <v>880</v>
      </c>
      <c r="C5" s="1197"/>
      <c r="D5" s="242"/>
    </row>
    <row r="6" spans="1:6" ht="6.75" customHeight="1" thickBot="1" x14ac:dyDescent="0.35"/>
    <row r="7" spans="1:6" s="198" customFormat="1" ht="27.95" customHeight="1" x14ac:dyDescent="0.25">
      <c r="A7" s="1190" t="s">
        <v>868</v>
      </c>
      <c r="B7" s="1191"/>
      <c r="C7" s="1198" t="s">
        <v>484</v>
      </c>
      <c r="D7" s="1200" t="s">
        <v>733</v>
      </c>
    </row>
    <row r="8" spans="1:6" s="198" customFormat="1" ht="4.5" customHeight="1" thickBot="1" x14ac:dyDescent="0.3">
      <c r="A8" s="1192"/>
      <c r="B8" s="1193"/>
      <c r="C8" s="1199"/>
      <c r="D8" s="1201"/>
    </row>
    <row r="9" spans="1:6" s="198" customFormat="1" ht="21" customHeight="1" x14ac:dyDescent="0.25">
      <c r="A9" s="1194" t="s">
        <v>874</v>
      </c>
      <c r="B9" s="1195"/>
      <c r="C9" s="1195"/>
      <c r="D9" s="1196"/>
    </row>
    <row r="10" spans="1:6" s="198" customFormat="1" ht="18" customHeight="1" x14ac:dyDescent="0.25">
      <c r="A10" s="335">
        <v>1</v>
      </c>
      <c r="B10" s="336"/>
      <c r="C10" s="352"/>
      <c r="D10" s="353"/>
    </row>
    <row r="11" spans="1:6" s="198" customFormat="1" ht="18" customHeight="1" x14ac:dyDescent="0.25">
      <c r="A11" s="335">
        <v>2</v>
      </c>
      <c r="B11" s="336"/>
      <c r="C11" s="352"/>
      <c r="D11" s="353"/>
    </row>
    <row r="12" spans="1:6" s="198" customFormat="1" ht="18" customHeight="1" x14ac:dyDescent="0.25">
      <c r="A12" s="335">
        <v>3</v>
      </c>
      <c r="B12" s="336" t="s">
        <v>1063</v>
      </c>
      <c r="C12" s="352"/>
      <c r="D12" s="353"/>
    </row>
    <row r="13" spans="1:6" s="198" customFormat="1" ht="18" customHeight="1" x14ac:dyDescent="0.25">
      <c r="A13" s="335">
        <v>4</v>
      </c>
      <c r="B13" s="336"/>
      <c r="C13" s="352"/>
      <c r="D13" s="353"/>
    </row>
    <row r="14" spans="1:6" s="198" customFormat="1" ht="18" customHeight="1" x14ac:dyDescent="0.25">
      <c r="A14" s="335">
        <v>5</v>
      </c>
      <c r="B14" s="336"/>
      <c r="C14" s="352"/>
      <c r="D14" s="353"/>
    </row>
    <row r="15" spans="1:6" s="198" customFormat="1" ht="18" customHeight="1" x14ac:dyDescent="0.25">
      <c r="A15" s="335">
        <v>6</v>
      </c>
      <c r="B15" s="336"/>
      <c r="C15" s="352"/>
      <c r="D15" s="353"/>
    </row>
    <row r="16" spans="1:6" s="198" customFormat="1" ht="18" customHeight="1" x14ac:dyDescent="0.25">
      <c r="A16" s="335">
        <v>7</v>
      </c>
      <c r="B16" s="336"/>
      <c r="C16" s="352"/>
      <c r="D16" s="353"/>
    </row>
    <row r="17" spans="1:4" s="198" customFormat="1" ht="18" customHeight="1" x14ac:dyDescent="0.25">
      <c r="A17" s="335">
        <v>8</v>
      </c>
      <c r="B17" s="336"/>
      <c r="C17" s="352"/>
      <c r="D17" s="353"/>
    </row>
    <row r="18" spans="1:4" s="198" customFormat="1" ht="18" customHeight="1" x14ac:dyDescent="0.25">
      <c r="A18" s="335">
        <v>9</v>
      </c>
      <c r="B18" s="336"/>
      <c r="C18" s="352"/>
      <c r="D18" s="353"/>
    </row>
    <row r="19" spans="1:4" s="198" customFormat="1" ht="18" customHeight="1" x14ac:dyDescent="0.25">
      <c r="A19" s="335">
        <v>10</v>
      </c>
      <c r="B19" s="336"/>
      <c r="C19" s="352"/>
      <c r="D19" s="353"/>
    </row>
    <row r="20" spans="1:4" s="198" customFormat="1" ht="18" customHeight="1" x14ac:dyDescent="0.25">
      <c r="A20" s="335"/>
      <c r="B20" s="340" t="s">
        <v>881</v>
      </c>
      <c r="C20" s="346">
        <f>SUM(C10:C19)</f>
        <v>0</v>
      </c>
      <c r="D20" s="348">
        <f>SUM(D10:D19)</f>
        <v>0</v>
      </c>
    </row>
    <row r="21" spans="1:4" s="198" customFormat="1" ht="21" customHeight="1" x14ac:dyDescent="0.25">
      <c r="A21" s="1186" t="s">
        <v>876</v>
      </c>
      <c r="B21" s="1187"/>
      <c r="C21" s="1187"/>
      <c r="D21" s="1188"/>
    </row>
    <row r="22" spans="1:4" s="198" customFormat="1" ht="18" customHeight="1" x14ac:dyDescent="0.25">
      <c r="A22" s="335">
        <v>1</v>
      </c>
      <c r="B22" s="336"/>
      <c r="C22" s="352"/>
      <c r="D22" s="353"/>
    </row>
    <row r="23" spans="1:4" s="198" customFormat="1" ht="18" customHeight="1" x14ac:dyDescent="0.25">
      <c r="A23" s="335">
        <v>2</v>
      </c>
      <c r="B23" s="336"/>
      <c r="C23" s="352"/>
      <c r="D23" s="353"/>
    </row>
    <row r="24" spans="1:4" s="198" customFormat="1" ht="18" customHeight="1" x14ac:dyDescent="0.25">
      <c r="A24" s="335">
        <v>3</v>
      </c>
      <c r="B24" s="336"/>
      <c r="C24" s="352"/>
      <c r="D24" s="353"/>
    </row>
    <row r="25" spans="1:4" s="198" customFormat="1" ht="18" customHeight="1" x14ac:dyDescent="0.25">
      <c r="A25" s="335">
        <v>4</v>
      </c>
      <c r="B25" s="336"/>
      <c r="C25" s="352"/>
      <c r="D25" s="353"/>
    </row>
    <row r="26" spans="1:4" s="198" customFormat="1" ht="18" customHeight="1" x14ac:dyDescent="0.25">
      <c r="A26" s="335">
        <v>5</v>
      </c>
      <c r="B26" s="336"/>
      <c r="C26" s="352"/>
      <c r="D26" s="353"/>
    </row>
    <row r="27" spans="1:4" s="198" customFormat="1" ht="18" customHeight="1" x14ac:dyDescent="0.25">
      <c r="A27" s="335">
        <v>6</v>
      </c>
      <c r="B27" s="336"/>
      <c r="C27" s="352"/>
      <c r="D27" s="353"/>
    </row>
    <row r="28" spans="1:4" s="198" customFormat="1" ht="18" customHeight="1" x14ac:dyDescent="0.25">
      <c r="A28" s="335">
        <v>7</v>
      </c>
      <c r="B28" s="336"/>
      <c r="C28" s="352"/>
      <c r="D28" s="353"/>
    </row>
    <row r="29" spans="1:4" s="198" customFormat="1" ht="18" customHeight="1" x14ac:dyDescent="0.25">
      <c r="A29" s="335">
        <v>8</v>
      </c>
      <c r="B29" s="336"/>
      <c r="C29" s="352"/>
      <c r="D29" s="353"/>
    </row>
    <row r="30" spans="1:4" s="198" customFormat="1" ht="18" customHeight="1" x14ac:dyDescent="0.25">
      <c r="A30" s="335">
        <v>9</v>
      </c>
      <c r="B30" s="336"/>
      <c r="C30" s="352"/>
      <c r="D30" s="353"/>
    </row>
    <row r="31" spans="1:4" s="198" customFormat="1" ht="18" customHeight="1" x14ac:dyDescent="0.25">
      <c r="A31" s="335">
        <v>10</v>
      </c>
      <c r="B31" s="336"/>
      <c r="C31" s="352" t="s">
        <v>258</v>
      </c>
      <c r="D31" s="353"/>
    </row>
    <row r="32" spans="1:4" s="342" customFormat="1" ht="18" customHeight="1" thickBot="1" x14ac:dyDescent="0.35">
      <c r="A32" s="335"/>
      <c r="B32" s="341" t="s">
        <v>882</v>
      </c>
      <c r="C32" s="346">
        <f>SUM(C22:C31)</f>
        <v>0</v>
      </c>
      <c r="D32" s="348">
        <f>SUM(D22:D31)</f>
        <v>0</v>
      </c>
    </row>
    <row r="33" spans="1:9" ht="27.95" customHeight="1" thickBot="1" x14ac:dyDescent="0.35">
      <c r="A33" s="343"/>
      <c r="B33" s="344" t="s">
        <v>878</v>
      </c>
      <c r="C33" s="349">
        <f>SUM(C32,C20)</f>
        <v>0</v>
      </c>
      <c r="D33" s="354">
        <f>SUM(D32,D20)</f>
        <v>0</v>
      </c>
    </row>
    <row r="34" spans="1:9" s="518" customFormat="1" ht="18" customHeight="1" x14ac:dyDescent="0.3">
      <c r="A34" s="445" t="s">
        <v>86</v>
      </c>
      <c r="B34" s="97"/>
      <c r="C34" s="97"/>
      <c r="D34" s="97"/>
      <c r="E34" s="97"/>
    </row>
    <row r="35" spans="1:9" s="518" customFormat="1" ht="18" customHeight="1" x14ac:dyDescent="0.3">
      <c r="A35" s="41"/>
      <c r="B35" s="97"/>
      <c r="C35" s="97"/>
      <c r="D35" s="97"/>
      <c r="E35" s="97"/>
    </row>
    <row r="36" spans="1:9" s="518" customFormat="1" ht="18" customHeight="1" x14ac:dyDescent="0.3">
      <c r="A36" s="41"/>
      <c r="B36" s="97"/>
      <c r="C36" s="97"/>
      <c r="D36" s="97"/>
      <c r="E36" s="97"/>
    </row>
    <row r="37" spans="1:9" s="519" customFormat="1" ht="17.100000000000001" customHeight="1" x14ac:dyDescent="0.3">
      <c r="A37" s="515"/>
      <c r="B37" s="516"/>
      <c r="C37" s="517"/>
      <c r="D37" s="517"/>
    </row>
    <row r="38" spans="1:9" ht="17.100000000000001" customHeight="1" x14ac:dyDescent="0.3">
      <c r="A38" s="41"/>
      <c r="I38" s="345"/>
    </row>
  </sheetData>
  <sheetProtection password="C115" sheet="1" scenarios="1" insertHyperlinks="0"/>
  <mergeCells count="10">
    <mergeCell ref="A7:B8"/>
    <mergeCell ref="A9:D9"/>
    <mergeCell ref="A21:D21"/>
    <mergeCell ref="C7:C8"/>
    <mergeCell ref="D7:D8"/>
    <mergeCell ref="B1:D1"/>
    <mergeCell ref="B2:D2"/>
    <mergeCell ref="B3:D3"/>
    <mergeCell ref="B4:D4"/>
    <mergeCell ref="B5:C5"/>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45"/>
  <sheetViews>
    <sheetView view="pageBreakPreview" zoomScaleNormal="100" zoomScaleSheetLayoutView="100" workbookViewId="0">
      <selection activeCell="E11" sqref="E11:F11"/>
    </sheetView>
  </sheetViews>
  <sheetFormatPr baseColWidth="10" defaultColWidth="11.28515625" defaultRowHeight="15" x14ac:dyDescent="0.25"/>
  <cols>
    <col min="1" max="1" width="47.7109375" style="365" bestFit="1" customWidth="1"/>
    <col min="2" max="2" width="11.28515625" style="355"/>
    <col min="3" max="3" width="12.28515625" style="355" customWidth="1"/>
    <col min="4" max="16384" width="11.28515625" style="355"/>
  </cols>
  <sheetData>
    <row r="1" spans="1:7" ht="16.5" customHeight="1" x14ac:dyDescent="0.25">
      <c r="A1" s="1202" t="s">
        <v>25</v>
      </c>
      <c r="B1" s="1202"/>
      <c r="C1" s="1202"/>
      <c r="D1" s="1202"/>
      <c r="E1" s="1202"/>
      <c r="F1" s="1202"/>
      <c r="G1" s="1202"/>
    </row>
    <row r="2" spans="1:7" ht="16.5" customHeight="1" x14ac:dyDescent="0.25">
      <c r="A2" s="1202" t="s">
        <v>883</v>
      </c>
      <c r="B2" s="1202"/>
      <c r="C2" s="1202"/>
      <c r="D2" s="1202"/>
      <c r="E2" s="1202"/>
      <c r="F2" s="1202"/>
      <c r="G2" s="1202"/>
    </row>
    <row r="3" spans="1:7" ht="15.75" x14ac:dyDescent="0.25">
      <c r="A3" s="1204" t="str">
        <f>'ETCA-I-01'!A3:G3</f>
        <v>Consejo Estatal de Concertacion para la Obra Publica</v>
      </c>
      <c r="B3" s="1204"/>
      <c r="C3" s="1204"/>
      <c r="D3" s="1204"/>
      <c r="E3" s="1204"/>
      <c r="F3" s="1204"/>
      <c r="G3" s="1204"/>
    </row>
    <row r="4" spans="1:7" ht="16.5" x14ac:dyDescent="0.25">
      <c r="A4" s="1203" t="str">
        <f>'ETCA-I-03'!A4:D4</f>
        <v>Del 01 de Enero  al 30 de Septiembre de 2017</v>
      </c>
      <c r="B4" s="1203"/>
      <c r="C4" s="1203"/>
      <c r="D4" s="1203"/>
      <c r="E4" s="1203"/>
      <c r="F4" s="1203"/>
      <c r="G4" s="1203"/>
    </row>
    <row r="5" spans="1:7" ht="17.25" thickBot="1" x14ac:dyDescent="0.3">
      <c r="A5" s="356"/>
      <c r="B5" s="1205" t="s">
        <v>884</v>
      </c>
      <c r="C5" s="1205"/>
      <c r="D5" s="1205"/>
      <c r="E5" s="160"/>
      <c r="F5" s="42"/>
      <c r="G5" s="524"/>
    </row>
    <row r="6" spans="1:7" ht="38.25" x14ac:dyDescent="0.25">
      <c r="A6" s="1130" t="s">
        <v>261</v>
      </c>
      <c r="B6" s="195" t="s">
        <v>572</v>
      </c>
      <c r="C6" s="195" t="s">
        <v>482</v>
      </c>
      <c r="D6" s="195" t="s">
        <v>573</v>
      </c>
      <c r="E6" s="196" t="s">
        <v>885</v>
      </c>
      <c r="F6" s="196" t="s">
        <v>886</v>
      </c>
      <c r="G6" s="195" t="s">
        <v>576</v>
      </c>
    </row>
    <row r="7" spans="1:7" ht="15.75" thickBot="1" x14ac:dyDescent="0.3">
      <c r="A7" s="1131"/>
      <c r="B7" s="294" t="s">
        <v>447</v>
      </c>
      <c r="C7" s="294" t="s">
        <v>448</v>
      </c>
      <c r="D7" s="294" t="s">
        <v>577</v>
      </c>
      <c r="E7" s="357" t="s">
        <v>450</v>
      </c>
      <c r="F7" s="357" t="s">
        <v>451</v>
      </c>
      <c r="G7" s="294" t="s">
        <v>578</v>
      </c>
    </row>
    <row r="8" spans="1:7" ht="16.5" x14ac:dyDescent="0.25">
      <c r="A8" s="366"/>
      <c r="B8" s="358"/>
      <c r="C8" s="358"/>
      <c r="D8" s="358"/>
      <c r="E8" s="358"/>
      <c r="F8" s="358"/>
      <c r="G8" s="358"/>
    </row>
    <row r="9" spans="1:7" s="361" customFormat="1" x14ac:dyDescent="0.25">
      <c r="A9" s="359" t="s">
        <v>887</v>
      </c>
      <c r="B9" s="360"/>
      <c r="C9" s="360"/>
      <c r="D9" s="360"/>
      <c r="E9" s="360"/>
      <c r="F9" s="360"/>
      <c r="G9" s="360"/>
    </row>
    <row r="10" spans="1:7" s="363" customFormat="1" x14ac:dyDescent="0.25">
      <c r="A10" s="362" t="s">
        <v>888</v>
      </c>
      <c r="B10" s="448">
        <f>B11+B12+B13</f>
        <v>431991645.12</v>
      </c>
      <c r="C10" s="448">
        <f>C11+C12+C13</f>
        <v>261387538.46999994</v>
      </c>
      <c r="D10" s="448">
        <f>SUM(D11:D13)</f>
        <v>693379183.58999991</v>
      </c>
      <c r="E10" s="448">
        <f>E11+E12+E13</f>
        <v>221644805.09999996</v>
      </c>
      <c r="F10" s="448">
        <f>F11+F12+F13</f>
        <v>221644805.09999996</v>
      </c>
      <c r="G10" s="448">
        <f>SUM(G11:G13)</f>
        <v>471734378.48999995</v>
      </c>
    </row>
    <row r="11" spans="1:7" s="364" customFormat="1" x14ac:dyDescent="0.25">
      <c r="A11" s="367" t="s">
        <v>889</v>
      </c>
      <c r="B11" s="449">
        <v>431991645.12</v>
      </c>
      <c r="C11" s="449">
        <v>261387538.46999994</v>
      </c>
      <c r="D11" s="450">
        <f>B11+C11</f>
        <v>693379183.58999991</v>
      </c>
      <c r="E11" s="449">
        <v>221644805.09999996</v>
      </c>
      <c r="F11" s="449">
        <v>221644805.09999996</v>
      </c>
      <c r="G11" s="450">
        <f>D11-E11</f>
        <v>471734378.48999995</v>
      </c>
    </row>
    <row r="12" spans="1:7" s="364" customFormat="1" x14ac:dyDescent="0.25">
      <c r="A12" s="367" t="s">
        <v>890</v>
      </c>
      <c r="B12" s="449"/>
      <c r="C12" s="449"/>
      <c r="D12" s="450">
        <f>B12+C12</f>
        <v>0</v>
      </c>
      <c r="E12" s="449"/>
      <c r="F12" s="449"/>
      <c r="G12" s="450">
        <f>D12-E12</f>
        <v>0</v>
      </c>
    </row>
    <row r="13" spans="1:7" s="364" customFormat="1" x14ac:dyDescent="0.25">
      <c r="A13" s="367" t="s">
        <v>891</v>
      </c>
      <c r="B13" s="449"/>
      <c r="C13" s="449"/>
      <c r="D13" s="450">
        <f>B13+C13</f>
        <v>0</v>
      </c>
      <c r="E13" s="449"/>
      <c r="F13" s="449"/>
      <c r="G13" s="450">
        <f>D13-E13</f>
        <v>0</v>
      </c>
    </row>
    <row r="14" spans="1:7" s="363" customFormat="1" x14ac:dyDescent="0.25">
      <c r="A14" s="362" t="s">
        <v>892</v>
      </c>
      <c r="B14" s="448">
        <f t="shared" ref="B14:G14" si="0">SUM(B15:B22)</f>
        <v>0</v>
      </c>
      <c r="C14" s="448">
        <f t="shared" si="0"/>
        <v>0</v>
      </c>
      <c r="D14" s="448">
        <f t="shared" si="0"/>
        <v>0</v>
      </c>
      <c r="E14" s="448">
        <f t="shared" si="0"/>
        <v>0</v>
      </c>
      <c r="F14" s="448">
        <f t="shared" si="0"/>
        <v>0</v>
      </c>
      <c r="G14" s="448">
        <f t="shared" si="0"/>
        <v>0</v>
      </c>
    </row>
    <row r="15" spans="1:7" s="364" customFormat="1" x14ac:dyDescent="0.25">
      <c r="A15" s="367" t="s">
        <v>893</v>
      </c>
      <c r="B15" s="449"/>
      <c r="C15" s="449"/>
      <c r="D15" s="450">
        <f t="shared" ref="D15:D22" si="1">B15+C15</f>
        <v>0</v>
      </c>
      <c r="E15" s="449"/>
      <c r="F15" s="449"/>
      <c r="G15" s="450">
        <f>D15-E15</f>
        <v>0</v>
      </c>
    </row>
    <row r="16" spans="1:7" s="364" customFormat="1" x14ac:dyDescent="0.25">
      <c r="A16" s="367" t="s">
        <v>894</v>
      </c>
      <c r="B16" s="449"/>
      <c r="C16" s="449"/>
      <c r="D16" s="450">
        <f t="shared" si="1"/>
        <v>0</v>
      </c>
      <c r="E16" s="449"/>
      <c r="F16" s="449"/>
      <c r="G16" s="450">
        <f t="shared" ref="G16:G39" si="2">D16-E16</f>
        <v>0</v>
      </c>
    </row>
    <row r="17" spans="1:7" s="364" customFormat="1" x14ac:dyDescent="0.25">
      <c r="A17" s="367" t="s">
        <v>895</v>
      </c>
      <c r="B17" s="449"/>
      <c r="C17" s="449"/>
      <c r="D17" s="450">
        <f t="shared" si="1"/>
        <v>0</v>
      </c>
      <c r="E17" s="449"/>
      <c r="F17" s="449"/>
      <c r="G17" s="450">
        <f t="shared" si="2"/>
        <v>0</v>
      </c>
    </row>
    <row r="18" spans="1:7" s="364" customFormat="1" x14ac:dyDescent="0.25">
      <c r="A18" s="367" t="s">
        <v>896</v>
      </c>
      <c r="B18" s="449"/>
      <c r="C18" s="449"/>
      <c r="D18" s="450">
        <f t="shared" si="1"/>
        <v>0</v>
      </c>
      <c r="E18" s="449"/>
      <c r="F18" s="449"/>
      <c r="G18" s="450">
        <f t="shared" si="2"/>
        <v>0</v>
      </c>
    </row>
    <row r="19" spans="1:7" s="364" customFormat="1" x14ac:dyDescent="0.25">
      <c r="A19" s="367" t="s">
        <v>897</v>
      </c>
      <c r="B19" s="449"/>
      <c r="C19" s="449"/>
      <c r="D19" s="450">
        <f t="shared" si="1"/>
        <v>0</v>
      </c>
      <c r="E19" s="449"/>
      <c r="F19" s="449"/>
      <c r="G19" s="450">
        <f t="shared" si="2"/>
        <v>0</v>
      </c>
    </row>
    <row r="20" spans="1:7" s="364" customFormat="1" ht="27" x14ac:dyDescent="0.25">
      <c r="A20" s="367" t="s">
        <v>898</v>
      </c>
      <c r="B20" s="449"/>
      <c r="C20" s="449"/>
      <c r="D20" s="450">
        <f t="shared" si="1"/>
        <v>0</v>
      </c>
      <c r="E20" s="449"/>
      <c r="F20" s="449"/>
      <c r="G20" s="450">
        <f t="shared" si="2"/>
        <v>0</v>
      </c>
    </row>
    <row r="21" spans="1:7" s="364" customFormat="1" x14ac:dyDescent="0.25">
      <c r="A21" s="367" t="s">
        <v>899</v>
      </c>
      <c r="B21" s="449"/>
      <c r="C21" s="449"/>
      <c r="D21" s="450">
        <f t="shared" si="1"/>
        <v>0</v>
      </c>
      <c r="E21" s="449"/>
      <c r="F21" s="449"/>
      <c r="G21" s="450">
        <f t="shared" si="2"/>
        <v>0</v>
      </c>
    </row>
    <row r="22" spans="1:7" s="364" customFormat="1" x14ac:dyDescent="0.25">
      <c r="A22" s="367" t="s">
        <v>900</v>
      </c>
      <c r="B22" s="449"/>
      <c r="C22" s="449"/>
      <c r="D22" s="450">
        <f t="shared" si="1"/>
        <v>0</v>
      </c>
      <c r="E22" s="449"/>
      <c r="F22" s="449"/>
      <c r="G22" s="450">
        <f t="shared" si="2"/>
        <v>0</v>
      </c>
    </row>
    <row r="23" spans="1:7" s="363" customFormat="1" x14ac:dyDescent="0.25">
      <c r="A23" s="362" t="s">
        <v>901</v>
      </c>
      <c r="B23" s="448">
        <f t="shared" ref="B23:G23" si="3">SUM(B24:B26)</f>
        <v>0</v>
      </c>
      <c r="C23" s="448">
        <f t="shared" si="3"/>
        <v>0</v>
      </c>
      <c r="D23" s="448">
        <f t="shared" si="3"/>
        <v>0</v>
      </c>
      <c r="E23" s="448">
        <f t="shared" si="3"/>
        <v>0</v>
      </c>
      <c r="F23" s="448">
        <f t="shared" si="3"/>
        <v>0</v>
      </c>
      <c r="G23" s="448">
        <f t="shared" si="3"/>
        <v>0</v>
      </c>
    </row>
    <row r="24" spans="1:7" s="364" customFormat="1" ht="27" x14ac:dyDescent="0.25">
      <c r="A24" s="367" t="s">
        <v>902</v>
      </c>
      <c r="B24" s="449"/>
      <c r="C24" s="449"/>
      <c r="D24" s="450">
        <f>B24+C24</f>
        <v>0</v>
      </c>
      <c r="E24" s="449"/>
      <c r="F24" s="449"/>
      <c r="G24" s="450">
        <f t="shared" si="2"/>
        <v>0</v>
      </c>
    </row>
    <row r="25" spans="1:7" s="364" customFormat="1" x14ac:dyDescent="0.25">
      <c r="A25" s="367" t="s">
        <v>903</v>
      </c>
      <c r="B25" s="449"/>
      <c r="C25" s="449"/>
      <c r="D25" s="450">
        <f>B25+C25</f>
        <v>0</v>
      </c>
      <c r="E25" s="449"/>
      <c r="F25" s="449"/>
      <c r="G25" s="450">
        <f t="shared" si="2"/>
        <v>0</v>
      </c>
    </row>
    <row r="26" spans="1:7" s="364" customFormat="1" x14ac:dyDescent="0.25">
      <c r="A26" s="367" t="s">
        <v>904</v>
      </c>
      <c r="B26" s="449"/>
      <c r="C26" s="449"/>
      <c r="D26" s="450">
        <f>B26+C26</f>
        <v>0</v>
      </c>
      <c r="E26" s="449"/>
      <c r="F26" s="449"/>
      <c r="G26" s="450">
        <f t="shared" si="2"/>
        <v>0</v>
      </c>
    </row>
    <row r="27" spans="1:7" s="363" customFormat="1" x14ac:dyDescent="0.25">
      <c r="A27" s="362" t="s">
        <v>905</v>
      </c>
      <c r="B27" s="448">
        <f>B28+B29</f>
        <v>0</v>
      </c>
      <c r="C27" s="448">
        <f>C28+C29</f>
        <v>0</v>
      </c>
      <c r="D27" s="448">
        <f>SUM(D28:D29)</f>
        <v>0</v>
      </c>
      <c r="E27" s="448">
        <f>E28+E29</f>
        <v>0</v>
      </c>
      <c r="F27" s="448">
        <f>F28+F29</f>
        <v>0</v>
      </c>
      <c r="G27" s="448">
        <f>SUM(G28:G29)</f>
        <v>0</v>
      </c>
    </row>
    <row r="28" spans="1:7" s="364" customFormat="1" x14ac:dyDescent="0.25">
      <c r="A28" s="367" t="s">
        <v>906</v>
      </c>
      <c r="B28" s="449"/>
      <c r="C28" s="449"/>
      <c r="D28" s="450">
        <f>B28+C28</f>
        <v>0</v>
      </c>
      <c r="E28" s="449"/>
      <c r="F28" s="449"/>
      <c r="G28" s="450">
        <f t="shared" si="2"/>
        <v>0</v>
      </c>
    </row>
    <row r="29" spans="1:7" s="364" customFormat="1" x14ac:dyDescent="0.25">
      <c r="A29" s="367" t="s">
        <v>907</v>
      </c>
      <c r="B29" s="449"/>
      <c r="C29" s="449"/>
      <c r="D29" s="450">
        <f>B29+C29</f>
        <v>0</v>
      </c>
      <c r="E29" s="449"/>
      <c r="F29" s="449"/>
      <c r="G29" s="450">
        <f t="shared" si="2"/>
        <v>0</v>
      </c>
    </row>
    <row r="30" spans="1:7" s="363" customFormat="1" x14ac:dyDescent="0.25">
      <c r="A30" s="362" t="s">
        <v>908</v>
      </c>
      <c r="B30" s="448">
        <f>B31+B32+B33+B34</f>
        <v>0</v>
      </c>
      <c r="C30" s="448">
        <f>C31+C32+C33+C34</f>
        <v>0</v>
      </c>
      <c r="D30" s="448">
        <f>SUM(D31:D34)</f>
        <v>0</v>
      </c>
      <c r="E30" s="448">
        <f>E31+E32+E33+E34</f>
        <v>0</v>
      </c>
      <c r="F30" s="448">
        <f>F31+F32+F33+F34</f>
        <v>0</v>
      </c>
      <c r="G30" s="448">
        <f>SUM(G31:G34)</f>
        <v>0</v>
      </c>
    </row>
    <row r="31" spans="1:7" s="364" customFormat="1" x14ac:dyDescent="0.25">
      <c r="A31" s="367" t="s">
        <v>232</v>
      </c>
      <c r="B31" s="449"/>
      <c r="C31" s="449"/>
      <c r="D31" s="450">
        <f>B31+C31</f>
        <v>0</v>
      </c>
      <c r="E31" s="449"/>
      <c r="F31" s="449"/>
      <c r="G31" s="450">
        <f t="shared" si="2"/>
        <v>0</v>
      </c>
    </row>
    <row r="32" spans="1:7" s="364" customFormat="1" x14ac:dyDescent="0.25">
      <c r="A32" s="367" t="s">
        <v>909</v>
      </c>
      <c r="B32" s="449"/>
      <c r="C32" s="449"/>
      <c r="D32" s="450">
        <f>B32+C32</f>
        <v>0</v>
      </c>
      <c r="E32" s="449"/>
      <c r="F32" s="449"/>
      <c r="G32" s="450">
        <f t="shared" si="2"/>
        <v>0</v>
      </c>
    </row>
    <row r="33" spans="1:8" s="364" customFormat="1" x14ac:dyDescent="0.25">
      <c r="A33" s="367" t="s">
        <v>910</v>
      </c>
      <c r="B33" s="449"/>
      <c r="C33" s="449"/>
      <c r="D33" s="450">
        <f>B33+C33</f>
        <v>0</v>
      </c>
      <c r="E33" s="449"/>
      <c r="F33" s="449"/>
      <c r="G33" s="450">
        <f t="shared" si="2"/>
        <v>0</v>
      </c>
    </row>
    <row r="34" spans="1:8" s="364" customFormat="1" x14ac:dyDescent="0.25">
      <c r="A34" s="367" t="s">
        <v>911</v>
      </c>
      <c r="B34" s="449"/>
      <c r="C34" s="449"/>
      <c r="D34" s="450">
        <f>B34+C34</f>
        <v>0</v>
      </c>
      <c r="E34" s="449"/>
      <c r="F34" s="449"/>
      <c r="G34" s="450">
        <f t="shared" si="2"/>
        <v>0</v>
      </c>
    </row>
    <row r="35" spans="1:8" s="363" customFormat="1" x14ac:dyDescent="0.25">
      <c r="A35" s="362" t="s">
        <v>912</v>
      </c>
      <c r="B35" s="448">
        <f t="shared" ref="B35:G35" si="4">B36</f>
        <v>0</v>
      </c>
      <c r="C35" s="448">
        <f t="shared" si="4"/>
        <v>0</v>
      </c>
      <c r="D35" s="448">
        <f t="shared" si="4"/>
        <v>0</v>
      </c>
      <c r="E35" s="448">
        <f t="shared" si="4"/>
        <v>0</v>
      </c>
      <c r="F35" s="448">
        <f t="shared" si="4"/>
        <v>0</v>
      </c>
      <c r="G35" s="448">
        <f t="shared" si="4"/>
        <v>0</v>
      </c>
    </row>
    <row r="36" spans="1:8" s="364" customFormat="1" x14ac:dyDescent="0.25">
      <c r="A36" s="367" t="s">
        <v>913</v>
      </c>
      <c r="B36" s="449"/>
      <c r="C36" s="449"/>
      <c r="D36" s="450">
        <f>B36+C36</f>
        <v>0</v>
      </c>
      <c r="E36" s="449"/>
      <c r="F36" s="449"/>
      <c r="G36" s="450">
        <f t="shared" si="2"/>
        <v>0</v>
      </c>
    </row>
    <row r="37" spans="1:8" s="363" customFormat="1" x14ac:dyDescent="0.25">
      <c r="A37" s="362" t="s">
        <v>914</v>
      </c>
      <c r="B37" s="451"/>
      <c r="C37" s="451"/>
      <c r="D37" s="448">
        <f>B37+C37</f>
        <v>0</v>
      </c>
      <c r="E37" s="451"/>
      <c r="F37" s="451"/>
      <c r="G37" s="448">
        <f t="shared" si="2"/>
        <v>0</v>
      </c>
    </row>
    <row r="38" spans="1:8" s="363" customFormat="1" ht="27" x14ac:dyDescent="0.25">
      <c r="A38" s="362" t="s">
        <v>915</v>
      </c>
      <c r="B38" s="451"/>
      <c r="C38" s="451"/>
      <c r="D38" s="448">
        <f>B38+C38</f>
        <v>0</v>
      </c>
      <c r="E38" s="451"/>
      <c r="F38" s="451"/>
      <c r="G38" s="448">
        <f t="shared" si="2"/>
        <v>0</v>
      </c>
    </row>
    <row r="39" spans="1:8" s="363" customFormat="1" ht="15.75" thickBot="1" x14ac:dyDescent="0.3">
      <c r="A39" s="362" t="s">
        <v>916</v>
      </c>
      <c r="B39" s="451"/>
      <c r="C39" s="451"/>
      <c r="D39" s="448">
        <f>B39+C39</f>
        <v>0</v>
      </c>
      <c r="E39" s="451"/>
      <c r="F39" s="451"/>
      <c r="G39" s="448">
        <f t="shared" si="2"/>
        <v>0</v>
      </c>
    </row>
    <row r="40" spans="1:8" ht="32.25" customHeight="1" thickBot="1" x14ac:dyDescent="0.3">
      <c r="A40" s="368" t="s">
        <v>628</v>
      </c>
      <c r="B40" s="452">
        <f t="shared" ref="B40:G40" si="5">SUM(B$10,B$14,B$23,B$27,B$30,B$35,B$37,B$38,B$39)</f>
        <v>431991645.12</v>
      </c>
      <c r="C40" s="452">
        <f t="shared" si="5"/>
        <v>261387538.46999994</v>
      </c>
      <c r="D40" s="452">
        <f t="shared" si="5"/>
        <v>693379183.58999991</v>
      </c>
      <c r="E40" s="452">
        <f t="shared" si="5"/>
        <v>221644805.09999996</v>
      </c>
      <c r="F40" s="452">
        <f t="shared" si="5"/>
        <v>221644805.09999996</v>
      </c>
      <c r="G40" s="452">
        <f t="shared" si="5"/>
        <v>471734378.48999995</v>
      </c>
      <c r="H40" s="522" t="str">
        <f>IF((B40-'ETCA II-04'!B81)&gt;0.9,"ERROR!!!!! EL MONTO NO COINCIDE CON LO REPORTADO EN EL FORMATO ETCA-II-04 EN EL TOTAL APROBADO ANUAL DEL ANALÍTICO DE EGRESOS","")</f>
        <v/>
      </c>
    </row>
    <row r="41" spans="1:8" ht="18" customHeight="1" x14ac:dyDescent="0.25">
      <c r="A41" s="520"/>
      <c r="B41" s="523"/>
      <c r="C41" s="523"/>
      <c r="D41" s="523"/>
      <c r="E41" s="523"/>
      <c r="F41" s="523"/>
      <c r="G41" s="523"/>
      <c r="H41" s="522" t="str">
        <f>IF((C40-'ETCA II-04'!C81)&gt;0.9,"ERROR!!!!! EL MONTO NO COINCIDE CON LO REPORTADO EN EL FORMATO ETCA-II-04 EN EL TOTAL DE AMPLIACIONES/REDUCCIONES PRESENTADO EN EL ANALÍTICO DE EGRESOS","")</f>
        <v/>
      </c>
    </row>
    <row r="42" spans="1:8" ht="18" customHeight="1" x14ac:dyDescent="0.25">
      <c r="A42" s="520"/>
      <c r="B42" s="523"/>
      <c r="C42" s="523"/>
      <c r="D42" s="523"/>
      <c r="E42" s="523"/>
      <c r="F42" s="523"/>
      <c r="G42" s="523"/>
      <c r="H42" s="522" t="str">
        <f>IF((D40-'ETCA II-04'!D81)&gt;0.9,"ERROR!!!!! EL MONTO NO COINCIDE CON LO REPORTADO EN EL FORMATO ETCA-II-04 EN EL TOTAL MODIFICADO ANUAL PRESENTADO EN EL ANALÍTICO DE EGRESOS","")</f>
        <v/>
      </c>
    </row>
    <row r="43" spans="1:8" ht="18" customHeight="1" x14ac:dyDescent="0.25">
      <c r="A43" s="520"/>
      <c r="B43" s="523"/>
      <c r="C43" s="523"/>
      <c r="D43" s="523"/>
      <c r="E43" s="523"/>
      <c r="F43" s="523"/>
      <c r="G43" s="523"/>
      <c r="H43" s="522" t="str">
        <f>IF((E40-'ETCA II-04'!E81)&gt;0.9,"ERROR!!!!! EL MONTO NO COINCIDE CON LO REPORTADO EN EL FORMATO ETCA-II-04 EN EL TOTAL DEVENGADO ANUAL PRESENTADO EN EL ANALÍTICO DE EGRESOS","")</f>
        <v/>
      </c>
    </row>
    <row r="44" spans="1:8" ht="18" customHeight="1" x14ac:dyDescent="0.25">
      <c r="A44" s="520"/>
      <c r="B44" s="523"/>
      <c r="C44" s="523"/>
      <c r="D44" s="523"/>
      <c r="E44" s="523"/>
      <c r="F44" s="523"/>
      <c r="G44" s="523"/>
      <c r="H44" s="522" t="str">
        <f>IF((F40-'ETCA II-04'!F81)&gt;0.9,"ERROR!!!!! EL MONTO NO COINCIDE CON LO REPORTADO EN EL FORMATO ETCA-II-04 EN EL TOTAL PAGADO ANUAL PRESENTADO EN EL ANALÍTICO DE EGRESOS","")</f>
        <v/>
      </c>
    </row>
    <row r="45" spans="1:8" ht="18" customHeight="1" x14ac:dyDescent="0.25">
      <c r="H45" s="522" t="str">
        <f>IF((G40-'ETCA II-04'!G81)&gt;0.9,"ERROR!!!!! EL MONTO NO COINCIDE CON LO REPORTADO EN EL FORMATO ETCA-II-04 EN EL TOTAL SUBEJERCICIO PRESENTADO EN EL ANALÍTICO DE EGRESOS","")</f>
        <v/>
      </c>
    </row>
  </sheetData>
  <sheetProtection password="C115" sheet="1" scenarios="1" formatColumns="0" formatRows="0" insertHyperlinks="0"/>
  <mergeCells count="6">
    <mergeCell ref="A1:G1"/>
    <mergeCell ref="A2:G2"/>
    <mergeCell ref="A4:G4"/>
    <mergeCell ref="A3:G3"/>
    <mergeCell ref="A6:A7"/>
    <mergeCell ref="B5:D5"/>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03"/>
  <sheetViews>
    <sheetView topLeftCell="A22" zoomScaleNormal="100" zoomScaleSheetLayoutView="90" workbookViewId="0">
      <selection activeCell="J30" sqref="J30"/>
    </sheetView>
  </sheetViews>
  <sheetFormatPr baseColWidth="10" defaultColWidth="11.28515625" defaultRowHeight="16.5" x14ac:dyDescent="0.3"/>
  <cols>
    <col min="1" max="1" width="9" style="371" customWidth="1"/>
    <col min="2" max="2" width="54.28515625" style="37" customWidth="1"/>
    <col min="3" max="3" width="3.85546875" style="37" customWidth="1"/>
    <col min="4" max="4" width="25.7109375" style="37" customWidth="1"/>
    <col min="5" max="5" width="21.85546875" style="37" customWidth="1"/>
    <col min="6" max="16384" width="11.28515625" style="37"/>
  </cols>
  <sheetData>
    <row r="1" spans="1:7" ht="16.5" customHeight="1" x14ac:dyDescent="0.3">
      <c r="A1" s="1206" t="s">
        <v>917</v>
      </c>
      <c r="B1" s="1206"/>
      <c r="C1" s="1206"/>
      <c r="D1" s="1206"/>
      <c r="E1" s="1206"/>
    </row>
    <row r="2" spans="1:7" x14ac:dyDescent="0.3">
      <c r="A2" s="1207" t="s">
        <v>918</v>
      </c>
      <c r="B2" s="1207"/>
      <c r="C2" s="1207"/>
      <c r="D2" s="1207"/>
      <c r="E2" s="1207"/>
    </row>
    <row r="3" spans="1:7" x14ac:dyDescent="0.3">
      <c r="A3" s="1033" t="str">
        <f>'ETCA-I-01'!A3:G3</f>
        <v>Consejo Estatal de Concertacion para la Obra Publica</v>
      </c>
      <c r="B3" s="1033"/>
      <c r="C3" s="1033"/>
      <c r="D3" s="1033"/>
      <c r="E3" s="1033"/>
      <c r="G3" s="369"/>
    </row>
    <row r="4" spans="1:7" x14ac:dyDescent="0.3">
      <c r="A4" s="1207" t="str">
        <f>'ETCA-I-03'!A4:D4</f>
        <v>Del 01 de Enero  al 30 de Septiembre de 2017</v>
      </c>
      <c r="B4" s="1207"/>
      <c r="C4" s="1207"/>
      <c r="D4" s="1207"/>
      <c r="E4" s="1207"/>
    </row>
    <row r="5" spans="1:7" x14ac:dyDescent="0.3">
      <c r="A5" s="828"/>
      <c r="B5" s="828"/>
      <c r="C5" s="828" t="s">
        <v>919</v>
      </c>
      <c r="D5" s="4"/>
      <c r="E5" s="370"/>
    </row>
    <row r="6" spans="1:7" ht="6.75" customHeight="1" thickBot="1" x14ac:dyDescent="0.35"/>
    <row r="7" spans="1:7" s="372" customFormat="1" ht="17.25" customHeight="1" x14ac:dyDescent="0.25">
      <c r="A7" s="1208"/>
      <c r="B7" s="1209"/>
      <c r="C7" s="829"/>
      <c r="D7" s="829"/>
      <c r="E7" s="379"/>
    </row>
    <row r="8" spans="1:7" s="372" customFormat="1" ht="20.25" customHeight="1" x14ac:dyDescent="0.25">
      <c r="A8" s="374"/>
      <c r="B8" s="378" t="s">
        <v>920</v>
      </c>
      <c r="C8" s="373"/>
      <c r="D8" s="373"/>
      <c r="E8" s="375"/>
      <c r="F8" s="376"/>
    </row>
    <row r="9" spans="1:7" s="372" customFormat="1" ht="20.25" customHeight="1" x14ac:dyDescent="0.25">
      <c r="A9" s="377"/>
      <c r="C9" s="373"/>
      <c r="D9" s="373"/>
      <c r="E9" s="375"/>
      <c r="F9" s="376"/>
    </row>
    <row r="10" spans="1:7" s="372" customFormat="1" ht="27.75" customHeight="1" x14ac:dyDescent="0.25">
      <c r="A10" s="623"/>
      <c r="B10" s="626" t="s">
        <v>921</v>
      </c>
      <c r="C10" s="625"/>
      <c r="D10" s="622" t="s">
        <v>922</v>
      </c>
      <c r="E10" s="624" t="s">
        <v>923</v>
      </c>
      <c r="F10" s="376"/>
    </row>
    <row r="11" spans="1:7" s="372" customFormat="1" ht="47.25" x14ac:dyDescent="0.25">
      <c r="A11" s="949">
        <v>1</v>
      </c>
      <c r="B11" s="950" t="s">
        <v>1228</v>
      </c>
      <c r="D11" s="951">
        <v>381650</v>
      </c>
      <c r="E11" s="952" t="s">
        <v>1229</v>
      </c>
      <c r="F11" s="376"/>
    </row>
    <row r="12" spans="1:7" s="372" customFormat="1" ht="47.25" x14ac:dyDescent="0.25">
      <c r="A12" s="953">
        <f>+A11+1</f>
        <v>2</v>
      </c>
      <c r="B12" s="954" t="s">
        <v>1230</v>
      </c>
      <c r="D12" s="955">
        <v>414644</v>
      </c>
      <c r="E12" s="956" t="s">
        <v>1229</v>
      </c>
      <c r="F12" s="376"/>
    </row>
    <row r="13" spans="1:7" ht="47.25" x14ac:dyDescent="0.3">
      <c r="A13" s="953">
        <f t="shared" ref="A13:A76" si="0">+A12+1</f>
        <v>3</v>
      </c>
      <c r="B13" s="954" t="s">
        <v>1231</v>
      </c>
      <c r="D13" s="955">
        <v>682432</v>
      </c>
      <c r="E13" s="956" t="s">
        <v>1229</v>
      </c>
      <c r="F13" s="17"/>
    </row>
    <row r="14" spans="1:7" ht="47.25" x14ac:dyDescent="0.3">
      <c r="A14" s="953">
        <f t="shared" si="0"/>
        <v>4</v>
      </c>
      <c r="B14" s="954" t="s">
        <v>1232</v>
      </c>
      <c r="D14" s="955">
        <v>682432</v>
      </c>
      <c r="E14" s="956" t="s">
        <v>1229</v>
      </c>
      <c r="F14" s="17"/>
    </row>
    <row r="15" spans="1:7" ht="47.25" x14ac:dyDescent="0.3">
      <c r="A15" s="953">
        <f t="shared" si="0"/>
        <v>5</v>
      </c>
      <c r="B15" s="954" t="s">
        <v>1233</v>
      </c>
      <c r="D15" s="955">
        <v>631650</v>
      </c>
      <c r="E15" s="956" t="s">
        <v>1229</v>
      </c>
      <c r="F15" s="17"/>
    </row>
    <row r="16" spans="1:7" ht="47.25" x14ac:dyDescent="0.3">
      <c r="A16" s="953">
        <f t="shared" si="0"/>
        <v>6</v>
      </c>
      <c r="B16" s="954" t="s">
        <v>1234</v>
      </c>
      <c r="D16" s="955">
        <v>700000</v>
      </c>
      <c r="E16" s="956" t="s">
        <v>1229</v>
      </c>
      <c r="F16" s="17"/>
    </row>
    <row r="17" spans="1:6" ht="47.25" x14ac:dyDescent="0.3">
      <c r="A17" s="953">
        <f t="shared" si="0"/>
        <v>7</v>
      </c>
      <c r="B17" s="954" t="s">
        <v>1235</v>
      </c>
      <c r="D17" s="955">
        <v>620419</v>
      </c>
      <c r="E17" s="956" t="s">
        <v>1229</v>
      </c>
      <c r="F17" s="17"/>
    </row>
    <row r="18" spans="1:6" ht="63" x14ac:dyDescent="0.3">
      <c r="A18" s="953">
        <f t="shared" si="0"/>
        <v>8</v>
      </c>
      <c r="B18" s="954" t="s">
        <v>1236</v>
      </c>
      <c r="D18" s="955">
        <v>535189</v>
      </c>
      <c r="E18" s="956" t="s">
        <v>1229</v>
      </c>
      <c r="F18" s="17"/>
    </row>
    <row r="19" spans="1:6" ht="47.25" x14ac:dyDescent="0.3">
      <c r="A19" s="953">
        <f t="shared" si="0"/>
        <v>9</v>
      </c>
      <c r="B19" s="954" t="s">
        <v>1237</v>
      </c>
      <c r="D19" s="955">
        <v>281650</v>
      </c>
      <c r="E19" s="956" t="s">
        <v>1229</v>
      </c>
      <c r="F19" s="17"/>
    </row>
    <row r="20" spans="1:6" ht="47.25" x14ac:dyDescent="0.3">
      <c r="A20" s="953">
        <f t="shared" si="0"/>
        <v>10</v>
      </c>
      <c r="B20" s="954" t="s">
        <v>1238</v>
      </c>
      <c r="D20" s="955">
        <v>331400</v>
      </c>
      <c r="E20" s="956" t="s">
        <v>1229</v>
      </c>
      <c r="F20" s="17"/>
    </row>
    <row r="21" spans="1:6" ht="47.25" x14ac:dyDescent="0.3">
      <c r="A21" s="953">
        <f t="shared" si="0"/>
        <v>11</v>
      </c>
      <c r="B21" s="954" t="s">
        <v>1239</v>
      </c>
      <c r="D21" s="955">
        <v>136044</v>
      </c>
      <c r="E21" s="956" t="s">
        <v>1229</v>
      </c>
      <c r="F21" s="17"/>
    </row>
    <row r="22" spans="1:6" ht="47.25" x14ac:dyDescent="0.3">
      <c r="A22" s="953">
        <f t="shared" si="0"/>
        <v>12</v>
      </c>
      <c r="B22" s="954" t="s">
        <v>1240</v>
      </c>
      <c r="D22" s="955">
        <v>693129</v>
      </c>
      <c r="E22" s="956" t="s">
        <v>1229</v>
      </c>
      <c r="F22" s="17"/>
    </row>
    <row r="23" spans="1:6" ht="47.25" x14ac:dyDescent="0.3">
      <c r="A23" s="953">
        <f t="shared" si="0"/>
        <v>13</v>
      </c>
      <c r="B23" s="954" t="s">
        <v>1241</v>
      </c>
      <c r="D23" s="955">
        <v>631650</v>
      </c>
      <c r="E23" s="956" t="s">
        <v>1229</v>
      </c>
      <c r="F23" s="17"/>
    </row>
    <row r="24" spans="1:6" ht="47.25" x14ac:dyDescent="0.3">
      <c r="A24" s="953">
        <f t="shared" si="0"/>
        <v>14</v>
      </c>
      <c r="B24" s="954" t="s">
        <v>1242</v>
      </c>
      <c r="D24" s="955">
        <v>39610</v>
      </c>
      <c r="E24" s="956" t="s">
        <v>1229</v>
      </c>
      <c r="F24" s="17"/>
    </row>
    <row r="25" spans="1:6" ht="47.25" x14ac:dyDescent="0.3">
      <c r="A25" s="953">
        <f t="shared" si="0"/>
        <v>15</v>
      </c>
      <c r="B25" s="954" t="s">
        <v>1243</v>
      </c>
      <c r="D25" s="955">
        <v>181650</v>
      </c>
      <c r="E25" s="956" t="s">
        <v>1229</v>
      </c>
      <c r="F25" s="17"/>
    </row>
    <row r="26" spans="1:6" ht="63" x14ac:dyDescent="0.3">
      <c r="A26" s="953">
        <f t="shared" si="0"/>
        <v>16</v>
      </c>
      <c r="B26" s="954" t="s">
        <v>1244</v>
      </c>
      <c r="D26" s="955">
        <v>183328</v>
      </c>
      <c r="E26" s="956" t="s">
        <v>1229</v>
      </c>
      <c r="F26" s="17"/>
    </row>
    <row r="27" spans="1:6" ht="63" x14ac:dyDescent="0.3">
      <c r="A27" s="953">
        <f t="shared" si="0"/>
        <v>17</v>
      </c>
      <c r="B27" s="954" t="s">
        <v>1245</v>
      </c>
      <c r="D27" s="955">
        <v>183328</v>
      </c>
      <c r="E27" s="956" t="s">
        <v>1229</v>
      </c>
      <c r="F27" s="17"/>
    </row>
    <row r="28" spans="1:6" ht="63" x14ac:dyDescent="0.3">
      <c r="A28" s="953">
        <f t="shared" si="0"/>
        <v>18</v>
      </c>
      <c r="B28" s="954" t="s">
        <v>1246</v>
      </c>
      <c r="D28" s="955">
        <v>631650</v>
      </c>
      <c r="E28" s="956" t="s">
        <v>1229</v>
      </c>
      <c r="F28" s="17"/>
    </row>
    <row r="29" spans="1:6" ht="47.25" x14ac:dyDescent="0.3">
      <c r="A29" s="953">
        <f t="shared" si="0"/>
        <v>19</v>
      </c>
      <c r="B29" s="954" t="s">
        <v>1247</v>
      </c>
      <c r="D29" s="955">
        <v>201501</v>
      </c>
      <c r="E29" s="956" t="s">
        <v>1229</v>
      </c>
      <c r="F29" s="17"/>
    </row>
    <row r="30" spans="1:6" ht="47.25" x14ac:dyDescent="0.3">
      <c r="A30" s="953">
        <f t="shared" si="0"/>
        <v>20</v>
      </c>
      <c r="B30" s="954" t="s">
        <v>1248</v>
      </c>
      <c r="D30" s="955">
        <v>502770</v>
      </c>
      <c r="E30" s="956" t="s">
        <v>1229</v>
      </c>
      <c r="F30" s="17"/>
    </row>
    <row r="31" spans="1:6" ht="63" x14ac:dyDescent="0.3">
      <c r="A31" s="953">
        <f t="shared" si="0"/>
        <v>21</v>
      </c>
      <c r="B31" s="954" t="s">
        <v>1249</v>
      </c>
      <c r="D31" s="955">
        <v>281650</v>
      </c>
      <c r="E31" s="956" t="s">
        <v>1229</v>
      </c>
      <c r="F31" s="17"/>
    </row>
    <row r="32" spans="1:6" ht="47.25" x14ac:dyDescent="0.3">
      <c r="A32" s="953">
        <f t="shared" si="0"/>
        <v>22</v>
      </c>
      <c r="B32" s="954" t="s">
        <v>1250</v>
      </c>
      <c r="D32" s="955">
        <v>485816</v>
      </c>
      <c r="E32" s="956" t="s">
        <v>1229</v>
      </c>
      <c r="F32" s="17"/>
    </row>
    <row r="33" spans="1:6" ht="47.25" x14ac:dyDescent="0.3">
      <c r="A33" s="953">
        <f t="shared" si="0"/>
        <v>23</v>
      </c>
      <c r="B33" s="954" t="s">
        <v>1251</v>
      </c>
      <c r="D33" s="955">
        <v>320817</v>
      </c>
      <c r="E33" s="956" t="s">
        <v>1229</v>
      </c>
      <c r="F33" s="17"/>
    </row>
    <row r="34" spans="1:6" ht="47.25" x14ac:dyDescent="0.3">
      <c r="A34" s="953">
        <f t="shared" si="0"/>
        <v>24</v>
      </c>
      <c r="B34" s="954" t="s">
        <v>1252</v>
      </c>
      <c r="D34" s="955">
        <v>181650</v>
      </c>
      <c r="E34" s="956" t="s">
        <v>1229</v>
      </c>
      <c r="F34" s="17"/>
    </row>
    <row r="35" spans="1:6" ht="47.25" x14ac:dyDescent="0.3">
      <c r="A35" s="953">
        <f t="shared" si="0"/>
        <v>25</v>
      </c>
      <c r="B35" s="954" t="s">
        <v>1253</v>
      </c>
      <c r="D35" s="955">
        <v>231650</v>
      </c>
      <c r="E35" s="956" t="s">
        <v>1229</v>
      </c>
      <c r="F35" s="17"/>
    </row>
    <row r="36" spans="1:6" ht="47.25" x14ac:dyDescent="0.3">
      <c r="A36" s="953">
        <f t="shared" si="0"/>
        <v>26</v>
      </c>
      <c r="B36" s="954" t="s">
        <v>1254</v>
      </c>
      <c r="D36" s="955">
        <v>631650</v>
      </c>
      <c r="E36" s="956" t="s">
        <v>1229</v>
      </c>
      <c r="F36" s="17"/>
    </row>
    <row r="37" spans="1:6" ht="63" x14ac:dyDescent="0.3">
      <c r="A37" s="953">
        <f t="shared" si="0"/>
        <v>27</v>
      </c>
      <c r="B37" s="954" t="s">
        <v>1255</v>
      </c>
      <c r="D37" s="955">
        <v>631600</v>
      </c>
      <c r="E37" s="956" t="s">
        <v>1229</v>
      </c>
      <c r="F37" s="17"/>
    </row>
    <row r="38" spans="1:6" ht="63" x14ac:dyDescent="0.3">
      <c r="A38" s="953">
        <f t="shared" si="0"/>
        <v>28</v>
      </c>
      <c r="B38" s="954" t="s">
        <v>1256</v>
      </c>
      <c r="D38" s="955">
        <v>645912</v>
      </c>
      <c r="E38" s="956" t="s">
        <v>1229</v>
      </c>
      <c r="F38" s="17"/>
    </row>
    <row r="39" spans="1:6" ht="47.25" x14ac:dyDescent="0.3">
      <c r="A39" s="953">
        <f t="shared" si="0"/>
        <v>29</v>
      </c>
      <c r="B39" s="954" t="s">
        <v>1257</v>
      </c>
      <c r="D39" s="955">
        <v>463809</v>
      </c>
      <c r="E39" s="956" t="s">
        <v>1229</v>
      </c>
    </row>
    <row r="40" spans="1:6" ht="47.25" x14ac:dyDescent="0.3">
      <c r="A40" s="953">
        <f t="shared" si="0"/>
        <v>30</v>
      </c>
      <c r="B40" s="954" t="s">
        <v>1258</v>
      </c>
      <c r="D40" s="955">
        <v>379536</v>
      </c>
      <c r="E40" s="956" t="s">
        <v>1229</v>
      </c>
    </row>
    <row r="41" spans="1:6" ht="47.25" x14ac:dyDescent="0.3">
      <c r="A41" s="953">
        <f t="shared" si="0"/>
        <v>31</v>
      </c>
      <c r="B41" s="954" t="s">
        <v>1259</v>
      </c>
      <c r="D41" s="955">
        <v>581650</v>
      </c>
      <c r="E41" s="956" t="s">
        <v>1229</v>
      </c>
    </row>
    <row r="42" spans="1:6" ht="63" x14ac:dyDescent="0.3">
      <c r="A42" s="953">
        <f t="shared" si="0"/>
        <v>32</v>
      </c>
      <c r="B42" s="954" t="s">
        <v>1260</v>
      </c>
      <c r="D42" s="955">
        <v>587007</v>
      </c>
      <c r="E42" s="956" t="s">
        <v>1229</v>
      </c>
    </row>
    <row r="43" spans="1:6" ht="63" x14ac:dyDescent="0.3">
      <c r="A43" s="953">
        <f t="shared" si="0"/>
        <v>33</v>
      </c>
      <c r="B43" s="954" t="s">
        <v>1261</v>
      </c>
      <c r="D43" s="955">
        <v>582908</v>
      </c>
      <c r="E43" s="956" t="s">
        <v>1229</v>
      </c>
    </row>
    <row r="44" spans="1:6" ht="63" x14ac:dyDescent="0.3">
      <c r="A44" s="953">
        <f t="shared" si="0"/>
        <v>34</v>
      </c>
      <c r="B44" s="954" t="s">
        <v>1262</v>
      </c>
      <c r="D44" s="955">
        <v>411698.00000000012</v>
      </c>
      <c r="E44" s="956" t="s">
        <v>1229</v>
      </c>
    </row>
    <row r="45" spans="1:6" ht="63" x14ac:dyDescent="0.3">
      <c r="A45" s="953">
        <f t="shared" si="0"/>
        <v>35</v>
      </c>
      <c r="B45" s="954" t="s">
        <v>1263</v>
      </c>
      <c r="D45" s="955">
        <v>555316</v>
      </c>
      <c r="E45" s="956" t="s">
        <v>1229</v>
      </c>
    </row>
    <row r="46" spans="1:6" ht="47.25" x14ac:dyDescent="0.3">
      <c r="A46" s="953">
        <f t="shared" si="0"/>
        <v>36</v>
      </c>
      <c r="B46" s="954" t="s">
        <v>1264</v>
      </c>
      <c r="D46" s="955">
        <v>653594</v>
      </c>
      <c r="E46" s="956" t="s">
        <v>1229</v>
      </c>
    </row>
    <row r="47" spans="1:6" ht="47.25" x14ac:dyDescent="0.3">
      <c r="A47" s="953">
        <f t="shared" si="0"/>
        <v>37</v>
      </c>
      <c r="B47" s="954" t="s">
        <v>1265</v>
      </c>
      <c r="D47" s="955">
        <v>442867</v>
      </c>
      <c r="E47" s="956" t="s">
        <v>1229</v>
      </c>
    </row>
    <row r="48" spans="1:6" ht="47.25" x14ac:dyDescent="0.3">
      <c r="A48" s="953">
        <f t="shared" si="0"/>
        <v>38</v>
      </c>
      <c r="B48" s="954" t="s">
        <v>1266</v>
      </c>
      <c r="D48" s="955">
        <v>231650</v>
      </c>
      <c r="E48" s="956" t="s">
        <v>1229</v>
      </c>
    </row>
    <row r="49" spans="1:5" ht="47.25" x14ac:dyDescent="0.3">
      <c r="A49" s="953">
        <f t="shared" si="0"/>
        <v>39</v>
      </c>
      <c r="B49" s="954" t="s">
        <v>1267</v>
      </c>
      <c r="D49" s="955">
        <v>250641</v>
      </c>
      <c r="E49" s="956" t="s">
        <v>1229</v>
      </c>
    </row>
    <row r="50" spans="1:5" ht="47.25" x14ac:dyDescent="0.3">
      <c r="A50" s="953">
        <f t="shared" si="0"/>
        <v>40</v>
      </c>
      <c r="B50" s="954" t="s">
        <v>1268</v>
      </c>
      <c r="D50" s="955">
        <v>345915</v>
      </c>
      <c r="E50" s="956" t="s">
        <v>1229</v>
      </c>
    </row>
    <row r="51" spans="1:5" ht="47.25" x14ac:dyDescent="0.3">
      <c r="A51" s="953">
        <f t="shared" si="0"/>
        <v>41</v>
      </c>
      <c r="B51" s="954" t="s">
        <v>1269</v>
      </c>
      <c r="D51" s="955">
        <v>331650</v>
      </c>
      <c r="E51" s="956" t="s">
        <v>1229</v>
      </c>
    </row>
    <row r="52" spans="1:5" ht="47.25" x14ac:dyDescent="0.3">
      <c r="A52" s="953">
        <f t="shared" si="0"/>
        <v>42</v>
      </c>
      <c r="B52" s="954" t="s">
        <v>1270</v>
      </c>
      <c r="D52" s="955">
        <v>828335.43</v>
      </c>
      <c r="E52" s="956" t="s">
        <v>1226</v>
      </c>
    </row>
    <row r="53" spans="1:5" ht="47.25" x14ac:dyDescent="0.3">
      <c r="A53" s="953">
        <f t="shared" si="0"/>
        <v>43</v>
      </c>
      <c r="B53" s="954" t="s">
        <v>1271</v>
      </c>
      <c r="D53" s="955">
        <v>443376.12799999997</v>
      </c>
      <c r="E53" s="956" t="s">
        <v>1226</v>
      </c>
    </row>
    <row r="54" spans="1:5" ht="47.25" x14ac:dyDescent="0.3">
      <c r="A54" s="953">
        <f t="shared" si="0"/>
        <v>44</v>
      </c>
      <c r="B54" s="954" t="s">
        <v>1272</v>
      </c>
      <c r="D54" s="955">
        <v>169399.70680000001</v>
      </c>
      <c r="E54" s="956" t="s">
        <v>1226</v>
      </c>
    </row>
    <row r="55" spans="1:5" ht="63" x14ac:dyDescent="0.3">
      <c r="A55" s="953">
        <f t="shared" si="0"/>
        <v>45</v>
      </c>
      <c r="B55" s="954" t="s">
        <v>1273</v>
      </c>
      <c r="D55" s="955">
        <v>458261.29</v>
      </c>
      <c r="E55" s="956" t="s">
        <v>1226</v>
      </c>
    </row>
    <row r="56" spans="1:5" ht="78.75" x14ac:dyDescent="0.3">
      <c r="A56" s="953">
        <f t="shared" si="0"/>
        <v>46</v>
      </c>
      <c r="B56" s="954" t="s">
        <v>1274</v>
      </c>
      <c r="D56" s="955">
        <v>550857.74</v>
      </c>
      <c r="E56" s="956" t="s">
        <v>1226</v>
      </c>
    </row>
    <row r="57" spans="1:5" ht="63" x14ac:dyDescent="0.3">
      <c r="A57" s="953">
        <f t="shared" si="0"/>
        <v>47</v>
      </c>
      <c r="B57" s="954" t="s">
        <v>1275</v>
      </c>
      <c r="D57" s="955">
        <v>821062</v>
      </c>
      <c r="E57" s="956" t="s">
        <v>1229</v>
      </c>
    </row>
    <row r="58" spans="1:5" ht="47.25" x14ac:dyDescent="0.3">
      <c r="A58" s="953">
        <f t="shared" si="0"/>
        <v>48</v>
      </c>
      <c r="B58" s="954" t="s">
        <v>1276</v>
      </c>
      <c r="D58" s="955">
        <v>295057</v>
      </c>
      <c r="E58" s="956" t="s">
        <v>1229</v>
      </c>
    </row>
    <row r="59" spans="1:5" ht="63" x14ac:dyDescent="0.3">
      <c r="A59" s="953">
        <f t="shared" si="0"/>
        <v>49</v>
      </c>
      <c r="B59" s="954" t="s">
        <v>1277</v>
      </c>
      <c r="D59" s="955">
        <v>481650</v>
      </c>
      <c r="E59" s="956" t="s">
        <v>1229</v>
      </c>
    </row>
    <row r="60" spans="1:5" ht="47.25" x14ac:dyDescent="0.3">
      <c r="A60" s="953">
        <f t="shared" si="0"/>
        <v>50</v>
      </c>
      <c r="B60" s="954" t="s">
        <v>1278</v>
      </c>
      <c r="D60" s="955">
        <v>622570</v>
      </c>
      <c r="E60" s="956" t="s">
        <v>1229</v>
      </c>
    </row>
    <row r="61" spans="1:5" ht="47.25" x14ac:dyDescent="0.3">
      <c r="A61" s="953">
        <f t="shared" si="0"/>
        <v>51</v>
      </c>
      <c r="B61" s="954" t="s">
        <v>1279</v>
      </c>
      <c r="D61" s="955">
        <v>321239</v>
      </c>
      <c r="E61" s="956" t="s">
        <v>1229</v>
      </c>
    </row>
    <row r="62" spans="1:5" ht="63" x14ac:dyDescent="0.3">
      <c r="A62" s="953">
        <f t="shared" si="0"/>
        <v>52</v>
      </c>
      <c r="B62" s="954" t="s">
        <v>1280</v>
      </c>
      <c r="D62" s="955">
        <v>450000</v>
      </c>
      <c r="E62" s="956" t="s">
        <v>1229</v>
      </c>
    </row>
    <row r="63" spans="1:5" ht="63" x14ac:dyDescent="0.3">
      <c r="A63" s="953">
        <f t="shared" si="0"/>
        <v>53</v>
      </c>
      <c r="B63" s="954" t="s">
        <v>1281</v>
      </c>
      <c r="D63" s="955">
        <v>289139</v>
      </c>
      <c r="E63" s="956" t="s">
        <v>1229</v>
      </c>
    </row>
    <row r="64" spans="1:5" ht="47.25" x14ac:dyDescent="0.3">
      <c r="A64" s="953">
        <f t="shared" si="0"/>
        <v>54</v>
      </c>
      <c r="B64" s="954" t="s">
        <v>1282</v>
      </c>
      <c r="D64" s="955">
        <v>731650</v>
      </c>
      <c r="E64" s="956" t="s">
        <v>1229</v>
      </c>
    </row>
    <row r="65" spans="1:5" ht="63" x14ac:dyDescent="0.3">
      <c r="A65" s="953">
        <f t="shared" si="0"/>
        <v>55</v>
      </c>
      <c r="B65" s="954" t="s">
        <v>1283</v>
      </c>
      <c r="D65" s="955">
        <v>681600</v>
      </c>
      <c r="E65" s="956" t="s">
        <v>1229</v>
      </c>
    </row>
    <row r="66" spans="1:5" ht="63" x14ac:dyDescent="0.3">
      <c r="A66" s="953">
        <f t="shared" si="0"/>
        <v>56</v>
      </c>
      <c r="B66" s="954" t="s">
        <v>1284</v>
      </c>
      <c r="D66" s="955">
        <v>722243</v>
      </c>
      <c r="E66" s="956" t="s">
        <v>1229</v>
      </c>
    </row>
    <row r="67" spans="1:5" ht="63" x14ac:dyDescent="0.3">
      <c r="A67" s="953">
        <f t="shared" si="0"/>
        <v>57</v>
      </c>
      <c r="B67" s="954" t="s">
        <v>1285</v>
      </c>
      <c r="D67" s="955">
        <v>599478</v>
      </c>
      <c r="E67" s="956" t="s">
        <v>1229</v>
      </c>
    </row>
    <row r="68" spans="1:5" ht="47.25" x14ac:dyDescent="0.3">
      <c r="A68" s="953">
        <f t="shared" si="0"/>
        <v>58</v>
      </c>
      <c r="B68" s="954" t="s">
        <v>1286</v>
      </c>
      <c r="D68" s="955">
        <v>969195</v>
      </c>
      <c r="E68" s="956" t="s">
        <v>1229</v>
      </c>
    </row>
    <row r="69" spans="1:5" ht="47.25" x14ac:dyDescent="0.3">
      <c r="A69" s="953">
        <f t="shared" si="0"/>
        <v>59</v>
      </c>
      <c r="B69" s="954" t="s">
        <v>1287</v>
      </c>
      <c r="D69" s="955">
        <v>480480</v>
      </c>
      <c r="E69" s="956" t="s">
        <v>1229</v>
      </c>
    </row>
    <row r="70" spans="1:5" ht="47.25" x14ac:dyDescent="0.3">
      <c r="A70" s="953">
        <f t="shared" si="0"/>
        <v>60</v>
      </c>
      <c r="B70" s="954" t="s">
        <v>1288</v>
      </c>
      <c r="D70" s="955">
        <v>835398</v>
      </c>
      <c r="E70" s="956" t="s">
        <v>1229</v>
      </c>
    </row>
    <row r="71" spans="1:5" ht="47.25" x14ac:dyDescent="0.3">
      <c r="A71" s="953">
        <f t="shared" si="0"/>
        <v>61</v>
      </c>
      <c r="B71" s="954" t="s">
        <v>1289</v>
      </c>
      <c r="D71" s="955">
        <v>536782</v>
      </c>
      <c r="E71" s="956" t="s">
        <v>1229</v>
      </c>
    </row>
    <row r="72" spans="1:5" ht="47.25" x14ac:dyDescent="0.3">
      <c r="A72" s="953">
        <f t="shared" si="0"/>
        <v>62</v>
      </c>
      <c r="B72" s="954" t="s">
        <v>1290</v>
      </c>
      <c r="D72" s="955">
        <v>650379</v>
      </c>
      <c r="E72" s="956" t="s">
        <v>1229</v>
      </c>
    </row>
    <row r="73" spans="1:5" ht="47.25" x14ac:dyDescent="0.3">
      <c r="A73" s="953">
        <f t="shared" si="0"/>
        <v>63</v>
      </c>
      <c r="B73" s="954" t="s">
        <v>1291</v>
      </c>
      <c r="D73" s="955">
        <v>631650</v>
      </c>
      <c r="E73" s="956" t="s">
        <v>1229</v>
      </c>
    </row>
    <row r="74" spans="1:5" ht="47.25" x14ac:dyDescent="0.3">
      <c r="A74" s="953">
        <f t="shared" si="0"/>
        <v>64</v>
      </c>
      <c r="B74" s="954" t="s">
        <v>1292</v>
      </c>
      <c r="D74" s="955">
        <v>119913</v>
      </c>
      <c r="E74" s="956" t="s">
        <v>1229</v>
      </c>
    </row>
    <row r="75" spans="1:5" ht="63" x14ac:dyDescent="0.3">
      <c r="A75" s="953">
        <f t="shared" si="0"/>
        <v>65</v>
      </c>
      <c r="B75" s="954" t="s">
        <v>1293</v>
      </c>
      <c r="D75" s="955">
        <v>557905</v>
      </c>
      <c r="E75" s="956" t="s">
        <v>1229</v>
      </c>
    </row>
    <row r="76" spans="1:5" ht="47.25" x14ac:dyDescent="0.3">
      <c r="A76" s="953">
        <f t="shared" si="0"/>
        <v>66</v>
      </c>
      <c r="B76" s="954" t="s">
        <v>1294</v>
      </c>
      <c r="D76" s="955">
        <v>356650</v>
      </c>
      <c r="E76" s="956" t="s">
        <v>1229</v>
      </c>
    </row>
    <row r="77" spans="1:5" ht="63" x14ac:dyDescent="0.3">
      <c r="A77" s="953">
        <f t="shared" ref="A77:A140" si="1">+A76+1</f>
        <v>67</v>
      </c>
      <c r="B77" s="954" t="s">
        <v>1295</v>
      </c>
      <c r="D77" s="955">
        <v>528868</v>
      </c>
      <c r="E77" s="956" t="s">
        <v>1229</v>
      </c>
    </row>
    <row r="78" spans="1:5" ht="47.25" x14ac:dyDescent="0.3">
      <c r="A78" s="953">
        <f t="shared" si="1"/>
        <v>68</v>
      </c>
      <c r="B78" s="954" t="s">
        <v>1296</v>
      </c>
      <c r="D78" s="955">
        <v>570600</v>
      </c>
      <c r="E78" s="956" t="s">
        <v>1229</v>
      </c>
    </row>
    <row r="79" spans="1:5" ht="47.25" x14ac:dyDescent="0.3">
      <c r="A79" s="953">
        <f t="shared" si="1"/>
        <v>69</v>
      </c>
      <c r="B79" s="954" t="s">
        <v>1297</v>
      </c>
      <c r="D79" s="955">
        <v>520849</v>
      </c>
      <c r="E79" s="956" t="s">
        <v>1229</v>
      </c>
    </row>
    <row r="80" spans="1:5" ht="47.25" x14ac:dyDescent="0.3">
      <c r="A80" s="953">
        <f t="shared" si="1"/>
        <v>70</v>
      </c>
      <c r="B80" s="954" t="s">
        <v>1298</v>
      </c>
      <c r="D80" s="955">
        <v>471781</v>
      </c>
      <c r="E80" s="956" t="s">
        <v>1229</v>
      </c>
    </row>
    <row r="81" spans="1:5" ht="63" x14ac:dyDescent="0.3">
      <c r="A81" s="953">
        <f t="shared" si="1"/>
        <v>71</v>
      </c>
      <c r="B81" s="954" t="s">
        <v>1299</v>
      </c>
      <c r="D81" s="955">
        <v>530932</v>
      </c>
      <c r="E81" s="956" t="s">
        <v>1229</v>
      </c>
    </row>
    <row r="82" spans="1:5" ht="47.25" x14ac:dyDescent="0.3">
      <c r="A82" s="953">
        <f t="shared" si="1"/>
        <v>72</v>
      </c>
      <c r="B82" s="954" t="s">
        <v>1300</v>
      </c>
      <c r="D82" s="955">
        <v>260175</v>
      </c>
      <c r="E82" s="956" t="s">
        <v>1229</v>
      </c>
    </row>
    <row r="83" spans="1:5" ht="47.25" x14ac:dyDescent="0.3">
      <c r="A83" s="953">
        <f t="shared" si="1"/>
        <v>73</v>
      </c>
      <c r="B83" s="954" t="s">
        <v>1301</v>
      </c>
      <c r="D83" s="955">
        <v>235683</v>
      </c>
      <c r="E83" s="956" t="s">
        <v>1229</v>
      </c>
    </row>
    <row r="84" spans="1:5" ht="47.25" x14ac:dyDescent="0.3">
      <c r="A84" s="953">
        <f t="shared" si="1"/>
        <v>74</v>
      </c>
      <c r="B84" s="954" t="s">
        <v>1302</v>
      </c>
      <c r="D84" s="955">
        <v>432364</v>
      </c>
      <c r="E84" s="956" t="s">
        <v>1229</v>
      </c>
    </row>
    <row r="85" spans="1:5" ht="47.25" x14ac:dyDescent="0.3">
      <c r="A85" s="953">
        <f t="shared" si="1"/>
        <v>75</v>
      </c>
      <c r="B85" s="954" t="s">
        <v>1303</v>
      </c>
      <c r="D85" s="955">
        <v>700000</v>
      </c>
      <c r="E85" s="956" t="s">
        <v>1229</v>
      </c>
    </row>
    <row r="86" spans="1:5" ht="47.25" x14ac:dyDescent="0.3">
      <c r="A86" s="953">
        <f t="shared" si="1"/>
        <v>76</v>
      </c>
      <c r="B86" s="954" t="s">
        <v>1304</v>
      </c>
      <c r="D86" s="955">
        <v>661650</v>
      </c>
      <c r="E86" s="956" t="s">
        <v>1229</v>
      </c>
    </row>
    <row r="87" spans="1:5" ht="47.25" x14ac:dyDescent="0.3">
      <c r="A87" s="953">
        <f t="shared" si="1"/>
        <v>77</v>
      </c>
      <c r="B87" s="954" t="s">
        <v>1305</v>
      </c>
      <c r="D87" s="955">
        <v>444077</v>
      </c>
      <c r="E87" s="956" t="s">
        <v>1229</v>
      </c>
    </row>
    <row r="88" spans="1:5" ht="47.25" x14ac:dyDescent="0.3">
      <c r="A88" s="953">
        <f t="shared" si="1"/>
        <v>78</v>
      </c>
      <c r="B88" s="954" t="s">
        <v>1306</v>
      </c>
      <c r="D88" s="955">
        <v>581650</v>
      </c>
      <c r="E88" s="956" t="s">
        <v>1229</v>
      </c>
    </row>
    <row r="89" spans="1:5" ht="47.25" x14ac:dyDescent="0.3">
      <c r="A89" s="953">
        <f t="shared" si="1"/>
        <v>79</v>
      </c>
      <c r="B89" s="954" t="s">
        <v>1307</v>
      </c>
      <c r="D89" s="955">
        <v>556231</v>
      </c>
      <c r="E89" s="956" t="s">
        <v>1229</v>
      </c>
    </row>
    <row r="90" spans="1:5" ht="47.25" x14ac:dyDescent="0.3">
      <c r="A90" s="953">
        <f t="shared" si="1"/>
        <v>80</v>
      </c>
      <c r="B90" s="954" t="s">
        <v>1308</v>
      </c>
      <c r="D90" s="955">
        <v>362659</v>
      </c>
      <c r="E90" s="956" t="s">
        <v>1229</v>
      </c>
    </row>
    <row r="91" spans="1:5" ht="47.25" x14ac:dyDescent="0.3">
      <c r="A91" s="953">
        <f t="shared" si="1"/>
        <v>81</v>
      </c>
      <c r="B91" s="954" t="s">
        <v>1309</v>
      </c>
      <c r="D91" s="955">
        <v>481650</v>
      </c>
      <c r="E91" s="956" t="s">
        <v>1229</v>
      </c>
    </row>
    <row r="92" spans="1:5" ht="63" x14ac:dyDescent="0.3">
      <c r="A92" s="953">
        <f t="shared" si="1"/>
        <v>82</v>
      </c>
      <c r="B92" s="954" t="s">
        <v>1310</v>
      </c>
      <c r="D92" s="955">
        <v>767672</v>
      </c>
      <c r="E92" s="956" t="s">
        <v>1229</v>
      </c>
    </row>
    <row r="93" spans="1:5" ht="47.25" x14ac:dyDescent="0.3">
      <c r="A93" s="953">
        <f t="shared" si="1"/>
        <v>83</v>
      </c>
      <c r="B93" s="954" t="s">
        <v>1311</v>
      </c>
      <c r="D93" s="955">
        <v>572438</v>
      </c>
      <c r="E93" s="956" t="s">
        <v>1229</v>
      </c>
    </row>
    <row r="94" spans="1:5" ht="47.25" x14ac:dyDescent="0.3">
      <c r="A94" s="953">
        <f t="shared" si="1"/>
        <v>84</v>
      </c>
      <c r="B94" s="954" t="s">
        <v>1312</v>
      </c>
      <c r="D94" s="955">
        <v>788228</v>
      </c>
      <c r="E94" s="956" t="s">
        <v>1229</v>
      </c>
    </row>
    <row r="95" spans="1:5" ht="47.25" x14ac:dyDescent="0.3">
      <c r="A95" s="953">
        <f t="shared" si="1"/>
        <v>85</v>
      </c>
      <c r="B95" s="954" t="s">
        <v>1313</v>
      </c>
      <c r="D95" s="955">
        <v>431650</v>
      </c>
      <c r="E95" s="956" t="s">
        <v>1229</v>
      </c>
    </row>
    <row r="96" spans="1:5" ht="47.25" x14ac:dyDescent="0.3">
      <c r="A96" s="953">
        <f t="shared" si="1"/>
        <v>86</v>
      </c>
      <c r="B96" s="954" t="s">
        <v>1314</v>
      </c>
      <c r="D96" s="955">
        <v>718237</v>
      </c>
      <c r="E96" s="956" t="s">
        <v>1229</v>
      </c>
    </row>
    <row r="97" spans="1:5" ht="47.25" x14ac:dyDescent="0.3">
      <c r="A97" s="953">
        <f t="shared" si="1"/>
        <v>87</v>
      </c>
      <c r="B97" s="954" t="s">
        <v>1315</v>
      </c>
      <c r="D97" s="955">
        <v>131650</v>
      </c>
      <c r="E97" s="956" t="s">
        <v>1229</v>
      </c>
    </row>
    <row r="98" spans="1:5" ht="47.25" x14ac:dyDescent="0.3">
      <c r="A98" s="953">
        <f t="shared" si="1"/>
        <v>88</v>
      </c>
      <c r="B98" s="954" t="s">
        <v>1316</v>
      </c>
      <c r="D98" s="955">
        <v>781650</v>
      </c>
      <c r="E98" s="956" t="s">
        <v>1229</v>
      </c>
    </row>
    <row r="99" spans="1:5" ht="47.25" x14ac:dyDescent="0.3">
      <c r="A99" s="953">
        <f t="shared" si="1"/>
        <v>89</v>
      </c>
      <c r="B99" s="954" t="s">
        <v>1317</v>
      </c>
      <c r="D99" s="955">
        <v>481650</v>
      </c>
      <c r="E99" s="956" t="s">
        <v>1229</v>
      </c>
    </row>
    <row r="100" spans="1:5" ht="63" x14ac:dyDescent="0.3">
      <c r="A100" s="953">
        <f t="shared" si="1"/>
        <v>90</v>
      </c>
      <c r="B100" s="954" t="s">
        <v>1318</v>
      </c>
      <c r="D100" s="955">
        <v>609791</v>
      </c>
      <c r="E100" s="956" t="s">
        <v>1229</v>
      </c>
    </row>
    <row r="101" spans="1:5" ht="47.25" x14ac:dyDescent="0.3">
      <c r="A101" s="953">
        <f t="shared" si="1"/>
        <v>91</v>
      </c>
      <c r="B101" s="954" t="s">
        <v>1319</v>
      </c>
      <c r="D101" s="955">
        <v>556077</v>
      </c>
      <c r="E101" s="956" t="s">
        <v>1229</v>
      </c>
    </row>
    <row r="102" spans="1:5" ht="63" x14ac:dyDescent="0.3">
      <c r="A102" s="953">
        <f t="shared" si="1"/>
        <v>92</v>
      </c>
      <c r="B102" s="954" t="s">
        <v>1320</v>
      </c>
      <c r="D102" s="955">
        <v>693265</v>
      </c>
      <c r="E102" s="956" t="s">
        <v>1229</v>
      </c>
    </row>
    <row r="103" spans="1:5" ht="47.25" x14ac:dyDescent="0.3">
      <c r="A103" s="953">
        <f t="shared" si="1"/>
        <v>93</v>
      </c>
      <c r="B103" s="954" t="s">
        <v>1321</v>
      </c>
      <c r="D103" s="955">
        <v>905794</v>
      </c>
      <c r="E103" s="956" t="s">
        <v>1229</v>
      </c>
    </row>
    <row r="104" spans="1:5" ht="47.25" x14ac:dyDescent="0.3">
      <c r="A104" s="953">
        <f t="shared" si="1"/>
        <v>94</v>
      </c>
      <c r="B104" s="954" t="s">
        <v>1322</v>
      </c>
      <c r="D104" s="955">
        <v>941322</v>
      </c>
      <c r="E104" s="956" t="s">
        <v>1229</v>
      </c>
    </row>
    <row r="105" spans="1:5" ht="63" x14ac:dyDescent="0.3">
      <c r="A105" s="953">
        <f t="shared" si="1"/>
        <v>95</v>
      </c>
      <c r="B105" s="954" t="s">
        <v>1323</v>
      </c>
      <c r="D105" s="955">
        <v>552837</v>
      </c>
      <c r="E105" s="956" t="s">
        <v>1229</v>
      </c>
    </row>
    <row r="106" spans="1:5" ht="47.25" x14ac:dyDescent="0.3">
      <c r="A106" s="953">
        <f t="shared" si="1"/>
        <v>96</v>
      </c>
      <c r="B106" s="954" t="s">
        <v>1324</v>
      </c>
      <c r="D106" s="955">
        <v>946650</v>
      </c>
      <c r="E106" s="956" t="s">
        <v>1229</v>
      </c>
    </row>
    <row r="107" spans="1:5" ht="63" x14ac:dyDescent="0.3">
      <c r="A107" s="953">
        <f t="shared" si="1"/>
        <v>97</v>
      </c>
      <c r="B107" s="954" t="s">
        <v>1325</v>
      </c>
      <c r="D107" s="955">
        <v>834896</v>
      </c>
      <c r="E107" s="956" t="s">
        <v>1229</v>
      </c>
    </row>
    <row r="108" spans="1:5" ht="47.25" x14ac:dyDescent="0.3">
      <c r="A108" s="953">
        <f t="shared" si="1"/>
        <v>98</v>
      </c>
      <c r="B108" s="954" t="s">
        <v>1326</v>
      </c>
      <c r="D108" s="955">
        <v>964721</v>
      </c>
      <c r="E108" s="956" t="s">
        <v>1229</v>
      </c>
    </row>
    <row r="109" spans="1:5" ht="47.25" x14ac:dyDescent="0.3">
      <c r="A109" s="953">
        <f t="shared" si="1"/>
        <v>99</v>
      </c>
      <c r="B109" s="954" t="s">
        <v>1327</v>
      </c>
      <c r="D109" s="955">
        <v>481650</v>
      </c>
      <c r="E109" s="956" t="s">
        <v>1229</v>
      </c>
    </row>
    <row r="110" spans="1:5" ht="47.25" x14ac:dyDescent="0.3">
      <c r="A110" s="953">
        <f t="shared" si="1"/>
        <v>100</v>
      </c>
      <c r="B110" s="954" t="s">
        <v>1328</v>
      </c>
      <c r="D110" s="955">
        <v>1070351</v>
      </c>
      <c r="E110" s="956" t="s">
        <v>1229</v>
      </c>
    </row>
    <row r="111" spans="1:5" ht="47.25" x14ac:dyDescent="0.3">
      <c r="A111" s="953">
        <f t="shared" si="1"/>
        <v>101</v>
      </c>
      <c r="B111" s="954" t="s">
        <v>1329</v>
      </c>
      <c r="D111" s="955">
        <v>1107467</v>
      </c>
      <c r="E111" s="956" t="s">
        <v>1229</v>
      </c>
    </row>
    <row r="112" spans="1:5" ht="63" x14ac:dyDescent="0.3">
      <c r="A112" s="953">
        <f t="shared" si="1"/>
        <v>102</v>
      </c>
      <c r="B112" s="954" t="s">
        <v>1330</v>
      </c>
      <c r="D112" s="955">
        <v>1281650</v>
      </c>
      <c r="E112" s="956" t="s">
        <v>1229</v>
      </c>
    </row>
    <row r="113" spans="1:5" ht="63" x14ac:dyDescent="0.3">
      <c r="A113" s="953">
        <f t="shared" si="1"/>
        <v>103</v>
      </c>
      <c r="B113" s="954" t="s">
        <v>1331</v>
      </c>
      <c r="D113" s="955">
        <v>1281650</v>
      </c>
      <c r="E113" s="956" t="s">
        <v>1229</v>
      </c>
    </row>
    <row r="114" spans="1:5" ht="47.25" x14ac:dyDescent="0.3">
      <c r="A114" s="953">
        <f t="shared" si="1"/>
        <v>104</v>
      </c>
      <c r="B114" s="954" t="s">
        <v>1332</v>
      </c>
      <c r="D114" s="955">
        <v>1081650</v>
      </c>
      <c r="E114" s="956" t="s">
        <v>1229</v>
      </c>
    </row>
    <row r="115" spans="1:5" ht="47.25" x14ac:dyDescent="0.3">
      <c r="A115" s="953">
        <f t="shared" si="1"/>
        <v>105</v>
      </c>
      <c r="B115" s="954" t="s">
        <v>1333</v>
      </c>
      <c r="D115" s="955">
        <v>1189721</v>
      </c>
      <c r="E115" s="956" t="s">
        <v>1229</v>
      </c>
    </row>
    <row r="116" spans="1:5" ht="31.5" x14ac:dyDescent="0.3">
      <c r="A116" s="953">
        <f t="shared" si="1"/>
        <v>106</v>
      </c>
      <c r="B116" s="954" t="s">
        <v>1334</v>
      </c>
      <c r="D116" s="955">
        <v>92834.19</v>
      </c>
      <c r="E116" s="956" t="s">
        <v>1226</v>
      </c>
    </row>
    <row r="117" spans="1:5" ht="63" x14ac:dyDescent="0.3">
      <c r="A117" s="953">
        <f t="shared" si="1"/>
        <v>107</v>
      </c>
      <c r="B117" s="954" t="s">
        <v>1335</v>
      </c>
      <c r="D117" s="955">
        <v>80000</v>
      </c>
      <c r="E117" s="956" t="s">
        <v>1226</v>
      </c>
    </row>
    <row r="118" spans="1:5" ht="63" x14ac:dyDescent="0.3">
      <c r="A118" s="953">
        <f t="shared" si="1"/>
        <v>108</v>
      </c>
      <c r="B118" s="954" t="s">
        <v>1336</v>
      </c>
      <c r="D118" s="955">
        <v>80000</v>
      </c>
      <c r="E118" s="956" t="s">
        <v>1226</v>
      </c>
    </row>
    <row r="119" spans="1:5" ht="63" x14ac:dyDescent="0.3">
      <c r="A119" s="953">
        <f t="shared" si="1"/>
        <v>109</v>
      </c>
      <c r="B119" s="954" t="s">
        <v>1337</v>
      </c>
      <c r="D119" s="955">
        <v>92834.18</v>
      </c>
      <c r="E119" s="956" t="s">
        <v>1226</v>
      </c>
    </row>
    <row r="120" spans="1:5" ht="63" x14ac:dyDescent="0.3">
      <c r="A120" s="953">
        <f t="shared" si="1"/>
        <v>110</v>
      </c>
      <c r="B120" s="954" t="s">
        <v>1338</v>
      </c>
      <c r="D120" s="955">
        <v>80000</v>
      </c>
      <c r="E120" s="956" t="s">
        <v>1226</v>
      </c>
    </row>
    <row r="121" spans="1:5" ht="63" x14ac:dyDescent="0.3">
      <c r="A121" s="953">
        <f t="shared" si="1"/>
        <v>111</v>
      </c>
      <c r="B121" s="954" t="s">
        <v>1339</v>
      </c>
      <c r="D121" s="955">
        <v>52130</v>
      </c>
      <c r="E121" s="956" t="s">
        <v>1226</v>
      </c>
    </row>
    <row r="122" spans="1:5" ht="63" x14ac:dyDescent="0.3">
      <c r="A122" s="953">
        <f t="shared" si="1"/>
        <v>112</v>
      </c>
      <c r="B122" s="954" t="s">
        <v>1340</v>
      </c>
      <c r="D122" s="955">
        <v>90500</v>
      </c>
      <c r="E122" s="956" t="s">
        <v>1226</v>
      </c>
    </row>
    <row r="123" spans="1:5" ht="47.25" x14ac:dyDescent="0.3">
      <c r="A123" s="953">
        <f t="shared" si="1"/>
        <v>113</v>
      </c>
      <c r="B123" s="954" t="s">
        <v>1341</v>
      </c>
      <c r="D123" s="955">
        <v>254859</v>
      </c>
      <c r="E123" s="956" t="s">
        <v>1229</v>
      </c>
    </row>
    <row r="124" spans="1:5" ht="47.25" x14ac:dyDescent="0.3">
      <c r="A124" s="953">
        <f t="shared" si="1"/>
        <v>114</v>
      </c>
      <c r="B124" s="954" t="s">
        <v>1342</v>
      </c>
      <c r="D124" s="955">
        <v>428409</v>
      </c>
      <c r="E124" s="956" t="s">
        <v>1229</v>
      </c>
    </row>
    <row r="125" spans="1:5" ht="47.25" x14ac:dyDescent="0.3">
      <c r="A125" s="953">
        <f t="shared" si="1"/>
        <v>115</v>
      </c>
      <c r="B125" s="954" t="s">
        <v>1343</v>
      </c>
      <c r="D125" s="955">
        <v>423803</v>
      </c>
      <c r="E125" s="956" t="s">
        <v>1229</v>
      </c>
    </row>
    <row r="126" spans="1:5" ht="47.25" x14ac:dyDescent="0.3">
      <c r="A126" s="953">
        <f t="shared" si="1"/>
        <v>116</v>
      </c>
      <c r="B126" s="954" t="s">
        <v>1344</v>
      </c>
      <c r="D126" s="955">
        <v>432071</v>
      </c>
      <c r="E126" s="956" t="s">
        <v>1229</v>
      </c>
    </row>
    <row r="127" spans="1:5" ht="47.25" x14ac:dyDescent="0.3">
      <c r="A127" s="953">
        <f t="shared" si="1"/>
        <v>117</v>
      </c>
      <c r="B127" s="954" t="s">
        <v>1345</v>
      </c>
      <c r="D127" s="955">
        <v>313918</v>
      </c>
      <c r="E127" s="956" t="s">
        <v>1229</v>
      </c>
    </row>
    <row r="128" spans="1:5" ht="63" x14ac:dyDescent="0.3">
      <c r="A128" s="953">
        <f t="shared" si="1"/>
        <v>118</v>
      </c>
      <c r="B128" s="954" t="s">
        <v>1346</v>
      </c>
      <c r="D128" s="955">
        <v>425400</v>
      </c>
      <c r="E128" s="956" t="s">
        <v>1229</v>
      </c>
    </row>
    <row r="129" spans="1:5" ht="47.25" x14ac:dyDescent="0.3">
      <c r="A129" s="953">
        <f t="shared" si="1"/>
        <v>119</v>
      </c>
      <c r="B129" s="954" t="s">
        <v>1347</v>
      </c>
      <c r="D129" s="955">
        <v>387821</v>
      </c>
      <c r="E129" s="956" t="s">
        <v>1229</v>
      </c>
    </row>
    <row r="130" spans="1:5" ht="47.25" x14ac:dyDescent="0.3">
      <c r="A130" s="953">
        <f t="shared" si="1"/>
        <v>120</v>
      </c>
      <c r="B130" s="954" t="s">
        <v>1348</v>
      </c>
      <c r="D130" s="955">
        <v>565450</v>
      </c>
      <c r="E130" s="956" t="s">
        <v>1229</v>
      </c>
    </row>
    <row r="131" spans="1:5" ht="47.25" x14ac:dyDescent="0.3">
      <c r="A131" s="953">
        <f t="shared" si="1"/>
        <v>121</v>
      </c>
      <c r="B131" s="954" t="s">
        <v>1349</v>
      </c>
      <c r="D131" s="955">
        <v>518362</v>
      </c>
      <c r="E131" s="956" t="s">
        <v>1229</v>
      </c>
    </row>
    <row r="132" spans="1:5" ht="63" x14ac:dyDescent="0.3">
      <c r="A132" s="953">
        <f t="shared" si="1"/>
        <v>122</v>
      </c>
      <c r="B132" s="954" t="s">
        <v>1350</v>
      </c>
      <c r="D132" s="955">
        <v>781650</v>
      </c>
      <c r="E132" s="956" t="s">
        <v>1229</v>
      </c>
    </row>
    <row r="133" spans="1:5" ht="47.25" x14ac:dyDescent="0.3">
      <c r="A133" s="953">
        <f t="shared" si="1"/>
        <v>123</v>
      </c>
      <c r="B133" s="954" t="s">
        <v>1351</v>
      </c>
      <c r="D133" s="955">
        <v>603137</v>
      </c>
      <c r="E133" s="956" t="s">
        <v>1229</v>
      </c>
    </row>
    <row r="134" spans="1:5" ht="47.25" x14ac:dyDescent="0.3">
      <c r="A134" s="953">
        <f t="shared" si="1"/>
        <v>124</v>
      </c>
      <c r="B134" s="954" t="s">
        <v>1352</v>
      </c>
      <c r="D134" s="955">
        <v>652605</v>
      </c>
      <c r="E134" s="956" t="s">
        <v>1229</v>
      </c>
    </row>
    <row r="135" spans="1:5" ht="47.25" x14ac:dyDescent="0.3">
      <c r="A135" s="953">
        <f t="shared" si="1"/>
        <v>125</v>
      </c>
      <c r="B135" s="954" t="s">
        <v>1353</v>
      </c>
      <c r="D135" s="955">
        <v>577554</v>
      </c>
      <c r="E135" s="956" t="s">
        <v>1229</v>
      </c>
    </row>
    <row r="136" spans="1:5" ht="47.25" x14ac:dyDescent="0.3">
      <c r="A136" s="953">
        <f t="shared" si="1"/>
        <v>126</v>
      </c>
      <c r="B136" s="954" t="s">
        <v>1354</v>
      </c>
      <c r="D136" s="955">
        <v>643097</v>
      </c>
      <c r="E136" s="956" t="s">
        <v>1229</v>
      </c>
    </row>
    <row r="137" spans="1:5" ht="47.25" x14ac:dyDescent="0.3">
      <c r="A137" s="953">
        <f t="shared" si="1"/>
        <v>127</v>
      </c>
      <c r="B137" s="954" t="s">
        <v>1355</v>
      </c>
      <c r="D137" s="955">
        <v>204480</v>
      </c>
      <c r="E137" s="956" t="s">
        <v>1229</v>
      </c>
    </row>
    <row r="138" spans="1:5" ht="47.25" x14ac:dyDescent="0.3">
      <c r="A138" s="953">
        <f t="shared" si="1"/>
        <v>128</v>
      </c>
      <c r="B138" s="954" t="s">
        <v>1356</v>
      </c>
      <c r="D138" s="955">
        <v>658490</v>
      </c>
      <c r="E138" s="956" t="s">
        <v>1229</v>
      </c>
    </row>
    <row r="139" spans="1:5" ht="63" x14ac:dyDescent="0.3">
      <c r="A139" s="953">
        <f t="shared" si="1"/>
        <v>129</v>
      </c>
      <c r="B139" s="954" t="s">
        <v>1357</v>
      </c>
      <c r="D139" s="955">
        <v>548248</v>
      </c>
      <c r="E139" s="956" t="s">
        <v>1229</v>
      </c>
    </row>
    <row r="140" spans="1:5" ht="47.25" x14ac:dyDescent="0.3">
      <c r="A140" s="953">
        <f t="shared" si="1"/>
        <v>130</v>
      </c>
      <c r="B140" s="954" t="s">
        <v>1358</v>
      </c>
      <c r="D140" s="955">
        <v>281650</v>
      </c>
      <c r="E140" s="956" t="s">
        <v>1229</v>
      </c>
    </row>
    <row r="141" spans="1:5" ht="47.25" x14ac:dyDescent="0.3">
      <c r="A141" s="953">
        <f t="shared" ref="A141:A204" si="2">+A140+1</f>
        <v>131</v>
      </c>
      <c r="B141" s="954" t="s">
        <v>1359</v>
      </c>
      <c r="D141" s="955">
        <v>481650</v>
      </c>
      <c r="E141" s="956" t="s">
        <v>1229</v>
      </c>
    </row>
    <row r="142" spans="1:5" ht="63" x14ac:dyDescent="0.3">
      <c r="A142" s="953">
        <f t="shared" si="2"/>
        <v>132</v>
      </c>
      <c r="B142" s="954" t="s">
        <v>1360</v>
      </c>
      <c r="D142" s="955">
        <v>539643</v>
      </c>
      <c r="E142" s="956" t="s">
        <v>1229</v>
      </c>
    </row>
    <row r="143" spans="1:5" ht="47.25" x14ac:dyDescent="0.3">
      <c r="A143" s="953">
        <f t="shared" si="2"/>
        <v>133</v>
      </c>
      <c r="B143" s="954" t="s">
        <v>1361</v>
      </c>
      <c r="D143" s="955">
        <v>572187</v>
      </c>
      <c r="E143" s="956" t="s">
        <v>1229</v>
      </c>
    </row>
    <row r="144" spans="1:5" ht="47.25" x14ac:dyDescent="0.3">
      <c r="A144" s="953">
        <f t="shared" si="2"/>
        <v>134</v>
      </c>
      <c r="B144" s="954" t="s">
        <v>1362</v>
      </c>
      <c r="D144" s="955">
        <v>849913</v>
      </c>
      <c r="E144" s="956" t="s">
        <v>1229</v>
      </c>
    </row>
    <row r="145" spans="1:5" ht="63" x14ac:dyDescent="0.3">
      <c r="A145" s="953">
        <f t="shared" si="2"/>
        <v>135</v>
      </c>
      <c r="B145" s="954" t="s">
        <v>1363</v>
      </c>
      <c r="D145" s="955">
        <v>1015608</v>
      </c>
      <c r="E145" s="956" t="s">
        <v>1229</v>
      </c>
    </row>
    <row r="146" spans="1:5" ht="47.25" x14ac:dyDescent="0.3">
      <c r="A146" s="953">
        <f t="shared" si="2"/>
        <v>136</v>
      </c>
      <c r="B146" s="954" t="s">
        <v>1364</v>
      </c>
      <c r="D146" s="955">
        <v>403514</v>
      </c>
      <c r="E146" s="956" t="s">
        <v>1229</v>
      </c>
    </row>
    <row r="147" spans="1:5" ht="47.25" x14ac:dyDescent="0.3">
      <c r="A147" s="953">
        <f t="shared" si="2"/>
        <v>137</v>
      </c>
      <c r="B147" s="954" t="s">
        <v>1365</v>
      </c>
      <c r="D147" s="955">
        <v>431650</v>
      </c>
      <c r="E147" s="956" t="s">
        <v>1229</v>
      </c>
    </row>
    <row r="148" spans="1:5" ht="47.25" x14ac:dyDescent="0.3">
      <c r="A148" s="953">
        <f t="shared" si="2"/>
        <v>138</v>
      </c>
      <c r="B148" s="954" t="s">
        <v>1366</v>
      </c>
      <c r="D148" s="955">
        <v>866297</v>
      </c>
      <c r="E148" s="956" t="s">
        <v>1229</v>
      </c>
    </row>
    <row r="149" spans="1:5" ht="47.25" x14ac:dyDescent="0.3">
      <c r="A149" s="953">
        <f t="shared" si="2"/>
        <v>139</v>
      </c>
      <c r="B149" s="954" t="s">
        <v>1367</v>
      </c>
      <c r="D149" s="955">
        <v>358989</v>
      </c>
      <c r="E149" s="956" t="s">
        <v>1229</v>
      </c>
    </row>
    <row r="150" spans="1:5" ht="63" x14ac:dyDescent="0.3">
      <c r="A150" s="953">
        <f t="shared" si="2"/>
        <v>140</v>
      </c>
      <c r="B150" s="954" t="s">
        <v>1368</v>
      </c>
      <c r="D150" s="955">
        <v>1676890.1187999998</v>
      </c>
      <c r="E150" s="956" t="s">
        <v>1226</v>
      </c>
    </row>
    <row r="151" spans="1:5" ht="47.25" x14ac:dyDescent="0.3">
      <c r="A151" s="953">
        <f t="shared" si="2"/>
        <v>141</v>
      </c>
      <c r="B151" s="954" t="s">
        <v>1369</v>
      </c>
      <c r="D151" s="955">
        <v>10379700.91</v>
      </c>
      <c r="E151" s="956" t="s">
        <v>1226</v>
      </c>
    </row>
    <row r="152" spans="1:5" ht="47.25" x14ac:dyDescent="0.3">
      <c r="A152" s="953">
        <f t="shared" si="2"/>
        <v>142</v>
      </c>
      <c r="B152" s="954" t="s">
        <v>1370</v>
      </c>
      <c r="D152" s="955">
        <v>93090</v>
      </c>
      <c r="E152" s="956" t="s">
        <v>1229</v>
      </c>
    </row>
    <row r="153" spans="1:5" ht="47.25" x14ac:dyDescent="0.3">
      <c r="A153" s="953">
        <f t="shared" si="2"/>
        <v>143</v>
      </c>
      <c r="B153" s="954" t="s">
        <v>1371</v>
      </c>
      <c r="D153" s="955">
        <v>512785</v>
      </c>
      <c r="E153" s="956" t="s">
        <v>1229</v>
      </c>
    </row>
    <row r="154" spans="1:5" ht="63" x14ac:dyDescent="0.3">
      <c r="A154" s="953">
        <f t="shared" si="2"/>
        <v>144</v>
      </c>
      <c r="B154" s="954" t="s">
        <v>1372</v>
      </c>
      <c r="D154" s="955">
        <v>2087937.08</v>
      </c>
      <c r="E154" s="956" t="s">
        <v>1229</v>
      </c>
    </row>
    <row r="155" spans="1:5" ht="63" x14ac:dyDescent="0.3">
      <c r="A155" s="953">
        <f t="shared" si="2"/>
        <v>145</v>
      </c>
      <c r="B155" s="954" t="s">
        <v>1373</v>
      </c>
      <c r="D155" s="955">
        <v>941322</v>
      </c>
      <c r="E155" s="956" t="s">
        <v>1229</v>
      </c>
    </row>
    <row r="156" spans="1:5" ht="63" x14ac:dyDescent="0.3">
      <c r="A156" s="953">
        <f t="shared" si="2"/>
        <v>146</v>
      </c>
      <c r="B156" s="954" t="s">
        <v>1374</v>
      </c>
      <c r="D156" s="955">
        <v>2064518</v>
      </c>
      <c r="E156" s="956" t="s">
        <v>1229</v>
      </c>
    </row>
    <row r="157" spans="1:5" ht="63" x14ac:dyDescent="0.3">
      <c r="A157" s="953">
        <f t="shared" si="2"/>
        <v>147</v>
      </c>
      <c r="B157" s="954" t="s">
        <v>1375</v>
      </c>
      <c r="D157" s="955">
        <v>1796238</v>
      </c>
      <c r="E157" s="956" t="s">
        <v>1229</v>
      </c>
    </row>
    <row r="158" spans="1:5" ht="63" x14ac:dyDescent="0.3">
      <c r="A158" s="953">
        <f t="shared" si="2"/>
        <v>148</v>
      </c>
      <c r="B158" s="954" t="s">
        <v>1376</v>
      </c>
      <c r="D158" s="955">
        <v>1542936</v>
      </c>
      <c r="E158" s="956" t="s">
        <v>1229</v>
      </c>
    </row>
    <row r="159" spans="1:5" ht="47.25" x14ac:dyDescent="0.3">
      <c r="A159" s="953">
        <f t="shared" si="2"/>
        <v>149</v>
      </c>
      <c r="B159" s="954" t="s">
        <v>1377</v>
      </c>
      <c r="D159" s="955">
        <v>131650</v>
      </c>
      <c r="E159" s="956" t="s">
        <v>1229</v>
      </c>
    </row>
    <row r="160" spans="1:5" ht="63" x14ac:dyDescent="0.3">
      <c r="A160" s="953">
        <f t="shared" si="2"/>
        <v>150</v>
      </c>
      <c r="B160" s="954" t="s">
        <v>1378</v>
      </c>
      <c r="D160" s="955">
        <v>1542936</v>
      </c>
      <c r="E160" s="956" t="s">
        <v>1229</v>
      </c>
    </row>
    <row r="161" spans="1:5" ht="63" x14ac:dyDescent="0.3">
      <c r="A161" s="953">
        <f t="shared" si="2"/>
        <v>151</v>
      </c>
      <c r="B161" s="954" t="s">
        <v>1379</v>
      </c>
      <c r="D161" s="955">
        <v>1500000</v>
      </c>
      <c r="E161" s="956" t="s">
        <v>1229</v>
      </c>
    </row>
    <row r="162" spans="1:5" ht="63" x14ac:dyDescent="0.3">
      <c r="A162" s="953">
        <f t="shared" si="2"/>
        <v>152</v>
      </c>
      <c r="B162" s="954" t="s">
        <v>1380</v>
      </c>
      <c r="D162" s="955">
        <v>1094903</v>
      </c>
      <c r="E162" s="956" t="s">
        <v>1229</v>
      </c>
    </row>
    <row r="163" spans="1:5" ht="78.75" x14ac:dyDescent="0.3">
      <c r="A163" s="953">
        <f t="shared" si="2"/>
        <v>153</v>
      </c>
      <c r="B163" s="954" t="s">
        <v>1381</v>
      </c>
      <c r="D163" s="955">
        <v>1729938</v>
      </c>
      <c r="E163" s="956" t="s">
        <v>1229</v>
      </c>
    </row>
    <row r="164" spans="1:5" ht="63" x14ac:dyDescent="0.3">
      <c r="A164" s="953">
        <f t="shared" si="2"/>
        <v>154</v>
      </c>
      <c r="B164" s="954" t="s">
        <v>1382</v>
      </c>
      <c r="D164" s="955">
        <v>3382422.37</v>
      </c>
      <c r="E164" s="956" t="s">
        <v>1383</v>
      </c>
    </row>
    <row r="165" spans="1:5" ht="63" x14ac:dyDescent="0.3">
      <c r="A165" s="953">
        <f t="shared" si="2"/>
        <v>155</v>
      </c>
      <c r="B165" s="954" t="s">
        <v>1384</v>
      </c>
      <c r="D165" s="955">
        <v>4940465.76</v>
      </c>
      <c r="E165" s="956" t="s">
        <v>1383</v>
      </c>
    </row>
    <row r="166" spans="1:5" ht="94.5" x14ac:dyDescent="0.3">
      <c r="A166" s="953">
        <f t="shared" si="2"/>
        <v>156</v>
      </c>
      <c r="B166" s="954" t="s">
        <v>1385</v>
      </c>
      <c r="D166" s="955">
        <v>2159928.0099999998</v>
      </c>
      <c r="E166" s="956" t="s">
        <v>1383</v>
      </c>
    </row>
    <row r="167" spans="1:5" ht="78.75" x14ac:dyDescent="0.3">
      <c r="A167" s="953">
        <f t="shared" si="2"/>
        <v>157</v>
      </c>
      <c r="B167" s="954" t="s">
        <v>1386</v>
      </c>
      <c r="D167" s="955">
        <v>1685044</v>
      </c>
      <c r="E167" s="956" t="s">
        <v>1383</v>
      </c>
    </row>
    <row r="168" spans="1:5" ht="78.75" x14ac:dyDescent="0.3">
      <c r="A168" s="953">
        <f t="shared" si="2"/>
        <v>158</v>
      </c>
      <c r="B168" s="954" t="s">
        <v>1387</v>
      </c>
      <c r="D168" s="955">
        <v>2204281.44</v>
      </c>
      <c r="E168" s="956" t="s">
        <v>1383</v>
      </c>
    </row>
    <row r="169" spans="1:5" ht="63" x14ac:dyDescent="0.3">
      <c r="A169" s="953">
        <f t="shared" si="2"/>
        <v>159</v>
      </c>
      <c r="B169" s="954" t="s">
        <v>1388</v>
      </c>
      <c r="D169" s="955">
        <v>490544.68</v>
      </c>
      <c r="E169" s="956" t="s">
        <v>1383</v>
      </c>
    </row>
    <row r="170" spans="1:5" ht="47.25" x14ac:dyDescent="0.3">
      <c r="A170" s="953">
        <f t="shared" si="2"/>
        <v>160</v>
      </c>
      <c r="B170" s="954" t="s">
        <v>1389</v>
      </c>
      <c r="D170" s="955">
        <v>385103.07</v>
      </c>
      <c r="E170" s="956" t="s">
        <v>1383</v>
      </c>
    </row>
    <row r="171" spans="1:5" ht="47.25" x14ac:dyDescent="0.3">
      <c r="A171" s="953">
        <f t="shared" si="2"/>
        <v>161</v>
      </c>
      <c r="B171" s="954" t="s">
        <v>1390</v>
      </c>
      <c r="D171" s="955">
        <v>710721.78</v>
      </c>
      <c r="E171" s="956" t="s">
        <v>1383</v>
      </c>
    </row>
    <row r="172" spans="1:5" ht="63" x14ac:dyDescent="0.3">
      <c r="A172" s="953">
        <f t="shared" si="2"/>
        <v>162</v>
      </c>
      <c r="B172" s="954" t="s">
        <v>1391</v>
      </c>
      <c r="D172" s="955">
        <v>3096847.47</v>
      </c>
      <c r="E172" s="956" t="s">
        <v>1383</v>
      </c>
    </row>
    <row r="173" spans="1:5" ht="47.25" x14ac:dyDescent="0.3">
      <c r="A173" s="953">
        <f t="shared" si="2"/>
        <v>163</v>
      </c>
      <c r="B173" s="954" t="s">
        <v>1392</v>
      </c>
      <c r="D173" s="955">
        <v>1024906.87</v>
      </c>
      <c r="E173" s="956" t="s">
        <v>1383</v>
      </c>
    </row>
    <row r="174" spans="1:5" ht="47.25" x14ac:dyDescent="0.3">
      <c r="A174" s="953">
        <f t="shared" si="2"/>
        <v>164</v>
      </c>
      <c r="B174" s="954" t="s">
        <v>1393</v>
      </c>
      <c r="D174" s="955">
        <v>699949.55</v>
      </c>
      <c r="E174" s="956" t="s">
        <v>1383</v>
      </c>
    </row>
    <row r="175" spans="1:5" ht="63" x14ac:dyDescent="0.3">
      <c r="A175" s="953">
        <f t="shared" si="2"/>
        <v>165</v>
      </c>
      <c r="B175" s="954" t="s">
        <v>1394</v>
      </c>
      <c r="D175" s="955">
        <v>773092.94</v>
      </c>
      <c r="E175" s="956" t="s">
        <v>1383</v>
      </c>
    </row>
    <row r="176" spans="1:5" ht="47.25" x14ac:dyDescent="0.3">
      <c r="A176" s="953">
        <f t="shared" si="2"/>
        <v>166</v>
      </c>
      <c r="B176" s="954" t="s">
        <v>1395</v>
      </c>
      <c r="D176" s="955">
        <v>708633.48</v>
      </c>
      <c r="E176" s="956" t="s">
        <v>1383</v>
      </c>
    </row>
    <row r="177" spans="1:5" ht="47.25" x14ac:dyDescent="0.3">
      <c r="A177" s="953">
        <f t="shared" si="2"/>
        <v>167</v>
      </c>
      <c r="B177" s="954" t="s">
        <v>1396</v>
      </c>
      <c r="D177" s="955">
        <v>316550.37</v>
      </c>
      <c r="E177" s="956" t="s">
        <v>1383</v>
      </c>
    </row>
    <row r="178" spans="1:5" ht="47.25" x14ac:dyDescent="0.3">
      <c r="A178" s="953">
        <f t="shared" si="2"/>
        <v>168</v>
      </c>
      <c r="B178" s="954" t="s">
        <v>1397</v>
      </c>
      <c r="D178" s="955">
        <v>577104.54</v>
      </c>
      <c r="E178" s="956" t="s">
        <v>1383</v>
      </c>
    </row>
    <row r="179" spans="1:5" ht="47.25" x14ac:dyDescent="0.3">
      <c r="A179" s="953">
        <f t="shared" si="2"/>
        <v>169</v>
      </c>
      <c r="B179" s="954" t="s">
        <v>1398</v>
      </c>
      <c r="D179" s="955">
        <v>922434.32</v>
      </c>
      <c r="E179" s="956" t="s">
        <v>1383</v>
      </c>
    </row>
    <row r="180" spans="1:5" ht="47.25" x14ac:dyDescent="0.3">
      <c r="A180" s="953">
        <f t="shared" si="2"/>
        <v>170</v>
      </c>
      <c r="B180" s="954" t="s">
        <v>1399</v>
      </c>
      <c r="D180" s="955">
        <v>1626489.39</v>
      </c>
      <c r="E180" s="956" t="s">
        <v>1383</v>
      </c>
    </row>
    <row r="181" spans="1:5" ht="63" x14ac:dyDescent="0.3">
      <c r="A181" s="953">
        <f t="shared" si="2"/>
        <v>171</v>
      </c>
      <c r="B181" s="954" t="s">
        <v>1400</v>
      </c>
      <c r="D181" s="955">
        <v>1273722.51</v>
      </c>
      <c r="E181" s="956" t="s">
        <v>1383</v>
      </c>
    </row>
    <row r="182" spans="1:5" ht="47.25" x14ac:dyDescent="0.3">
      <c r="A182" s="953">
        <f t="shared" si="2"/>
        <v>172</v>
      </c>
      <c r="B182" s="954" t="s">
        <v>1401</v>
      </c>
      <c r="D182" s="955">
        <v>999635.62</v>
      </c>
      <c r="E182" s="956" t="s">
        <v>1383</v>
      </c>
    </row>
    <row r="183" spans="1:5" ht="63" x14ac:dyDescent="0.3">
      <c r="A183" s="953">
        <f t="shared" si="2"/>
        <v>173</v>
      </c>
      <c r="B183" s="954" t="s">
        <v>1402</v>
      </c>
      <c r="D183" s="955">
        <v>3466896.99</v>
      </c>
      <c r="E183" s="956" t="s">
        <v>1383</v>
      </c>
    </row>
    <row r="184" spans="1:5" ht="47.25" x14ac:dyDescent="0.3">
      <c r="A184" s="953">
        <f t="shared" si="2"/>
        <v>174</v>
      </c>
      <c r="B184" s="954" t="s">
        <v>1403</v>
      </c>
      <c r="D184" s="955">
        <v>1599926.96</v>
      </c>
      <c r="E184" s="956" t="s">
        <v>1383</v>
      </c>
    </row>
    <row r="185" spans="1:5" ht="47.25" x14ac:dyDescent="0.3">
      <c r="A185" s="953">
        <f t="shared" si="2"/>
        <v>175</v>
      </c>
      <c r="B185" s="954" t="s">
        <v>1404</v>
      </c>
      <c r="D185" s="955">
        <v>861045.26</v>
      </c>
      <c r="E185" s="956" t="s">
        <v>1383</v>
      </c>
    </row>
    <row r="186" spans="1:5" ht="31.5" x14ac:dyDescent="0.3">
      <c r="A186" s="953">
        <f t="shared" si="2"/>
        <v>176</v>
      </c>
      <c r="B186" s="954" t="s">
        <v>1405</v>
      </c>
      <c r="D186" s="955">
        <v>1138367.25</v>
      </c>
      <c r="E186" s="956" t="s">
        <v>1383</v>
      </c>
    </row>
    <row r="187" spans="1:5" ht="78.75" x14ac:dyDescent="0.3">
      <c r="A187" s="953">
        <f t="shared" si="2"/>
        <v>177</v>
      </c>
      <c r="B187" s="954" t="s">
        <v>1406</v>
      </c>
      <c r="D187" s="955">
        <v>999692.21</v>
      </c>
      <c r="E187" s="956" t="s">
        <v>1383</v>
      </c>
    </row>
    <row r="188" spans="1:5" ht="63" x14ac:dyDescent="0.3">
      <c r="A188" s="953">
        <f t="shared" si="2"/>
        <v>178</v>
      </c>
      <c r="B188" s="954" t="s">
        <v>1407</v>
      </c>
      <c r="D188" s="955">
        <v>1999379.99</v>
      </c>
      <c r="E188" s="956" t="s">
        <v>1383</v>
      </c>
    </row>
    <row r="189" spans="1:5" ht="63" x14ac:dyDescent="0.3">
      <c r="A189" s="953">
        <f t="shared" si="2"/>
        <v>179</v>
      </c>
      <c r="B189" s="954" t="s">
        <v>1408</v>
      </c>
      <c r="D189" s="955">
        <v>779668.16</v>
      </c>
      <c r="E189" s="956" t="s">
        <v>1383</v>
      </c>
    </row>
    <row r="190" spans="1:5" ht="31.5" x14ac:dyDescent="0.3">
      <c r="A190" s="953">
        <f t="shared" si="2"/>
        <v>180</v>
      </c>
      <c r="B190" s="954" t="s">
        <v>1409</v>
      </c>
      <c r="D190" s="955">
        <v>116917.11</v>
      </c>
      <c r="E190" s="956" t="s">
        <v>1410</v>
      </c>
    </row>
    <row r="191" spans="1:5" ht="47.25" x14ac:dyDescent="0.3">
      <c r="A191" s="953">
        <f t="shared" si="2"/>
        <v>181</v>
      </c>
      <c r="B191" s="954" t="s">
        <v>1411</v>
      </c>
      <c r="D191" s="955">
        <v>507982.04</v>
      </c>
      <c r="E191" s="956" t="s">
        <v>1410</v>
      </c>
    </row>
    <row r="192" spans="1:5" ht="47.25" x14ac:dyDescent="0.3">
      <c r="A192" s="953">
        <f t="shared" si="2"/>
        <v>182</v>
      </c>
      <c r="B192" s="954" t="s">
        <v>1412</v>
      </c>
      <c r="D192" s="955">
        <v>183042.56</v>
      </c>
      <c r="E192" s="956" t="s">
        <v>1410</v>
      </c>
    </row>
    <row r="193" spans="1:5" ht="63" x14ac:dyDescent="0.3">
      <c r="A193" s="953">
        <f t="shared" si="2"/>
        <v>183</v>
      </c>
      <c r="B193" s="954" t="s">
        <v>1413</v>
      </c>
      <c r="D193" s="955">
        <v>265510.65000000002</v>
      </c>
      <c r="E193" s="956" t="s">
        <v>1410</v>
      </c>
    </row>
    <row r="194" spans="1:5" ht="63" x14ac:dyDescent="0.3">
      <c r="A194" s="953">
        <f t="shared" si="2"/>
        <v>184</v>
      </c>
      <c r="B194" s="954" t="s">
        <v>1414</v>
      </c>
      <c r="D194" s="955">
        <v>315274.65000000002</v>
      </c>
      <c r="E194" s="956" t="s">
        <v>1410</v>
      </c>
    </row>
    <row r="195" spans="1:5" ht="63" x14ac:dyDescent="0.3">
      <c r="A195" s="953">
        <f t="shared" si="2"/>
        <v>185</v>
      </c>
      <c r="B195" s="954" t="s">
        <v>1415</v>
      </c>
      <c r="D195" s="955">
        <v>314594.31</v>
      </c>
      <c r="E195" s="956" t="s">
        <v>1410</v>
      </c>
    </row>
    <row r="196" spans="1:5" ht="78.75" x14ac:dyDescent="0.3">
      <c r="A196" s="953">
        <f t="shared" si="2"/>
        <v>186</v>
      </c>
      <c r="B196" s="954" t="s">
        <v>1416</v>
      </c>
      <c r="D196" s="955">
        <v>237831.83</v>
      </c>
      <c r="E196" s="956" t="s">
        <v>1410</v>
      </c>
    </row>
    <row r="197" spans="1:5" ht="63" x14ac:dyDescent="0.3">
      <c r="A197" s="953">
        <f t="shared" si="2"/>
        <v>187</v>
      </c>
      <c r="B197" s="954" t="s">
        <v>1417</v>
      </c>
      <c r="D197" s="955">
        <v>29103.62</v>
      </c>
      <c r="E197" s="956" t="s">
        <v>1410</v>
      </c>
    </row>
    <row r="198" spans="1:5" ht="47.25" x14ac:dyDescent="0.3">
      <c r="A198" s="953">
        <f t="shared" si="2"/>
        <v>188</v>
      </c>
      <c r="B198" s="954" t="s">
        <v>1418</v>
      </c>
      <c r="D198" s="955">
        <v>49031</v>
      </c>
      <c r="E198" s="956" t="s">
        <v>1410</v>
      </c>
    </row>
    <row r="199" spans="1:5" ht="47.25" x14ac:dyDescent="0.3">
      <c r="A199" s="953">
        <f t="shared" si="2"/>
        <v>189</v>
      </c>
      <c r="B199" s="954" t="s">
        <v>1419</v>
      </c>
      <c r="D199" s="955">
        <v>79386</v>
      </c>
      <c r="E199" s="956" t="s">
        <v>1410</v>
      </c>
    </row>
    <row r="200" spans="1:5" ht="63" x14ac:dyDescent="0.3">
      <c r="A200" s="953">
        <f t="shared" si="2"/>
        <v>190</v>
      </c>
      <c r="B200" s="954" t="s">
        <v>1420</v>
      </c>
      <c r="D200" s="955">
        <v>671380</v>
      </c>
      <c r="E200" s="956" t="s">
        <v>1410</v>
      </c>
    </row>
    <row r="201" spans="1:5" ht="47.25" x14ac:dyDescent="0.3">
      <c r="A201" s="953">
        <f t="shared" si="2"/>
        <v>191</v>
      </c>
      <c r="B201" s="954" t="s">
        <v>1421</v>
      </c>
      <c r="D201" s="955">
        <v>102960</v>
      </c>
      <c r="E201" s="956" t="s">
        <v>1410</v>
      </c>
    </row>
    <row r="202" spans="1:5" ht="63" x14ac:dyDescent="0.3">
      <c r="A202" s="953">
        <f t="shared" si="2"/>
        <v>192</v>
      </c>
      <c r="B202" s="954" t="s">
        <v>1422</v>
      </c>
      <c r="D202" s="955">
        <v>449265</v>
      </c>
      <c r="E202" s="956" t="s">
        <v>1410</v>
      </c>
    </row>
    <row r="203" spans="1:5" ht="63" x14ac:dyDescent="0.3">
      <c r="A203" s="953">
        <f t="shared" si="2"/>
        <v>193</v>
      </c>
      <c r="B203" s="954" t="s">
        <v>1423</v>
      </c>
      <c r="D203" s="955">
        <v>388920</v>
      </c>
      <c r="E203" s="956" t="s">
        <v>1410</v>
      </c>
    </row>
    <row r="204" spans="1:5" ht="63" x14ac:dyDescent="0.3">
      <c r="A204" s="953">
        <f t="shared" si="2"/>
        <v>194</v>
      </c>
      <c r="B204" s="954" t="s">
        <v>1424</v>
      </c>
      <c r="D204" s="955">
        <v>909838.04</v>
      </c>
      <c r="E204" s="956" t="s">
        <v>1410</v>
      </c>
    </row>
    <row r="205" spans="1:5" ht="78.75" x14ac:dyDescent="0.3">
      <c r="A205" s="953">
        <f t="shared" ref="A205:A268" si="3">+A204+1</f>
        <v>195</v>
      </c>
      <c r="B205" s="954" t="s">
        <v>1425</v>
      </c>
      <c r="D205" s="955">
        <v>348622.56</v>
      </c>
      <c r="E205" s="956" t="s">
        <v>1410</v>
      </c>
    </row>
    <row r="206" spans="1:5" ht="47.25" x14ac:dyDescent="0.3">
      <c r="A206" s="953">
        <f t="shared" si="3"/>
        <v>196</v>
      </c>
      <c r="B206" s="954" t="s">
        <v>1426</v>
      </c>
      <c r="D206" s="955">
        <v>174250</v>
      </c>
      <c r="E206" s="956" t="s">
        <v>1410</v>
      </c>
    </row>
    <row r="207" spans="1:5" ht="47.25" x14ac:dyDescent="0.3">
      <c r="A207" s="953">
        <f t="shared" si="3"/>
        <v>197</v>
      </c>
      <c r="B207" s="954" t="s">
        <v>1427</v>
      </c>
      <c r="D207" s="955">
        <v>95880</v>
      </c>
      <c r="E207" s="956" t="s">
        <v>1410</v>
      </c>
    </row>
    <row r="208" spans="1:5" ht="47.25" x14ac:dyDescent="0.3">
      <c r="A208" s="953">
        <f t="shared" si="3"/>
        <v>198</v>
      </c>
      <c r="B208" s="954" t="s">
        <v>1428</v>
      </c>
      <c r="D208" s="955">
        <v>140250</v>
      </c>
      <c r="E208" s="956" t="s">
        <v>1410</v>
      </c>
    </row>
    <row r="209" spans="1:5" ht="63" x14ac:dyDescent="0.3">
      <c r="A209" s="953">
        <f t="shared" si="3"/>
        <v>199</v>
      </c>
      <c r="B209" s="954" t="s">
        <v>1429</v>
      </c>
      <c r="D209" s="955">
        <v>311567</v>
      </c>
      <c r="E209" s="956" t="s">
        <v>1410</v>
      </c>
    </row>
    <row r="210" spans="1:5" ht="78.75" x14ac:dyDescent="0.3">
      <c r="A210" s="953">
        <f t="shared" si="3"/>
        <v>200</v>
      </c>
      <c r="B210" s="954" t="s">
        <v>1430</v>
      </c>
      <c r="D210" s="955">
        <v>306306.14</v>
      </c>
      <c r="E210" s="956" t="s">
        <v>1410</v>
      </c>
    </row>
    <row r="211" spans="1:5" ht="63" x14ac:dyDescent="0.3">
      <c r="A211" s="953">
        <f t="shared" si="3"/>
        <v>201</v>
      </c>
      <c r="B211" s="954" t="s">
        <v>1431</v>
      </c>
      <c r="D211" s="955">
        <v>118594.45</v>
      </c>
      <c r="E211" s="956" t="s">
        <v>1410</v>
      </c>
    </row>
    <row r="212" spans="1:5" ht="47.25" x14ac:dyDescent="0.3">
      <c r="A212" s="953">
        <f t="shared" si="3"/>
        <v>202</v>
      </c>
      <c r="B212" s="954" t="s">
        <v>1432</v>
      </c>
      <c r="D212" s="955">
        <v>111689.58</v>
      </c>
      <c r="E212" s="956" t="s">
        <v>1410</v>
      </c>
    </row>
    <row r="213" spans="1:5" ht="78.75" x14ac:dyDescent="0.3">
      <c r="A213" s="953">
        <f t="shared" si="3"/>
        <v>203</v>
      </c>
      <c r="B213" s="954" t="s">
        <v>1433</v>
      </c>
      <c r="D213" s="955">
        <v>28805.599999999999</v>
      </c>
      <c r="E213" s="956" t="s">
        <v>1410</v>
      </c>
    </row>
    <row r="214" spans="1:5" ht="47.25" x14ac:dyDescent="0.3">
      <c r="A214" s="953">
        <f t="shared" si="3"/>
        <v>204</v>
      </c>
      <c r="B214" s="954" t="s">
        <v>1434</v>
      </c>
      <c r="D214" s="955">
        <v>54506.11</v>
      </c>
      <c r="E214" s="956" t="s">
        <v>1410</v>
      </c>
    </row>
    <row r="215" spans="1:5" ht="47.25" x14ac:dyDescent="0.3">
      <c r="A215" s="953">
        <f t="shared" si="3"/>
        <v>205</v>
      </c>
      <c r="B215" s="954" t="s">
        <v>1435</v>
      </c>
      <c r="D215" s="955">
        <v>128910.14</v>
      </c>
      <c r="E215" s="956" t="s">
        <v>1410</v>
      </c>
    </row>
    <row r="216" spans="1:5" ht="63" x14ac:dyDescent="0.3">
      <c r="A216" s="953">
        <f t="shared" si="3"/>
        <v>206</v>
      </c>
      <c r="B216" s="954" t="s">
        <v>1436</v>
      </c>
      <c r="D216" s="955">
        <v>87109.5</v>
      </c>
      <c r="E216" s="956" t="s">
        <v>1410</v>
      </c>
    </row>
    <row r="217" spans="1:5" ht="47.25" x14ac:dyDescent="0.3">
      <c r="A217" s="953">
        <f t="shared" si="3"/>
        <v>207</v>
      </c>
      <c r="B217" s="954" t="s">
        <v>1437</v>
      </c>
      <c r="D217" s="955">
        <v>425468.84</v>
      </c>
      <c r="E217" s="956" t="s">
        <v>1410</v>
      </c>
    </row>
    <row r="218" spans="1:5" ht="31.5" x14ac:dyDescent="0.3">
      <c r="A218" s="953">
        <f t="shared" si="3"/>
        <v>208</v>
      </c>
      <c r="B218" s="954" t="s">
        <v>1438</v>
      </c>
      <c r="D218" s="955">
        <v>165237.42000000001</v>
      </c>
      <c r="E218" s="956" t="s">
        <v>1410</v>
      </c>
    </row>
    <row r="219" spans="1:5" ht="47.25" x14ac:dyDescent="0.3">
      <c r="A219" s="953">
        <f t="shared" si="3"/>
        <v>209</v>
      </c>
      <c r="B219" s="954" t="s">
        <v>1439</v>
      </c>
      <c r="D219" s="955">
        <v>225076.14</v>
      </c>
      <c r="E219" s="956" t="s">
        <v>1410</v>
      </c>
    </row>
    <row r="220" spans="1:5" ht="63" x14ac:dyDescent="0.3">
      <c r="A220" s="953">
        <f t="shared" si="3"/>
        <v>210</v>
      </c>
      <c r="B220" s="954" t="s">
        <v>1440</v>
      </c>
      <c r="D220" s="955">
        <v>586150.85</v>
      </c>
      <c r="E220" s="956" t="s">
        <v>1410</v>
      </c>
    </row>
    <row r="221" spans="1:5" ht="47.25" x14ac:dyDescent="0.3">
      <c r="A221" s="953">
        <f t="shared" si="3"/>
        <v>211</v>
      </c>
      <c r="B221" s="954" t="s">
        <v>1441</v>
      </c>
      <c r="D221" s="955">
        <v>154870</v>
      </c>
      <c r="E221" s="956" t="s">
        <v>1410</v>
      </c>
    </row>
    <row r="222" spans="1:5" ht="63" x14ac:dyDescent="0.3">
      <c r="A222" s="953">
        <f t="shared" si="3"/>
        <v>212</v>
      </c>
      <c r="B222" s="954" t="s">
        <v>1442</v>
      </c>
      <c r="D222" s="955">
        <v>317153.34000000003</v>
      </c>
      <c r="E222" s="956" t="s">
        <v>1410</v>
      </c>
    </row>
    <row r="223" spans="1:5" ht="47.25" x14ac:dyDescent="0.3">
      <c r="A223" s="953">
        <f t="shared" si="3"/>
        <v>213</v>
      </c>
      <c r="B223" s="954" t="s">
        <v>1443</v>
      </c>
      <c r="D223" s="955">
        <v>302214.03999999998</v>
      </c>
      <c r="E223" s="956" t="s">
        <v>1410</v>
      </c>
    </row>
    <row r="224" spans="1:5" ht="63" x14ac:dyDescent="0.3">
      <c r="A224" s="953">
        <f t="shared" si="3"/>
        <v>214</v>
      </c>
      <c r="B224" s="954" t="s">
        <v>1444</v>
      </c>
      <c r="D224" s="955">
        <v>241075.54</v>
      </c>
      <c r="E224" s="956" t="s">
        <v>1410</v>
      </c>
    </row>
    <row r="225" spans="1:5" ht="63" x14ac:dyDescent="0.3">
      <c r="A225" s="953">
        <f t="shared" si="3"/>
        <v>215</v>
      </c>
      <c r="B225" s="954" t="s">
        <v>1445</v>
      </c>
      <c r="D225" s="955">
        <v>274815.94</v>
      </c>
      <c r="E225" s="956" t="s">
        <v>1410</v>
      </c>
    </row>
    <row r="226" spans="1:5" ht="63" x14ac:dyDescent="0.3">
      <c r="A226" s="953">
        <f t="shared" si="3"/>
        <v>216</v>
      </c>
      <c r="B226" s="954" t="s">
        <v>1446</v>
      </c>
      <c r="D226" s="955">
        <v>184793.26</v>
      </c>
      <c r="E226" s="956" t="s">
        <v>1410</v>
      </c>
    </row>
    <row r="227" spans="1:5" ht="63" x14ac:dyDescent="0.3">
      <c r="A227" s="953">
        <f t="shared" si="3"/>
        <v>217</v>
      </c>
      <c r="B227" s="954" t="s">
        <v>1447</v>
      </c>
      <c r="D227" s="955">
        <v>304691.83</v>
      </c>
      <c r="E227" s="956" t="s">
        <v>1410</v>
      </c>
    </row>
    <row r="228" spans="1:5" ht="63" x14ac:dyDescent="0.3">
      <c r="A228" s="953">
        <f t="shared" si="3"/>
        <v>218</v>
      </c>
      <c r="B228" s="954" t="s">
        <v>1448</v>
      </c>
      <c r="D228" s="955">
        <v>175876</v>
      </c>
      <c r="E228" s="956" t="s">
        <v>1410</v>
      </c>
    </row>
    <row r="229" spans="1:5" ht="63" x14ac:dyDescent="0.3">
      <c r="A229" s="953">
        <f t="shared" si="3"/>
        <v>219</v>
      </c>
      <c r="B229" s="954" t="s">
        <v>1449</v>
      </c>
      <c r="D229" s="955">
        <v>271708</v>
      </c>
      <c r="E229" s="956" t="s">
        <v>1410</v>
      </c>
    </row>
    <row r="230" spans="1:5" ht="63" x14ac:dyDescent="0.3">
      <c r="A230" s="953">
        <f t="shared" si="3"/>
        <v>220</v>
      </c>
      <c r="B230" s="954" t="s">
        <v>1450</v>
      </c>
      <c r="D230" s="955">
        <v>249131</v>
      </c>
      <c r="E230" s="956" t="s">
        <v>1410</v>
      </c>
    </row>
    <row r="231" spans="1:5" ht="47.25" x14ac:dyDescent="0.3">
      <c r="A231" s="953">
        <f t="shared" si="3"/>
        <v>221</v>
      </c>
      <c r="B231" s="954" t="s">
        <v>1451</v>
      </c>
      <c r="D231" s="955">
        <v>125267</v>
      </c>
      <c r="E231" s="956" t="s">
        <v>1410</v>
      </c>
    </row>
    <row r="232" spans="1:5" ht="63" x14ac:dyDescent="0.3">
      <c r="A232" s="953">
        <f t="shared" si="3"/>
        <v>222</v>
      </c>
      <c r="B232" s="954" t="s">
        <v>1452</v>
      </c>
      <c r="D232" s="955">
        <v>421015</v>
      </c>
      <c r="E232" s="956" t="s">
        <v>1410</v>
      </c>
    </row>
    <row r="233" spans="1:5" ht="78.75" x14ac:dyDescent="0.3">
      <c r="A233" s="953">
        <f t="shared" si="3"/>
        <v>223</v>
      </c>
      <c r="B233" s="954" t="s">
        <v>1453</v>
      </c>
      <c r="D233" s="955">
        <v>517143.01</v>
      </c>
      <c r="E233" s="956" t="s">
        <v>1410</v>
      </c>
    </row>
    <row r="234" spans="1:5" ht="63" x14ac:dyDescent="0.3">
      <c r="A234" s="953">
        <f t="shared" si="3"/>
        <v>224</v>
      </c>
      <c r="B234" s="954" t="s">
        <v>1454</v>
      </c>
      <c r="D234" s="955">
        <v>64997.52</v>
      </c>
      <c r="E234" s="956" t="s">
        <v>1410</v>
      </c>
    </row>
    <row r="235" spans="1:5" ht="63" x14ac:dyDescent="0.3">
      <c r="A235" s="953">
        <f t="shared" si="3"/>
        <v>225</v>
      </c>
      <c r="B235" s="954" t="s">
        <v>1455</v>
      </c>
      <c r="D235" s="955">
        <v>412997.49</v>
      </c>
      <c r="E235" s="956" t="s">
        <v>1410</v>
      </c>
    </row>
    <row r="236" spans="1:5" ht="47.25" x14ac:dyDescent="0.3">
      <c r="A236" s="953">
        <f t="shared" si="3"/>
        <v>226</v>
      </c>
      <c r="B236" s="954" t="s">
        <v>1456</v>
      </c>
      <c r="D236" s="955">
        <v>192459.42</v>
      </c>
      <c r="E236" s="956" t="s">
        <v>1410</v>
      </c>
    </row>
    <row r="237" spans="1:5" ht="78.75" x14ac:dyDescent="0.3">
      <c r="A237" s="953">
        <f t="shared" si="3"/>
        <v>227</v>
      </c>
      <c r="B237" s="954" t="s">
        <v>1457</v>
      </c>
      <c r="D237" s="955">
        <v>201882.1</v>
      </c>
      <c r="E237" s="956" t="s">
        <v>1410</v>
      </c>
    </row>
    <row r="238" spans="1:5" ht="78.75" x14ac:dyDescent="0.3">
      <c r="A238" s="953">
        <f t="shared" si="3"/>
        <v>228</v>
      </c>
      <c r="B238" s="954" t="s">
        <v>1458</v>
      </c>
      <c r="D238" s="955">
        <v>201392.8</v>
      </c>
      <c r="E238" s="956" t="s">
        <v>1410</v>
      </c>
    </row>
    <row r="239" spans="1:5" ht="78.75" x14ac:dyDescent="0.3">
      <c r="A239" s="953">
        <f t="shared" si="3"/>
        <v>229</v>
      </c>
      <c r="B239" s="954" t="s">
        <v>1459</v>
      </c>
      <c r="D239" s="955">
        <v>204282.4</v>
      </c>
      <c r="E239" s="956" t="s">
        <v>1410</v>
      </c>
    </row>
    <row r="240" spans="1:5" ht="78.75" x14ac:dyDescent="0.3">
      <c r="A240" s="953">
        <f t="shared" si="3"/>
        <v>230</v>
      </c>
      <c r="B240" s="954" t="s">
        <v>1460</v>
      </c>
      <c r="D240" s="955">
        <v>204327.9</v>
      </c>
      <c r="E240" s="956" t="s">
        <v>1410</v>
      </c>
    </row>
    <row r="241" spans="1:5" ht="78.75" x14ac:dyDescent="0.3">
      <c r="A241" s="953">
        <f t="shared" si="3"/>
        <v>231</v>
      </c>
      <c r="B241" s="954" t="s">
        <v>1461</v>
      </c>
      <c r="D241" s="955">
        <v>204238.3</v>
      </c>
      <c r="E241" s="956" t="s">
        <v>1410</v>
      </c>
    </row>
    <row r="242" spans="1:5" ht="78.75" x14ac:dyDescent="0.3">
      <c r="A242" s="953">
        <f t="shared" si="3"/>
        <v>232</v>
      </c>
      <c r="B242" s="954" t="s">
        <v>1462</v>
      </c>
      <c r="D242" s="955">
        <v>189346.5</v>
      </c>
      <c r="E242" s="956" t="s">
        <v>1410</v>
      </c>
    </row>
    <row r="243" spans="1:5" ht="78.75" x14ac:dyDescent="0.3">
      <c r="A243" s="953">
        <f t="shared" si="3"/>
        <v>233</v>
      </c>
      <c r="B243" s="954" t="s">
        <v>1463</v>
      </c>
      <c r="D243" s="955">
        <v>189346.5</v>
      </c>
      <c r="E243" s="956" t="s">
        <v>1410</v>
      </c>
    </row>
    <row r="244" spans="1:5" ht="94.5" x14ac:dyDescent="0.3">
      <c r="A244" s="953">
        <f t="shared" si="3"/>
        <v>234</v>
      </c>
      <c r="B244" s="954" t="s">
        <v>1464</v>
      </c>
      <c r="D244" s="955">
        <v>188133.4</v>
      </c>
      <c r="E244" s="956" t="s">
        <v>1410</v>
      </c>
    </row>
    <row r="245" spans="1:5" ht="78.75" x14ac:dyDescent="0.3">
      <c r="A245" s="953">
        <f t="shared" si="3"/>
        <v>235</v>
      </c>
      <c r="B245" s="954" t="s">
        <v>1465</v>
      </c>
      <c r="D245" s="955">
        <v>190827</v>
      </c>
      <c r="E245" s="956" t="s">
        <v>1410</v>
      </c>
    </row>
    <row r="246" spans="1:5" ht="63" x14ac:dyDescent="0.3">
      <c r="A246" s="953">
        <f t="shared" si="3"/>
        <v>236</v>
      </c>
      <c r="B246" s="954" t="s">
        <v>1466</v>
      </c>
      <c r="D246" s="955">
        <v>177996</v>
      </c>
      <c r="E246" s="956" t="s">
        <v>1410</v>
      </c>
    </row>
    <row r="247" spans="1:5" ht="78.75" x14ac:dyDescent="0.3">
      <c r="A247" s="953">
        <f t="shared" si="3"/>
        <v>237</v>
      </c>
      <c r="B247" s="954" t="s">
        <v>1467</v>
      </c>
      <c r="D247" s="955">
        <v>165032.70000000001</v>
      </c>
      <c r="E247" s="956" t="s">
        <v>1410</v>
      </c>
    </row>
    <row r="248" spans="1:5" ht="78.75" x14ac:dyDescent="0.3">
      <c r="A248" s="953">
        <f t="shared" si="3"/>
        <v>238</v>
      </c>
      <c r="B248" s="954" t="s">
        <v>1468</v>
      </c>
      <c r="D248" s="955">
        <v>200833.5</v>
      </c>
      <c r="E248" s="956" t="s">
        <v>1410</v>
      </c>
    </row>
    <row r="249" spans="1:5" ht="78.75" x14ac:dyDescent="0.3">
      <c r="A249" s="953">
        <f t="shared" si="3"/>
        <v>239</v>
      </c>
      <c r="B249" s="954" t="s">
        <v>1469</v>
      </c>
      <c r="D249" s="955">
        <v>188909.7</v>
      </c>
      <c r="E249" s="956" t="s">
        <v>1410</v>
      </c>
    </row>
    <row r="250" spans="1:5" ht="94.5" x14ac:dyDescent="0.3">
      <c r="A250" s="953">
        <f t="shared" si="3"/>
        <v>240</v>
      </c>
      <c r="B250" s="954" t="s">
        <v>1470</v>
      </c>
      <c r="D250" s="955">
        <v>196081.9</v>
      </c>
      <c r="E250" s="956" t="s">
        <v>1410</v>
      </c>
    </row>
    <row r="251" spans="1:5" ht="94.5" x14ac:dyDescent="0.3">
      <c r="A251" s="953">
        <f t="shared" si="3"/>
        <v>241</v>
      </c>
      <c r="B251" s="954" t="s">
        <v>1523</v>
      </c>
      <c r="D251" s="955">
        <v>115830.39999999999</v>
      </c>
      <c r="E251" s="956" t="s">
        <v>1410</v>
      </c>
    </row>
    <row r="252" spans="1:5" ht="78.75" x14ac:dyDescent="0.3">
      <c r="A252" s="953">
        <f t="shared" si="3"/>
        <v>242</v>
      </c>
      <c r="B252" s="954" t="s">
        <v>1471</v>
      </c>
      <c r="D252" s="955">
        <v>115830.39999999999</v>
      </c>
      <c r="E252" s="956" t="s">
        <v>1410</v>
      </c>
    </row>
    <row r="253" spans="1:5" ht="78.75" x14ac:dyDescent="0.3">
      <c r="A253" s="953">
        <f t="shared" si="3"/>
        <v>243</v>
      </c>
      <c r="B253" s="954" t="s">
        <v>1472</v>
      </c>
      <c r="D253" s="955">
        <v>81059.3</v>
      </c>
      <c r="E253" s="956" t="s">
        <v>1410</v>
      </c>
    </row>
    <row r="254" spans="1:5" ht="94.5" x14ac:dyDescent="0.3">
      <c r="A254" s="953">
        <f t="shared" si="3"/>
        <v>244</v>
      </c>
      <c r="B254" s="954" t="s">
        <v>1473</v>
      </c>
      <c r="D254" s="955">
        <v>119951.3</v>
      </c>
      <c r="E254" s="956" t="s">
        <v>1410</v>
      </c>
    </row>
    <row r="255" spans="1:5" ht="78.75" x14ac:dyDescent="0.3">
      <c r="A255" s="953">
        <f t="shared" si="3"/>
        <v>245</v>
      </c>
      <c r="B255" s="954" t="s">
        <v>1474</v>
      </c>
      <c r="D255" s="955">
        <v>68952.800000000003</v>
      </c>
      <c r="E255" s="956" t="s">
        <v>1410</v>
      </c>
    </row>
    <row r="256" spans="1:5" ht="78.75" x14ac:dyDescent="0.3">
      <c r="A256" s="953">
        <f t="shared" si="3"/>
        <v>246</v>
      </c>
      <c r="B256" s="954" t="s">
        <v>1475</v>
      </c>
      <c r="D256" s="955">
        <v>58919</v>
      </c>
      <c r="E256" s="956" t="s">
        <v>1410</v>
      </c>
    </row>
    <row r="257" spans="1:5" ht="78.75" x14ac:dyDescent="0.3">
      <c r="A257" s="953">
        <f t="shared" si="3"/>
        <v>247</v>
      </c>
      <c r="B257" s="954" t="s">
        <v>1476</v>
      </c>
      <c r="D257" s="955">
        <v>70287</v>
      </c>
      <c r="E257" s="956" t="s">
        <v>1410</v>
      </c>
    </row>
    <row r="258" spans="1:5" ht="94.5" x14ac:dyDescent="0.3">
      <c r="A258" s="953">
        <f t="shared" si="3"/>
        <v>248</v>
      </c>
      <c r="B258" s="954" t="s">
        <v>1477</v>
      </c>
      <c r="D258" s="955">
        <v>110341</v>
      </c>
      <c r="E258" s="956" t="s">
        <v>1410</v>
      </c>
    </row>
    <row r="259" spans="1:5" ht="78.75" x14ac:dyDescent="0.3">
      <c r="A259" s="953">
        <f t="shared" si="3"/>
        <v>249</v>
      </c>
      <c r="B259" s="954" t="s">
        <v>1478</v>
      </c>
      <c r="D259" s="955">
        <v>207825</v>
      </c>
      <c r="E259" s="956" t="s">
        <v>1410</v>
      </c>
    </row>
    <row r="260" spans="1:5" ht="47.25" x14ac:dyDescent="0.3">
      <c r="A260" s="953">
        <f t="shared" si="3"/>
        <v>250</v>
      </c>
      <c r="B260" s="954" t="s">
        <v>1479</v>
      </c>
      <c r="D260" s="955">
        <v>264350</v>
      </c>
      <c r="E260" s="956" t="s">
        <v>1410</v>
      </c>
    </row>
    <row r="261" spans="1:5" ht="63" x14ac:dyDescent="0.3">
      <c r="A261" s="953">
        <f t="shared" si="3"/>
        <v>251</v>
      </c>
      <c r="B261" s="954" t="s">
        <v>1480</v>
      </c>
      <c r="D261" s="955">
        <v>153066.62</v>
      </c>
      <c r="E261" s="956" t="s">
        <v>1410</v>
      </c>
    </row>
    <row r="262" spans="1:5" ht="47.25" x14ac:dyDescent="0.3">
      <c r="A262" s="953">
        <f t="shared" si="3"/>
        <v>252</v>
      </c>
      <c r="B262" s="954" t="s">
        <v>1481</v>
      </c>
      <c r="D262" s="955">
        <v>321822.39</v>
      </c>
      <c r="E262" s="956" t="s">
        <v>1410</v>
      </c>
    </row>
    <row r="263" spans="1:5" ht="63" x14ac:dyDescent="0.3">
      <c r="A263" s="953">
        <f t="shared" si="3"/>
        <v>253</v>
      </c>
      <c r="B263" s="954" t="s">
        <v>1482</v>
      </c>
      <c r="D263" s="955">
        <v>131530.51999999999</v>
      </c>
      <c r="E263" s="956" t="s">
        <v>1410</v>
      </c>
    </row>
    <row r="264" spans="1:5" ht="47.25" x14ac:dyDescent="0.3">
      <c r="A264" s="953">
        <f t="shared" si="3"/>
        <v>254</v>
      </c>
      <c r="B264" s="954" t="s">
        <v>1483</v>
      </c>
      <c r="D264" s="955">
        <v>62352.58</v>
      </c>
      <c r="E264" s="956" t="s">
        <v>1410</v>
      </c>
    </row>
    <row r="265" spans="1:5" ht="47.25" x14ac:dyDescent="0.3">
      <c r="A265" s="953">
        <f t="shared" si="3"/>
        <v>255</v>
      </c>
      <c r="B265" s="954" t="s">
        <v>1484</v>
      </c>
      <c r="D265" s="955">
        <v>507110</v>
      </c>
      <c r="E265" s="956" t="s">
        <v>1410</v>
      </c>
    </row>
    <row r="266" spans="1:5" ht="47.25" x14ac:dyDescent="0.3">
      <c r="A266" s="953">
        <f t="shared" si="3"/>
        <v>256</v>
      </c>
      <c r="B266" s="954" t="s">
        <v>1485</v>
      </c>
      <c r="D266" s="955">
        <v>269790</v>
      </c>
      <c r="E266" s="956" t="s">
        <v>1410</v>
      </c>
    </row>
    <row r="267" spans="1:5" ht="47.25" x14ac:dyDescent="0.3">
      <c r="A267" s="953">
        <f t="shared" si="3"/>
        <v>257</v>
      </c>
      <c r="B267" s="954" t="s">
        <v>1486</v>
      </c>
      <c r="D267" s="955">
        <v>297330</v>
      </c>
      <c r="E267" s="956" t="s">
        <v>1410</v>
      </c>
    </row>
    <row r="268" spans="1:5" ht="47.25" x14ac:dyDescent="0.3">
      <c r="A268" s="953">
        <f t="shared" si="3"/>
        <v>258</v>
      </c>
      <c r="B268" s="954" t="s">
        <v>1487</v>
      </c>
      <c r="D268" s="955">
        <v>48620</v>
      </c>
      <c r="E268" s="956" t="s">
        <v>1410</v>
      </c>
    </row>
    <row r="269" spans="1:5" ht="47.25" x14ac:dyDescent="0.3">
      <c r="A269" s="953">
        <f t="shared" ref="A269:A303" si="4">+A268+1</f>
        <v>259</v>
      </c>
      <c r="B269" s="954" t="s">
        <v>1488</v>
      </c>
      <c r="D269" s="955">
        <v>414579.85</v>
      </c>
      <c r="E269" s="956" t="s">
        <v>1410</v>
      </c>
    </row>
    <row r="270" spans="1:5" ht="63" x14ac:dyDescent="0.3">
      <c r="A270" s="953">
        <f t="shared" si="4"/>
        <v>260</v>
      </c>
      <c r="B270" s="954" t="s">
        <v>1489</v>
      </c>
      <c r="D270" s="955">
        <v>304489.03999999998</v>
      </c>
      <c r="E270" s="956" t="s">
        <v>1410</v>
      </c>
    </row>
    <row r="271" spans="1:5" ht="47.25" x14ac:dyDescent="0.3">
      <c r="A271" s="953">
        <f t="shared" si="4"/>
        <v>261</v>
      </c>
      <c r="B271" s="954" t="s">
        <v>1490</v>
      </c>
      <c r="D271" s="955">
        <v>345065</v>
      </c>
      <c r="E271" s="956" t="s">
        <v>1410</v>
      </c>
    </row>
    <row r="272" spans="1:5" ht="47.25" x14ac:dyDescent="0.3">
      <c r="A272" s="953">
        <f t="shared" si="4"/>
        <v>262</v>
      </c>
      <c r="B272" s="954" t="s">
        <v>1491</v>
      </c>
      <c r="D272" s="955">
        <v>179232.37</v>
      </c>
      <c r="E272" s="956" t="s">
        <v>1410</v>
      </c>
    </row>
    <row r="273" spans="1:5" ht="47.25" x14ac:dyDescent="0.3">
      <c r="A273" s="953">
        <f t="shared" si="4"/>
        <v>263</v>
      </c>
      <c r="B273" s="954" t="s">
        <v>1492</v>
      </c>
      <c r="D273" s="955">
        <v>236783.23</v>
      </c>
      <c r="E273" s="956" t="s">
        <v>1410</v>
      </c>
    </row>
    <row r="274" spans="1:5" ht="31.5" x14ac:dyDescent="0.3">
      <c r="A274" s="953">
        <f t="shared" si="4"/>
        <v>264</v>
      </c>
      <c r="B274" s="954" t="s">
        <v>1493</v>
      </c>
      <c r="D274" s="955">
        <v>381569.52</v>
      </c>
      <c r="E274" s="956" t="s">
        <v>1410</v>
      </c>
    </row>
    <row r="275" spans="1:5" ht="63" x14ac:dyDescent="0.3">
      <c r="A275" s="953">
        <f t="shared" si="4"/>
        <v>265</v>
      </c>
      <c r="B275" s="954" t="s">
        <v>1494</v>
      </c>
      <c r="D275" s="955">
        <v>123182.82</v>
      </c>
      <c r="E275" s="956" t="s">
        <v>1410</v>
      </c>
    </row>
    <row r="276" spans="1:5" ht="47.25" x14ac:dyDescent="0.3">
      <c r="A276" s="953">
        <f t="shared" si="4"/>
        <v>266</v>
      </c>
      <c r="B276" s="954" t="s">
        <v>1495</v>
      </c>
      <c r="D276" s="955">
        <v>390828.81</v>
      </c>
      <c r="E276" s="956" t="s">
        <v>1410</v>
      </c>
    </row>
    <row r="277" spans="1:5" ht="63" x14ac:dyDescent="0.3">
      <c r="A277" s="953">
        <f t="shared" si="4"/>
        <v>267</v>
      </c>
      <c r="B277" s="954" t="s">
        <v>1496</v>
      </c>
      <c r="D277" s="955">
        <v>218639.05</v>
      </c>
      <c r="E277" s="956" t="s">
        <v>1410</v>
      </c>
    </row>
    <row r="278" spans="1:5" ht="31.5" x14ac:dyDescent="0.3">
      <c r="A278" s="953">
        <f t="shared" si="4"/>
        <v>268</v>
      </c>
      <c r="B278" s="954" t="s">
        <v>1497</v>
      </c>
      <c r="D278" s="955">
        <v>46436.84</v>
      </c>
      <c r="E278" s="956" t="s">
        <v>1410</v>
      </c>
    </row>
    <row r="279" spans="1:5" ht="47.25" x14ac:dyDescent="0.3">
      <c r="A279" s="953">
        <f t="shared" si="4"/>
        <v>269</v>
      </c>
      <c r="B279" s="954" t="s">
        <v>1498</v>
      </c>
      <c r="D279" s="955">
        <v>46436.84</v>
      </c>
      <c r="E279" s="956" t="s">
        <v>1410</v>
      </c>
    </row>
    <row r="280" spans="1:5" ht="78.75" x14ac:dyDescent="0.3">
      <c r="A280" s="953">
        <f t="shared" si="4"/>
        <v>270</v>
      </c>
      <c r="B280" s="954" t="s">
        <v>1499</v>
      </c>
      <c r="D280" s="955">
        <v>170702.73</v>
      </c>
      <c r="E280" s="956" t="s">
        <v>1410</v>
      </c>
    </row>
    <row r="281" spans="1:5" ht="63" x14ac:dyDescent="0.3">
      <c r="A281" s="953">
        <f t="shared" si="4"/>
        <v>271</v>
      </c>
      <c r="B281" s="954" t="s">
        <v>1500</v>
      </c>
      <c r="D281" s="955">
        <v>264388.71000000002</v>
      </c>
      <c r="E281" s="956" t="s">
        <v>1410</v>
      </c>
    </row>
    <row r="282" spans="1:5" ht="47.25" x14ac:dyDescent="0.3">
      <c r="A282" s="953">
        <f t="shared" si="4"/>
        <v>272</v>
      </c>
      <c r="B282" s="954" t="s">
        <v>1501</v>
      </c>
      <c r="D282" s="955">
        <v>119708.5</v>
      </c>
      <c r="E282" s="956" t="s">
        <v>1410</v>
      </c>
    </row>
    <row r="283" spans="1:5" ht="47.25" x14ac:dyDescent="0.3">
      <c r="A283" s="953">
        <f t="shared" si="4"/>
        <v>273</v>
      </c>
      <c r="B283" s="954" t="s">
        <v>1502</v>
      </c>
      <c r="D283" s="955">
        <v>102890.8</v>
      </c>
      <c r="E283" s="956" t="s">
        <v>1410</v>
      </c>
    </row>
    <row r="284" spans="1:5" ht="63" x14ac:dyDescent="0.3">
      <c r="A284" s="953">
        <f t="shared" si="4"/>
        <v>274</v>
      </c>
      <c r="B284" s="954" t="s">
        <v>1503</v>
      </c>
      <c r="D284" s="955">
        <v>277513.95</v>
      </c>
      <c r="E284" s="956" t="s">
        <v>1410</v>
      </c>
    </row>
    <row r="285" spans="1:5" ht="63" x14ac:dyDescent="0.3">
      <c r="A285" s="953">
        <f t="shared" si="4"/>
        <v>275</v>
      </c>
      <c r="B285" s="954" t="s">
        <v>1504</v>
      </c>
      <c r="D285" s="955">
        <v>104419.97</v>
      </c>
      <c r="E285" s="956" t="s">
        <v>1410</v>
      </c>
    </row>
    <row r="286" spans="1:5" ht="47.25" x14ac:dyDescent="0.3">
      <c r="A286" s="953">
        <f t="shared" si="4"/>
        <v>276</v>
      </c>
      <c r="B286" s="954" t="s">
        <v>1505</v>
      </c>
      <c r="D286" s="955">
        <v>29087.99</v>
      </c>
      <c r="E286" s="956" t="s">
        <v>1410</v>
      </c>
    </row>
    <row r="287" spans="1:5" ht="47.25" x14ac:dyDescent="0.3">
      <c r="A287" s="953">
        <f t="shared" si="4"/>
        <v>277</v>
      </c>
      <c r="B287" s="954" t="s">
        <v>1506</v>
      </c>
      <c r="D287" s="955">
        <v>400095</v>
      </c>
      <c r="E287" s="956" t="s">
        <v>1410</v>
      </c>
    </row>
    <row r="288" spans="1:5" ht="63" x14ac:dyDescent="0.3">
      <c r="A288" s="953">
        <f t="shared" si="4"/>
        <v>278</v>
      </c>
      <c r="B288" s="954" t="s">
        <v>1507</v>
      </c>
      <c r="D288" s="955">
        <v>226525</v>
      </c>
      <c r="E288" s="956" t="s">
        <v>1410</v>
      </c>
    </row>
    <row r="289" spans="1:5" ht="47.25" x14ac:dyDescent="0.3">
      <c r="A289" s="953">
        <f t="shared" si="4"/>
        <v>279</v>
      </c>
      <c r="B289" s="954" t="s">
        <v>1508</v>
      </c>
      <c r="D289" s="955">
        <v>217298.77</v>
      </c>
      <c r="E289" s="956" t="s">
        <v>1410</v>
      </c>
    </row>
    <row r="290" spans="1:5" ht="47.25" x14ac:dyDescent="0.3">
      <c r="A290" s="953">
        <f t="shared" si="4"/>
        <v>280</v>
      </c>
      <c r="B290" s="954" t="s">
        <v>1509</v>
      </c>
      <c r="D290" s="955">
        <v>240279.78</v>
      </c>
      <c r="E290" s="956" t="s">
        <v>1410</v>
      </c>
    </row>
    <row r="291" spans="1:5" ht="47.25" x14ac:dyDescent="0.3">
      <c r="A291" s="953">
        <f t="shared" si="4"/>
        <v>281</v>
      </c>
      <c r="B291" s="954" t="s">
        <v>1510</v>
      </c>
      <c r="D291" s="955">
        <v>345633.02</v>
      </c>
      <c r="E291" s="956" t="s">
        <v>1410</v>
      </c>
    </row>
    <row r="292" spans="1:5" ht="31.5" x14ac:dyDescent="0.3">
      <c r="A292" s="953">
        <f t="shared" si="4"/>
        <v>282</v>
      </c>
      <c r="B292" s="954" t="s">
        <v>1511</v>
      </c>
      <c r="D292" s="955">
        <v>68594.59</v>
      </c>
      <c r="E292" s="956" t="s">
        <v>1410</v>
      </c>
    </row>
    <row r="293" spans="1:5" ht="63" x14ac:dyDescent="0.3">
      <c r="A293" s="953">
        <f t="shared" si="4"/>
        <v>283</v>
      </c>
      <c r="B293" s="954" t="s">
        <v>1512</v>
      </c>
      <c r="D293" s="955">
        <v>397033.7</v>
      </c>
      <c r="E293" s="956" t="s">
        <v>1410</v>
      </c>
    </row>
    <row r="294" spans="1:5" ht="47.25" x14ac:dyDescent="0.3">
      <c r="A294" s="953">
        <f t="shared" si="4"/>
        <v>284</v>
      </c>
      <c r="B294" s="954" t="s">
        <v>1513</v>
      </c>
      <c r="D294" s="955">
        <v>169987.14</v>
      </c>
      <c r="E294" s="956" t="s">
        <v>1410</v>
      </c>
    </row>
    <row r="295" spans="1:5" ht="47.25" x14ac:dyDescent="0.3">
      <c r="A295" s="953">
        <f t="shared" si="4"/>
        <v>285</v>
      </c>
      <c r="B295" s="954" t="s">
        <v>1514</v>
      </c>
      <c r="D295" s="955">
        <v>180779.67</v>
      </c>
      <c r="E295" s="956" t="s">
        <v>1410</v>
      </c>
    </row>
    <row r="296" spans="1:5" ht="47.25" x14ac:dyDescent="0.3">
      <c r="A296" s="953">
        <f t="shared" si="4"/>
        <v>286</v>
      </c>
      <c r="B296" s="954" t="s">
        <v>1515</v>
      </c>
      <c r="D296" s="955">
        <v>170767.11</v>
      </c>
      <c r="E296" s="956" t="s">
        <v>1410</v>
      </c>
    </row>
    <row r="297" spans="1:5" ht="47.25" x14ac:dyDescent="0.3">
      <c r="A297" s="953">
        <f t="shared" si="4"/>
        <v>287</v>
      </c>
      <c r="B297" s="954" t="s">
        <v>1516</v>
      </c>
      <c r="D297" s="955">
        <v>106872.12</v>
      </c>
      <c r="E297" s="956" t="s">
        <v>1410</v>
      </c>
    </row>
    <row r="298" spans="1:5" ht="47.25" x14ac:dyDescent="0.3">
      <c r="A298" s="953">
        <f t="shared" si="4"/>
        <v>288</v>
      </c>
      <c r="B298" s="954" t="s">
        <v>1517</v>
      </c>
      <c r="D298" s="955">
        <v>127138.28</v>
      </c>
      <c r="E298" s="956" t="s">
        <v>1410</v>
      </c>
    </row>
    <row r="299" spans="1:5" ht="63" x14ac:dyDescent="0.3">
      <c r="A299" s="953">
        <f t="shared" si="4"/>
        <v>289</v>
      </c>
      <c r="B299" s="954" t="s">
        <v>1518</v>
      </c>
      <c r="D299" s="955">
        <v>146280.41</v>
      </c>
      <c r="E299" s="956" t="s">
        <v>1410</v>
      </c>
    </row>
    <row r="300" spans="1:5" ht="47.25" x14ac:dyDescent="0.3">
      <c r="A300" s="953">
        <f t="shared" si="4"/>
        <v>290</v>
      </c>
      <c r="B300" s="954" t="s">
        <v>1519</v>
      </c>
      <c r="D300" s="955">
        <v>297585</v>
      </c>
      <c r="E300" s="956" t="s">
        <v>1410</v>
      </c>
    </row>
    <row r="301" spans="1:5" ht="47.25" x14ac:dyDescent="0.3">
      <c r="A301" s="953">
        <f t="shared" si="4"/>
        <v>291</v>
      </c>
      <c r="B301" s="954" t="s">
        <v>1520</v>
      </c>
      <c r="D301" s="955">
        <v>127840</v>
      </c>
      <c r="E301" s="956" t="s">
        <v>1410</v>
      </c>
    </row>
    <row r="302" spans="1:5" ht="47.25" x14ac:dyDescent="0.3">
      <c r="A302" s="953">
        <f t="shared" si="4"/>
        <v>292</v>
      </c>
      <c r="B302" s="954" t="s">
        <v>1521</v>
      </c>
      <c r="D302" s="955">
        <v>250835</v>
      </c>
      <c r="E302" s="956" t="s">
        <v>1410</v>
      </c>
    </row>
    <row r="303" spans="1:5" ht="47.25" x14ac:dyDescent="0.3">
      <c r="A303" s="953">
        <f t="shared" si="4"/>
        <v>293</v>
      </c>
      <c r="B303" s="954" t="s">
        <v>1522</v>
      </c>
      <c r="D303" s="955">
        <v>190655</v>
      </c>
      <c r="E303" s="956" t="s">
        <v>1410</v>
      </c>
    </row>
  </sheetData>
  <mergeCells count="5">
    <mergeCell ref="A1:E1"/>
    <mergeCell ref="A2:E2"/>
    <mergeCell ref="A3:E3"/>
    <mergeCell ref="A4:E4"/>
    <mergeCell ref="A7:B7"/>
  </mergeCells>
  <printOptions horizontalCentered="1"/>
  <pageMargins left="0.15748031496062992" right="0.39370078740157483" top="0.74803149606299213" bottom="0.74803149606299213" header="0.31496062992125984" footer="0.31496062992125984"/>
  <pageSetup scale="9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view="pageLayout" zoomScale="130" zoomScaleNormal="120" zoomScalePageLayoutView="130" workbookViewId="0">
      <selection activeCell="J22" sqref="J22"/>
    </sheetView>
  </sheetViews>
  <sheetFormatPr baseColWidth="10" defaultRowHeight="15" x14ac:dyDescent="0.25"/>
  <cols>
    <col min="11" max="11" width="19.7109375" customWidth="1"/>
  </cols>
  <sheetData/>
  <pageMargins left="0.23622047244094491" right="0.23622047244094491" top="0.74803149606299213" bottom="0.74803149606299213" header="0.31496062992125984" footer="0.31496062992125984"/>
  <pageSetup orientation="landscape" horizontalDpi="1200" verticalDpi="1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50"/>
  </sheetPr>
  <dimension ref="A1:J38"/>
  <sheetViews>
    <sheetView view="pageBreakPreview" zoomScaleNormal="100" zoomScaleSheetLayoutView="100" workbookViewId="0">
      <selection activeCell="E11" sqref="E11"/>
    </sheetView>
  </sheetViews>
  <sheetFormatPr baseColWidth="10" defaultColWidth="11.28515625" defaultRowHeight="16.5" x14ac:dyDescent="0.3"/>
  <cols>
    <col min="1" max="1" width="4.28515625" style="117" customWidth="1"/>
    <col min="2" max="2" width="41" style="97" customWidth="1"/>
    <col min="3" max="5" width="15.7109375" style="97" customWidth="1"/>
    <col min="6" max="16384" width="11.28515625" style="97"/>
  </cols>
  <sheetData>
    <row r="1" spans="1:7" x14ac:dyDescent="0.3">
      <c r="A1" s="784"/>
      <c r="B1" s="1210" t="s">
        <v>25</v>
      </c>
      <c r="C1" s="1210"/>
      <c r="D1" s="1210"/>
      <c r="E1" s="1210"/>
    </row>
    <row r="2" spans="1:7" x14ac:dyDescent="0.3">
      <c r="A2" s="329"/>
      <c r="B2" s="1189" t="s">
        <v>924</v>
      </c>
      <c r="C2" s="1189"/>
      <c r="D2" s="1189"/>
      <c r="E2" s="1189"/>
    </row>
    <row r="3" spans="1:7" x14ac:dyDescent="0.3">
      <c r="A3" s="785"/>
      <c r="B3" s="1211" t="str">
        <f>'ETCA-I-01'!A3</f>
        <v>Consejo Estatal de Concertacion para la Obra Publica</v>
      </c>
      <c r="C3" s="1211"/>
      <c r="D3" s="1211"/>
      <c r="E3" s="1211"/>
      <c r="G3" s="380"/>
    </row>
    <row r="4" spans="1:7" x14ac:dyDescent="0.3">
      <c r="A4" s="1212" t="str">
        <f>'ETCA-I-03'!A4</f>
        <v>Del 01 de Enero  al 30 de Septiembre de 2017</v>
      </c>
      <c r="B4" s="1212"/>
      <c r="C4" s="1212"/>
      <c r="D4" s="1212"/>
      <c r="E4" s="1212"/>
    </row>
    <row r="5" spans="1:7" x14ac:dyDescent="0.3">
      <c r="A5" s="820"/>
      <c r="B5" s="1189" t="s">
        <v>925</v>
      </c>
      <c r="C5" s="1189"/>
      <c r="D5" s="786"/>
      <c r="E5" s="329"/>
    </row>
    <row r="6" spans="1:7" ht="6.75" customHeight="1" thickBot="1" x14ac:dyDescent="0.35">
      <c r="A6" s="784"/>
      <c r="B6" s="787"/>
      <c r="C6" s="787"/>
      <c r="D6" s="787"/>
      <c r="E6" s="787"/>
    </row>
    <row r="7" spans="1:7" s="198" customFormat="1" x14ac:dyDescent="0.25">
      <c r="A7" s="1214" t="s">
        <v>261</v>
      </c>
      <c r="B7" s="1215"/>
      <c r="C7" s="1218" t="s">
        <v>926</v>
      </c>
      <c r="D7" s="1218" t="s">
        <v>484</v>
      </c>
      <c r="E7" s="1222" t="s">
        <v>927</v>
      </c>
    </row>
    <row r="8" spans="1:7" s="198" customFormat="1" ht="17.25" thickBot="1" x14ac:dyDescent="0.3">
      <c r="A8" s="1216"/>
      <c r="B8" s="1217"/>
      <c r="C8" s="1219"/>
      <c r="D8" s="1219"/>
      <c r="E8" s="1223"/>
    </row>
    <row r="9" spans="1:7" s="198" customFormat="1" ht="20.25" customHeight="1" x14ac:dyDescent="0.25">
      <c r="A9" s="381" t="s">
        <v>928</v>
      </c>
      <c r="B9" s="336"/>
      <c r="C9" s="346">
        <f>C10+C11</f>
        <v>431991645</v>
      </c>
      <c r="D9" s="346">
        <f>D10+D11</f>
        <v>448373608</v>
      </c>
      <c r="E9" s="387">
        <f>E10+E11</f>
        <v>448373608</v>
      </c>
      <c r="F9" s="423" t="str">
        <f>IF((C9-'ETCA-II-01'!C51)&gt;0.9,"ERROR!!!!! EL MONTO NO COINCIDE CON LO REPORTADO EN EL FORMATO ETCA-II-01 EN EL TOTAL DEVENGADO DEL ANALÍTICO DE INGRESOS","")</f>
        <v/>
      </c>
    </row>
    <row r="10" spans="1:7" s="198" customFormat="1" ht="20.25" customHeight="1" x14ac:dyDescent="0.25">
      <c r="A10" s="335"/>
      <c r="B10" s="383" t="s">
        <v>929</v>
      </c>
      <c r="C10" s="337"/>
      <c r="D10" s="337"/>
      <c r="E10" s="382"/>
    </row>
    <row r="11" spans="1:7" s="198" customFormat="1" ht="20.25" customHeight="1" x14ac:dyDescent="0.25">
      <c r="A11" s="335"/>
      <c r="B11" s="383" t="s">
        <v>930</v>
      </c>
      <c r="C11" s="337">
        <v>431991645</v>
      </c>
      <c r="D11" s="337">
        <v>448373608</v>
      </c>
      <c r="E11" s="382">
        <f>+D11</f>
        <v>448373608</v>
      </c>
    </row>
    <row r="12" spans="1:7" s="198" customFormat="1" ht="20.25" customHeight="1" x14ac:dyDescent="0.25">
      <c r="A12" s="381" t="s">
        <v>931</v>
      </c>
      <c r="B12" s="383"/>
      <c r="C12" s="346">
        <f>C13+C14</f>
        <v>431991645</v>
      </c>
      <c r="D12" s="346">
        <f>D13+D14</f>
        <v>221644805</v>
      </c>
      <c r="E12" s="387">
        <f>E13+E14</f>
        <v>221644805</v>
      </c>
      <c r="F12" s="423" t="str">
        <f>IF((C12-'ETCA II-04'!B81)&gt;0.9,"ERROR!!!!! EL MONTO NO COINCIDE CON LO REPORTADO EN EL FORMATO ETCA-II-04 EN EL TOTAL DEVENGADO DEL ANALÍTICO DE INGRESOS","")</f>
        <v/>
      </c>
    </row>
    <row r="13" spans="1:7" s="198" customFormat="1" ht="20.25" customHeight="1" x14ac:dyDescent="0.25">
      <c r="A13" s="335"/>
      <c r="B13" s="383" t="s">
        <v>932</v>
      </c>
      <c r="C13" s="337"/>
      <c r="D13" s="337"/>
      <c r="E13" s="382"/>
    </row>
    <row r="14" spans="1:7" s="198" customFormat="1" ht="20.25" customHeight="1" x14ac:dyDescent="0.25">
      <c r="A14" s="335"/>
      <c r="B14" s="383" t="s">
        <v>933</v>
      </c>
      <c r="C14" s="337">
        <v>431991645</v>
      </c>
      <c r="D14" s="337">
        <v>221644805</v>
      </c>
      <c r="E14" s="382">
        <f>+D14</f>
        <v>221644805</v>
      </c>
    </row>
    <row r="15" spans="1:7" s="198" customFormat="1" ht="20.25" customHeight="1" x14ac:dyDescent="0.25">
      <c r="A15" s="381" t="s">
        <v>934</v>
      </c>
      <c r="B15" s="383"/>
      <c r="C15" s="346">
        <f>C9-C12</f>
        <v>0</v>
      </c>
      <c r="D15" s="346">
        <f>D9-D12</f>
        <v>226728803</v>
      </c>
      <c r="E15" s="387">
        <f>E9-E12</f>
        <v>226728803</v>
      </c>
    </row>
    <row r="16" spans="1:7" s="198" customFormat="1" ht="20.25" customHeight="1" thickBot="1" x14ac:dyDescent="0.3">
      <c r="A16" s="335"/>
      <c r="B16" s="336"/>
      <c r="C16" s="337"/>
      <c r="D16" s="337"/>
      <c r="E16" s="339"/>
    </row>
    <row r="17" spans="1:6" s="198" customFormat="1" x14ac:dyDescent="0.25">
      <c r="A17" s="1214" t="s">
        <v>261</v>
      </c>
      <c r="B17" s="1215"/>
      <c r="C17" s="1218" t="s">
        <v>926</v>
      </c>
      <c r="D17" s="1218" t="s">
        <v>484</v>
      </c>
      <c r="E17" s="1220" t="s">
        <v>927</v>
      </c>
    </row>
    <row r="18" spans="1:6" s="198" customFormat="1" ht="12" customHeight="1" thickBot="1" x14ac:dyDescent="0.3">
      <c r="A18" s="1216"/>
      <c r="B18" s="1217"/>
      <c r="C18" s="1219"/>
      <c r="D18" s="1219"/>
      <c r="E18" s="1221"/>
    </row>
    <row r="19" spans="1:6" s="198" customFormat="1" ht="20.25" customHeight="1" x14ac:dyDescent="0.25">
      <c r="A19" s="381" t="s">
        <v>935</v>
      </c>
      <c r="B19" s="336"/>
      <c r="C19" s="346">
        <f>C15</f>
        <v>0</v>
      </c>
      <c r="D19" s="346">
        <f>D15</f>
        <v>226728803</v>
      </c>
      <c r="E19" s="621">
        <f>E15</f>
        <v>226728803</v>
      </c>
    </row>
    <row r="20" spans="1:6" s="198" customFormat="1" ht="20.25" customHeight="1" x14ac:dyDescent="0.25">
      <c r="A20" s="381" t="s">
        <v>936</v>
      </c>
      <c r="B20" s="336"/>
      <c r="C20" s="337"/>
      <c r="D20" s="337"/>
      <c r="E20" s="382"/>
      <c r="F20" s="423" t="str">
        <f>IF((D20-'ETCA-I-03'!C48)&gt;0.9,"ERROR!!!!! EL MONTO NO COINCIDE CON LO REPORTADO EN EL FORMATO ETCA-I-03 POR CONCEPTO DE INTERESES, COMISIONES Y GASTOS DE LA DEUDA","")</f>
        <v/>
      </c>
    </row>
    <row r="21" spans="1:6" s="198" customFormat="1" ht="20.25" customHeight="1" x14ac:dyDescent="0.25">
      <c r="A21" s="381" t="s">
        <v>937</v>
      </c>
      <c r="B21" s="336"/>
      <c r="C21" s="346">
        <f>C19-C20</f>
        <v>0</v>
      </c>
      <c r="D21" s="346">
        <f>D19-D20</f>
        <v>226728803</v>
      </c>
      <c r="E21" s="387">
        <f>E19-E20</f>
        <v>226728803</v>
      </c>
    </row>
    <row r="22" spans="1:6" s="198" customFormat="1" ht="20.25" customHeight="1" thickBot="1" x14ac:dyDescent="0.3">
      <c r="A22" s="335"/>
      <c r="B22" s="336"/>
      <c r="C22" s="352"/>
      <c r="D22" s="352"/>
      <c r="E22" s="827"/>
    </row>
    <row r="23" spans="1:6" s="198" customFormat="1" ht="28.5" customHeight="1" x14ac:dyDescent="0.25">
      <c r="A23" s="1214" t="s">
        <v>261</v>
      </c>
      <c r="B23" s="1215"/>
      <c r="C23" s="1218" t="s">
        <v>926</v>
      </c>
      <c r="D23" s="384" t="s">
        <v>484</v>
      </c>
      <c r="E23" s="1220" t="s">
        <v>927</v>
      </c>
    </row>
    <row r="24" spans="1:6" s="198" customFormat="1" ht="0.75" customHeight="1" thickBot="1" x14ac:dyDescent="0.3">
      <c r="A24" s="1216"/>
      <c r="B24" s="1217"/>
      <c r="C24" s="1219"/>
      <c r="D24" s="385"/>
      <c r="E24" s="1221"/>
    </row>
    <row r="25" spans="1:6" s="198" customFormat="1" ht="20.25" customHeight="1" x14ac:dyDescent="0.25">
      <c r="A25" s="381" t="s">
        <v>938</v>
      </c>
      <c r="B25" s="336"/>
      <c r="C25" s="337"/>
      <c r="D25" s="337"/>
      <c r="E25" s="339"/>
    </row>
    <row r="26" spans="1:6" s="198" customFormat="1" ht="20.25" customHeight="1" x14ac:dyDescent="0.25">
      <c r="A26" s="381" t="s">
        <v>939</v>
      </c>
      <c r="B26" s="336"/>
      <c r="C26" s="337"/>
      <c r="D26" s="337"/>
      <c r="E26" s="339"/>
    </row>
    <row r="27" spans="1:6" s="198" customFormat="1" ht="20.25" customHeight="1" x14ac:dyDescent="0.25">
      <c r="A27" s="381" t="s">
        <v>940</v>
      </c>
      <c r="B27" s="336"/>
      <c r="C27" s="346">
        <f>C25-C26</f>
        <v>0</v>
      </c>
      <c r="D27" s="346">
        <f>D25-D26</f>
        <v>0</v>
      </c>
      <c r="E27" s="387">
        <f>E25-E26</f>
        <v>0</v>
      </c>
    </row>
    <row r="28" spans="1:6" s="198" customFormat="1" ht="20.25" customHeight="1" thickBot="1" x14ac:dyDescent="0.3">
      <c r="A28" s="821"/>
      <c r="B28" s="822"/>
      <c r="C28" s="825"/>
      <c r="D28" s="825"/>
      <c r="E28" s="386"/>
    </row>
    <row r="29" spans="1:6" s="198" customFormat="1" ht="18" customHeight="1" x14ac:dyDescent="0.25">
      <c r="A29" s="788" t="s">
        <v>86</v>
      </c>
      <c r="B29" s="789"/>
      <c r="C29" s="789"/>
      <c r="D29" s="789"/>
      <c r="E29" s="789"/>
    </row>
    <row r="30" spans="1:6" s="198" customFormat="1" ht="18" customHeight="1" x14ac:dyDescent="0.25">
      <c r="A30" s="515"/>
      <c r="B30" s="515"/>
      <c r="C30" s="515"/>
      <c r="D30" s="515"/>
      <c r="E30" s="515"/>
    </row>
    <row r="31" spans="1:6" s="198" customFormat="1" ht="18" customHeight="1" x14ac:dyDescent="0.25">
      <c r="A31" s="515"/>
      <c r="B31" s="515"/>
      <c r="C31" s="515"/>
      <c r="D31" s="515"/>
      <c r="E31" s="515"/>
    </row>
    <row r="32" spans="1:6" s="198" customFormat="1" ht="18" customHeight="1" x14ac:dyDescent="0.25">
      <c r="A32" s="515"/>
      <c r="B32" s="515"/>
      <c r="C32" s="515"/>
      <c r="D32" s="515"/>
      <c r="E32" s="515"/>
    </row>
    <row r="33" spans="1:10" ht="18" customHeight="1" x14ac:dyDescent="0.3">
      <c r="A33" s="788" t="s">
        <v>258</v>
      </c>
      <c r="B33" s="795" t="s">
        <v>941</v>
      </c>
      <c r="C33" s="789"/>
      <c r="D33" s="789"/>
      <c r="E33" s="789"/>
      <c r="J33" s="345"/>
    </row>
    <row r="34" spans="1:10" ht="49.5" customHeight="1" x14ac:dyDescent="0.3">
      <c r="A34" s="1213" t="s">
        <v>942</v>
      </c>
      <c r="B34" s="1213"/>
      <c r="C34" s="1213"/>
      <c r="D34" s="1213"/>
      <c r="E34" s="1213"/>
    </row>
    <row r="35" spans="1:10" x14ac:dyDescent="0.3">
      <c r="A35" s="785"/>
      <c r="B35" s="789"/>
      <c r="C35" s="789"/>
      <c r="D35" s="789"/>
      <c r="E35" s="789"/>
    </row>
    <row r="36" spans="1:10" ht="75" customHeight="1" x14ac:dyDescent="0.3">
      <c r="A36" s="1213" t="s">
        <v>943</v>
      </c>
      <c r="B36" s="1213"/>
      <c r="C36" s="1213"/>
      <c r="D36" s="1213"/>
      <c r="E36" s="1213"/>
    </row>
    <row r="37" spans="1:10" ht="5.25" customHeight="1" x14ac:dyDescent="0.3">
      <c r="A37" s="785"/>
      <c r="B37" s="789"/>
      <c r="C37" s="789"/>
      <c r="D37" s="789"/>
      <c r="E37" s="789"/>
    </row>
    <row r="38" spans="1:10" ht="13.5" customHeight="1" x14ac:dyDescent="0.3">
      <c r="A38" s="1213" t="s">
        <v>944</v>
      </c>
      <c r="B38" s="1213"/>
      <c r="C38" s="1213"/>
      <c r="D38" s="1213"/>
      <c r="E38" s="1213"/>
    </row>
  </sheetData>
  <sheetProtection password="C115" sheet="1" scenarios="1" insertHyperlinks="0"/>
  <mergeCells count="19">
    <mergeCell ref="A7:B8"/>
    <mergeCell ref="C7:C8"/>
    <mergeCell ref="E7:E8"/>
    <mergeCell ref="C17:C18"/>
    <mergeCell ref="E17:E18"/>
    <mergeCell ref="A17:B18"/>
    <mergeCell ref="D7:D8"/>
    <mergeCell ref="D17:D18"/>
    <mergeCell ref="A34:E34"/>
    <mergeCell ref="A36:E36"/>
    <mergeCell ref="A38:E38"/>
    <mergeCell ref="A23:B24"/>
    <mergeCell ref="C23:C24"/>
    <mergeCell ref="E23:E24"/>
    <mergeCell ref="B1:E1"/>
    <mergeCell ref="B2:E2"/>
    <mergeCell ref="B3:E3"/>
    <mergeCell ref="B5:C5"/>
    <mergeCell ref="A4:E4"/>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89"/>
  <sheetViews>
    <sheetView topLeftCell="A80" zoomScaleNormal="100" workbookViewId="0">
      <selection sqref="A1:E95"/>
    </sheetView>
  </sheetViews>
  <sheetFormatPr baseColWidth="10" defaultColWidth="11.42578125" defaultRowHeight="15" x14ac:dyDescent="0.25"/>
  <cols>
    <col min="1" max="1" width="1.28515625" customWidth="1"/>
    <col min="2" max="2" width="61.7109375" customWidth="1"/>
    <col min="3" max="3" width="14.28515625" customWidth="1"/>
    <col min="4" max="4" width="13.7109375" customWidth="1"/>
    <col min="5" max="5" width="13.42578125" customWidth="1"/>
    <col min="6" max="6" width="2.42578125" customWidth="1"/>
    <col min="7" max="7" width="77.85546875" customWidth="1"/>
  </cols>
  <sheetData>
    <row r="1" spans="1:6" ht="15.75" x14ac:dyDescent="0.25">
      <c r="A1" s="965" t="s">
        <v>25</v>
      </c>
      <c r="B1" s="965"/>
      <c r="C1" s="965"/>
      <c r="D1" s="965"/>
      <c r="E1" s="965"/>
    </row>
    <row r="2" spans="1:6" ht="15.75" customHeight="1" x14ac:dyDescent="0.25">
      <c r="A2" s="966" t="s">
        <v>945</v>
      </c>
      <c r="B2" s="966"/>
      <c r="C2" s="966"/>
      <c r="D2" s="966"/>
      <c r="E2" s="966"/>
    </row>
    <row r="3" spans="1:6" ht="16.5" customHeight="1" x14ac:dyDescent="0.25">
      <c r="A3" s="966" t="str">
        <f>'ETCA-I-01'!A3:G3</f>
        <v>Consejo Estatal de Concertacion para la Obra Publica</v>
      </c>
      <c r="B3" s="966"/>
      <c r="C3" s="966"/>
      <c r="D3" s="966"/>
      <c r="E3" s="966"/>
    </row>
    <row r="4" spans="1:6" ht="15.75" customHeight="1" x14ac:dyDescent="0.25">
      <c r="A4" s="1001" t="str">
        <f>'ETCA-I-03'!A4:D4</f>
        <v>Del 01 de Enero  al 30 de Septiembre de 2017</v>
      </c>
      <c r="B4" s="1001"/>
      <c r="C4" s="1001"/>
      <c r="D4" s="1001"/>
      <c r="E4" s="1001"/>
    </row>
    <row r="5" spans="1:6" ht="15.75" customHeight="1" x14ac:dyDescent="0.25">
      <c r="A5" s="1242" t="s">
        <v>89</v>
      </c>
      <c r="B5" s="1242"/>
      <c r="C5" s="1242"/>
      <c r="D5" s="1242"/>
      <c r="E5" s="1242"/>
    </row>
    <row r="6" spans="1:6" ht="15.75" customHeight="1" thickBot="1" x14ac:dyDescent="0.3">
      <c r="A6" s="835"/>
      <c r="B6" s="835"/>
      <c r="C6" s="835"/>
      <c r="D6" s="835"/>
      <c r="E6" s="835"/>
    </row>
    <row r="7" spans="1:6" x14ac:dyDescent="0.25">
      <c r="A7" s="1231" t="s">
        <v>90</v>
      </c>
      <c r="B7" s="1232"/>
      <c r="C7" s="818" t="s">
        <v>946</v>
      </c>
      <c r="D7" s="1182" t="s">
        <v>484</v>
      </c>
      <c r="E7" s="701" t="s">
        <v>947</v>
      </c>
    </row>
    <row r="8" spans="1:6" ht="15.75" thickBot="1" x14ac:dyDescent="0.3">
      <c r="A8" s="1233"/>
      <c r="B8" s="1234"/>
      <c r="C8" s="819" t="s">
        <v>633</v>
      </c>
      <c r="D8" s="1183"/>
      <c r="E8" s="648" t="s">
        <v>636</v>
      </c>
    </row>
    <row r="9" spans="1:6" ht="7.5" customHeight="1" x14ac:dyDescent="0.25">
      <c r="A9" s="836"/>
      <c r="B9" s="649"/>
      <c r="C9" s="649"/>
      <c r="D9" s="649"/>
      <c r="E9" s="649"/>
    </row>
    <row r="10" spans="1:6" x14ac:dyDescent="0.25">
      <c r="A10" s="836"/>
      <c r="B10" s="650" t="s">
        <v>948</v>
      </c>
      <c r="C10" s="776">
        <f>SUM(C11:C13)</f>
        <v>431991645</v>
      </c>
      <c r="D10" s="776">
        <f>SUM(D11:D13)</f>
        <v>448373608.31</v>
      </c>
      <c r="E10" s="776">
        <f>SUM(E11:E13)</f>
        <v>448373608.31</v>
      </c>
      <c r="F10" s="522" t="str">
        <f>IF(C10&lt;&gt;'ETCA-IV-01'!C9,"ERROR!!!!! EL MONTO NO COINCIDE CON LO REPORTADO EN EL FORMATO ETCA-IV-01 ","")</f>
        <v/>
      </c>
    </row>
    <row r="11" spans="1:6" ht="14.25" customHeight="1" x14ac:dyDescent="0.25">
      <c r="A11" s="836"/>
      <c r="B11" s="649" t="s">
        <v>949</v>
      </c>
      <c r="C11" s="764">
        <v>431991645</v>
      </c>
      <c r="D11" s="764">
        <v>408869650.60000002</v>
      </c>
      <c r="E11" s="764">
        <f>+D11</f>
        <v>408869650.60000002</v>
      </c>
      <c r="F11" s="522" t="str">
        <f>IF(D10&lt;&gt;'ETCA-IV-01'!D9,"ERROR!!!!! EL MONTO NO COINCIDE CON LO REPORTADO EN EL FORMATO ETCA-IV-01 ","")</f>
        <v xml:space="preserve">ERROR!!!!! EL MONTO NO COINCIDE CON LO REPORTADO EN EL FORMATO ETCA-IV-01 </v>
      </c>
    </row>
    <row r="12" spans="1:6" ht="14.25" customHeight="1" x14ac:dyDescent="0.25">
      <c r="A12" s="836"/>
      <c r="B12" s="649" t="s">
        <v>950</v>
      </c>
      <c r="C12" s="764">
        <v>0</v>
      </c>
      <c r="D12" s="764">
        <v>39503957.710000001</v>
      </c>
      <c r="E12" s="764">
        <f>+D12</f>
        <v>39503957.710000001</v>
      </c>
      <c r="F12" s="522" t="str">
        <f>IF(E10&lt;&gt;'ETCA-IV-01'!E9,"ERROR!!!!! EL MONTO NO COINCIDE CON LO REPORTADO EN EL FORMATO ETCA-IV-01 ","")</f>
        <v xml:space="preserve">ERROR!!!!! EL MONTO NO COINCIDE CON LO REPORTADO EN EL FORMATO ETCA-IV-01 </v>
      </c>
    </row>
    <row r="13" spans="1:6" ht="14.25" customHeight="1" x14ac:dyDescent="0.25">
      <c r="A13" s="836"/>
      <c r="B13" s="649" t="s">
        <v>951</v>
      </c>
      <c r="C13" s="764">
        <v>0</v>
      </c>
      <c r="D13" s="764">
        <v>0</v>
      </c>
      <c r="E13" s="764">
        <v>0</v>
      </c>
    </row>
    <row r="14" spans="1:6" ht="3.75" customHeight="1" x14ac:dyDescent="0.25">
      <c r="A14" s="834"/>
      <c r="B14" s="650"/>
      <c r="C14" s="771"/>
      <c r="D14" s="771"/>
      <c r="E14" s="771"/>
    </row>
    <row r="15" spans="1:6" x14ac:dyDescent="0.25">
      <c r="A15" s="834"/>
      <c r="B15" s="650" t="s">
        <v>952</v>
      </c>
      <c r="C15" s="776">
        <f>SUM(C16:C17)</f>
        <v>431991645</v>
      </c>
      <c r="D15" s="776">
        <f>SUM(D16:D17)</f>
        <v>221644805.10000002</v>
      </c>
      <c r="E15" s="776">
        <f>SUM(E16:E17)</f>
        <v>221644805.10000002</v>
      </c>
      <c r="F15" s="522" t="str">
        <f>IF(C15&lt;&gt;'ETCA-IV-01'!C12,"ERROR!!!!! EL MONTO NO COINCIDE CON LO REPORTADO EN EL FORMATO ETCA-IV-01 ","")</f>
        <v/>
      </c>
    </row>
    <row r="16" spans="1:6" ht="21" customHeight="1" x14ac:dyDescent="0.25">
      <c r="A16" s="836"/>
      <c r="B16" s="649" t="s">
        <v>953</v>
      </c>
      <c r="C16" s="764">
        <v>431991645</v>
      </c>
      <c r="D16" s="764">
        <f>+'ETCA-II-08'!E10</f>
        <v>212733222.03000003</v>
      </c>
      <c r="E16" s="764">
        <f>+D16</f>
        <v>212733222.03000003</v>
      </c>
      <c r="F16" s="522" t="str">
        <f>IF(D15&lt;&gt;'ETCA-IV-01'!D12,"ERROR!!!!! EL MONTO NO COINCIDE CON LO REPORTADO EN EL FORMATO ETCA-IV-01 ","")</f>
        <v xml:space="preserve">ERROR!!!!! EL MONTO NO COINCIDE CON LO REPORTADO EN EL FORMATO ETCA-IV-01 </v>
      </c>
    </row>
    <row r="17" spans="1:6" ht="21" customHeight="1" x14ac:dyDescent="0.25">
      <c r="A17" s="836"/>
      <c r="B17" s="649" t="s">
        <v>954</v>
      </c>
      <c r="C17" s="764">
        <v>0</v>
      </c>
      <c r="D17" s="764">
        <f>+'ETCA-II-08'!E21</f>
        <v>8911583.0700000003</v>
      </c>
      <c r="E17" s="764">
        <f>+D17</f>
        <v>8911583.0700000003</v>
      </c>
      <c r="F17" s="522" t="str">
        <f>IF(E15&lt;&gt;'ETCA-IV-01'!E12,"ERROR!!!!! EL MONTO NO COINCIDE CON LO REPORTADO EN EL FORMATO ETCA-IV-01 ","")</f>
        <v xml:space="preserve">ERROR!!!!! EL MONTO NO COINCIDE CON LO REPORTADO EN EL FORMATO ETCA-IV-01 </v>
      </c>
    </row>
    <row r="18" spans="1:6" ht="8.25" customHeight="1" x14ac:dyDescent="0.25">
      <c r="A18" s="836"/>
      <c r="B18" s="649"/>
      <c r="C18" s="771"/>
      <c r="D18" s="771"/>
      <c r="E18" s="771"/>
    </row>
    <row r="19" spans="1:6" x14ac:dyDescent="0.25">
      <c r="A19" s="836"/>
      <c r="B19" s="650" t="s">
        <v>955</v>
      </c>
      <c r="C19" s="776">
        <f>SUM(C20:C21)</f>
        <v>0</v>
      </c>
      <c r="D19" s="776">
        <f t="shared" ref="D19:E19" si="0">SUM(D20:D21)</f>
        <v>0</v>
      </c>
      <c r="E19" s="776">
        <f t="shared" si="0"/>
        <v>0</v>
      </c>
      <c r="F19" s="522" t="s">
        <v>258</v>
      </c>
    </row>
    <row r="20" spans="1:6" ht="19.5" customHeight="1" x14ac:dyDescent="0.25">
      <c r="A20" s="836"/>
      <c r="B20" s="649" t="s">
        <v>956</v>
      </c>
      <c r="C20" s="778"/>
      <c r="D20" s="764">
        <v>0</v>
      </c>
      <c r="E20" s="764">
        <v>0</v>
      </c>
      <c r="F20" s="522" t="s">
        <v>258</v>
      </c>
    </row>
    <row r="21" spans="1:6" ht="19.5" customHeight="1" x14ac:dyDescent="0.25">
      <c r="A21" s="836"/>
      <c r="B21" s="649" t="s">
        <v>957</v>
      </c>
      <c r="C21" s="778"/>
      <c r="D21" s="764">
        <v>0</v>
      </c>
      <c r="E21" s="764">
        <v>0</v>
      </c>
      <c r="F21" s="522" t="s">
        <v>258</v>
      </c>
    </row>
    <row r="22" spans="1:6" ht="6.75" customHeight="1" x14ac:dyDescent="0.25">
      <c r="A22" s="836"/>
      <c r="B22" s="649"/>
      <c r="C22" s="771"/>
      <c r="D22" s="771"/>
      <c r="E22" s="771"/>
      <c r="F22" s="522" t="s">
        <v>258</v>
      </c>
    </row>
    <row r="23" spans="1:6" x14ac:dyDescent="0.25">
      <c r="A23" s="1243"/>
      <c r="B23" s="650" t="s">
        <v>958</v>
      </c>
      <c r="C23" s="776">
        <f>+C10-C15+C19</f>
        <v>0</v>
      </c>
      <c r="D23" s="776">
        <f>+D10-D15+D19</f>
        <v>226728803.20999998</v>
      </c>
      <c r="E23" s="776">
        <f>+E10-E15+E19</f>
        <v>226728803.20999998</v>
      </c>
    </row>
    <row r="24" spans="1:6" ht="6.75" customHeight="1" x14ac:dyDescent="0.25">
      <c r="A24" s="1243"/>
      <c r="B24" s="650"/>
      <c r="C24" s="771" t="s">
        <v>258</v>
      </c>
      <c r="D24" s="771" t="s">
        <v>258</v>
      </c>
      <c r="E24" s="771" t="s">
        <v>258</v>
      </c>
    </row>
    <row r="25" spans="1:6" ht="16.5" customHeight="1" x14ac:dyDescent="0.25">
      <c r="A25" s="1243"/>
      <c r="B25" s="650" t="s">
        <v>959</v>
      </c>
      <c r="C25" s="776">
        <f>+C23-C13</f>
        <v>0</v>
      </c>
      <c r="D25" s="776">
        <f>+D23-D13</f>
        <v>226728803.20999998</v>
      </c>
      <c r="E25" s="776">
        <f>+E23-E13</f>
        <v>226728803.20999998</v>
      </c>
    </row>
    <row r="26" spans="1:6" ht="6" customHeight="1" x14ac:dyDescent="0.25">
      <c r="A26" s="1243"/>
      <c r="B26" s="650"/>
      <c r="C26" s="771" t="s">
        <v>258</v>
      </c>
      <c r="D26" s="771" t="s">
        <v>258</v>
      </c>
      <c r="E26" s="771" t="s">
        <v>258</v>
      </c>
    </row>
    <row r="27" spans="1:6" ht="30" customHeight="1" x14ac:dyDescent="0.25">
      <c r="A27" s="836"/>
      <c r="B27" s="650" t="s">
        <v>960</v>
      </c>
      <c r="C27" s="776">
        <f>+C25-C19</f>
        <v>0</v>
      </c>
      <c r="D27" s="776">
        <f>+D25-D19</f>
        <v>226728803.20999998</v>
      </c>
      <c r="E27" s="776">
        <f>+E25-E19</f>
        <v>226728803.20999998</v>
      </c>
    </row>
    <row r="28" spans="1:6" ht="6" customHeight="1" thickBot="1" x14ac:dyDescent="0.3">
      <c r="A28" s="652"/>
      <c r="B28" s="653"/>
      <c r="C28" s="654"/>
      <c r="D28" s="654"/>
      <c r="E28" s="654"/>
    </row>
    <row r="29" spans="1:6" ht="12" customHeight="1" thickBot="1" x14ac:dyDescent="0.3">
      <c r="A29" s="1244"/>
      <c r="B29" s="1244"/>
      <c r="C29" s="1244"/>
      <c r="D29" s="1244"/>
      <c r="E29" s="1244"/>
    </row>
    <row r="30" spans="1:6" ht="15.75" thickBot="1" x14ac:dyDescent="0.3">
      <c r="A30" s="1245" t="s">
        <v>261</v>
      </c>
      <c r="B30" s="1246"/>
      <c r="C30" s="817" t="s">
        <v>961</v>
      </c>
      <c r="D30" s="817" t="s">
        <v>484</v>
      </c>
      <c r="E30" s="817" t="s">
        <v>733</v>
      </c>
    </row>
    <row r="31" spans="1:6" ht="6" customHeight="1" x14ac:dyDescent="0.25">
      <c r="A31" s="836"/>
      <c r="B31" s="649"/>
      <c r="C31" s="649"/>
      <c r="D31" s="649"/>
      <c r="E31" s="649"/>
    </row>
    <row r="32" spans="1:6" ht="18" customHeight="1" x14ac:dyDescent="0.25">
      <c r="A32" s="1241"/>
      <c r="B32" s="650" t="s">
        <v>962</v>
      </c>
      <c r="C32" s="776">
        <f>SUM(C33:C34)</f>
        <v>0</v>
      </c>
      <c r="D32" s="776">
        <f>SUM(D33:D34)</f>
        <v>0</v>
      </c>
      <c r="E32" s="776">
        <f>SUM(E33:E34)</f>
        <v>0</v>
      </c>
      <c r="F32" s="522" t="str">
        <f>IF(C32&lt;&gt;'ETCA-IV-01'!C20,"ERROR!!!!! EL MONTO NO COINCIDE CON LO REPORTADO EN EL FORMATO ETCA-IV-01 ","")</f>
        <v/>
      </c>
    </row>
    <row r="33" spans="1:6" ht="26.25" customHeight="1" x14ac:dyDescent="0.25">
      <c r="A33" s="1241"/>
      <c r="B33" s="651" t="s">
        <v>963</v>
      </c>
      <c r="C33" s="764">
        <v>0</v>
      </c>
      <c r="D33" s="764">
        <v>0</v>
      </c>
      <c r="E33" s="764">
        <v>0</v>
      </c>
      <c r="F33" s="522" t="str">
        <f>IF(D32&lt;&gt;'ETCA-IV-01'!D20,"ERROR!!!!! EL MONTO NO COINCIDE CON LO REPORTADO EN EL FORMATO ETCA-IV-01 ","")</f>
        <v/>
      </c>
    </row>
    <row r="34" spans="1:6" ht="26.25" customHeight="1" x14ac:dyDescent="0.25">
      <c r="A34" s="1241"/>
      <c r="B34" s="651" t="s">
        <v>964</v>
      </c>
      <c r="C34" s="771">
        <v>0</v>
      </c>
      <c r="D34" s="771">
        <v>0</v>
      </c>
      <c r="E34" s="771">
        <v>0</v>
      </c>
      <c r="F34" s="522" t="str">
        <f>IF(E32&lt;&gt;'ETCA-IV-01'!E20,"ERROR!!!!! EL MONTO NO COINCIDE CON LO REPORTADO EN EL FORMATO ETCA-IV-01 ","")</f>
        <v/>
      </c>
    </row>
    <row r="35" spans="1:6" ht="4.5" customHeight="1" x14ac:dyDescent="0.25">
      <c r="A35" s="834"/>
      <c r="B35" s="650"/>
      <c r="C35" s="764"/>
      <c r="D35" s="764"/>
      <c r="E35" s="764"/>
    </row>
    <row r="36" spans="1:6" x14ac:dyDescent="0.25">
      <c r="A36" s="834"/>
      <c r="B36" s="650" t="s">
        <v>965</v>
      </c>
      <c r="C36" s="776">
        <f>+C27+C32</f>
        <v>0</v>
      </c>
      <c r="D36" s="776">
        <f>+D27+D32</f>
        <v>226728803.20999998</v>
      </c>
      <c r="E36" s="776">
        <f>+E27+E32</f>
        <v>226728803.20999998</v>
      </c>
    </row>
    <row r="37" spans="1:6" ht="6.75" customHeight="1" thickBot="1" x14ac:dyDescent="0.3">
      <c r="A37" s="647"/>
      <c r="B37" s="646"/>
      <c r="C37" s="646"/>
      <c r="D37" s="646"/>
      <c r="E37" s="646"/>
    </row>
    <row r="38" spans="1:6" ht="9" customHeight="1" thickBot="1" x14ac:dyDescent="0.3"/>
    <row r="39" spans="1:6" x14ac:dyDescent="0.25">
      <c r="A39" s="1231" t="s">
        <v>261</v>
      </c>
      <c r="B39" s="1232"/>
      <c r="C39" s="1235" t="s">
        <v>966</v>
      </c>
      <c r="D39" s="1177" t="s">
        <v>484</v>
      </c>
      <c r="E39" s="657" t="s">
        <v>947</v>
      </c>
    </row>
    <row r="40" spans="1:6" ht="15.75" thickBot="1" x14ac:dyDescent="0.3">
      <c r="A40" s="1233"/>
      <c r="B40" s="1234"/>
      <c r="C40" s="1236"/>
      <c r="D40" s="1178"/>
      <c r="E40" s="658" t="s">
        <v>733</v>
      </c>
    </row>
    <row r="41" spans="1:6" ht="5.25" customHeight="1" x14ac:dyDescent="0.25">
      <c r="A41" s="831"/>
      <c r="B41" s="659"/>
      <c r="C41" s="659"/>
      <c r="D41" s="659"/>
      <c r="E41" s="659"/>
    </row>
    <row r="42" spans="1:6" x14ac:dyDescent="0.25">
      <c r="A42" s="830"/>
      <c r="B42" s="833" t="s">
        <v>967</v>
      </c>
      <c r="C42" s="777">
        <f>SUM(C43:C44)</f>
        <v>0</v>
      </c>
      <c r="D42" s="777">
        <f>SUM(D43:D44)</f>
        <v>0</v>
      </c>
      <c r="E42" s="777">
        <f>SUM(E43:E44)</f>
        <v>0</v>
      </c>
      <c r="F42" s="522" t="str">
        <f>IF(C42&lt;&gt;'ETCA-IV-01'!C25,"ERROR!!!!! EL MONTO NO COINCIDE CON LO REPORTADO EN EL FORMATO ETCA-IV-01 ","")</f>
        <v/>
      </c>
    </row>
    <row r="43" spans="1:6" x14ac:dyDescent="0.25">
      <c r="A43" s="1227"/>
      <c r="B43" s="660" t="s">
        <v>968</v>
      </c>
      <c r="C43" s="764">
        <v>0</v>
      </c>
      <c r="D43" s="764">
        <v>0</v>
      </c>
      <c r="E43" s="764">
        <v>0</v>
      </c>
      <c r="F43" s="522" t="str">
        <f>IF(D42&lt;&gt;'ETCA-IV-01'!D25,"ERROR!!!!! EL MONTO NO COINCIDE CON LO REPORTADO EN EL FORMATO ETCA-IV-01 ","")</f>
        <v/>
      </c>
    </row>
    <row r="44" spans="1:6" x14ac:dyDescent="0.25">
      <c r="A44" s="1227"/>
      <c r="B44" s="660" t="s">
        <v>969</v>
      </c>
      <c r="C44" s="764">
        <v>0</v>
      </c>
      <c r="D44" s="764" t="s">
        <v>258</v>
      </c>
      <c r="E44" s="764">
        <v>0</v>
      </c>
      <c r="F44" s="522" t="str">
        <f>IF(E42&lt;&gt;'ETCA-IV-01'!E25,"ERROR!!!!! EL MONTO NO COINCIDE CON LO REPORTADO EN EL FORMATO ETCA-IV-01 ","")</f>
        <v/>
      </c>
    </row>
    <row r="45" spans="1:6" x14ac:dyDescent="0.25">
      <c r="A45" s="1224"/>
      <c r="B45" s="833" t="s">
        <v>970</v>
      </c>
      <c r="C45" s="777">
        <f>SUM(C46:C47)</f>
        <v>0</v>
      </c>
      <c r="D45" s="777">
        <f>SUM(D46:D47)</f>
        <v>0</v>
      </c>
      <c r="E45" s="777">
        <f>SUM(E46:E47)</f>
        <v>0</v>
      </c>
      <c r="F45" s="522" t="str">
        <f>IF(C45&lt;&gt;'ETCA-IV-01'!C26,"ERROR!!!!! EL MONTO NO COINCIDE CON LO REPORTADO EN EL FORMATO ETCA-IV-01 ","")</f>
        <v/>
      </c>
    </row>
    <row r="46" spans="1:6" x14ac:dyDescent="0.25">
      <c r="A46" s="1224"/>
      <c r="B46" s="660" t="s">
        <v>971</v>
      </c>
      <c r="C46" s="764">
        <v>0</v>
      </c>
      <c r="D46" s="764">
        <v>0</v>
      </c>
      <c r="E46" s="764">
        <v>0</v>
      </c>
      <c r="F46" s="522" t="str">
        <f>IF(D45&lt;&gt;'ETCA-IV-01'!D26,"ERROR!!!!! EL MONTO NO COINCIDE CON LO REPORTADO EN EL FORMATO ETCA-IV-01 ","")</f>
        <v/>
      </c>
    </row>
    <row r="47" spans="1:6" x14ac:dyDescent="0.25">
      <c r="A47" s="1224"/>
      <c r="B47" s="660" t="s">
        <v>972</v>
      </c>
      <c r="C47" s="764">
        <v>0</v>
      </c>
      <c r="D47" s="764">
        <v>0</v>
      </c>
      <c r="E47" s="764">
        <v>0</v>
      </c>
      <c r="F47" s="522" t="str">
        <f>IF(E45&lt;&gt;'ETCA-IV-01'!E26,"ERROR!!!!! EL MONTO NO COINCIDE CON LO REPORTADO EN EL FORMATO ETCA-IV-01 ","")</f>
        <v/>
      </c>
    </row>
    <row r="48" spans="1:6" ht="6.75" customHeight="1" x14ac:dyDescent="0.25">
      <c r="A48" s="830"/>
      <c r="B48" s="833"/>
      <c r="C48" s="676"/>
      <c r="D48" s="676"/>
      <c r="E48" s="676"/>
    </row>
    <row r="49" spans="1:5" x14ac:dyDescent="0.25">
      <c r="A49" s="1224"/>
      <c r="B49" s="1237" t="s">
        <v>973</v>
      </c>
      <c r="C49" s="1239">
        <f>+C42-C45</f>
        <v>0</v>
      </c>
      <c r="D49" s="1239">
        <f>+D42-D45</f>
        <v>0</v>
      </c>
      <c r="E49" s="1239">
        <f>+E42-E45</f>
        <v>0</v>
      </c>
    </row>
    <row r="50" spans="1:5" ht="15.75" thickBot="1" x14ac:dyDescent="0.3">
      <c r="A50" s="1225"/>
      <c r="B50" s="1238"/>
      <c r="C50" s="1240"/>
      <c r="D50" s="1240"/>
      <c r="E50" s="1240"/>
    </row>
    <row r="51" spans="1:5" x14ac:dyDescent="0.25">
      <c r="A51" s="664"/>
      <c r="B51" s="664"/>
      <c r="C51" s="664"/>
      <c r="D51" s="664"/>
      <c r="E51" s="664"/>
    </row>
    <row r="52" spans="1:5" x14ac:dyDescent="0.25">
      <c r="A52" s="664"/>
      <c r="B52" s="664"/>
      <c r="C52" s="664"/>
      <c r="D52" s="664"/>
      <c r="E52" s="664"/>
    </row>
    <row r="53" spans="1:5" x14ac:dyDescent="0.25">
      <c r="A53" s="664"/>
      <c r="B53" s="664"/>
      <c r="C53" s="664"/>
      <c r="D53" s="664"/>
      <c r="E53" s="664"/>
    </row>
    <row r="54" spans="1:5" ht="15.75" thickBot="1" x14ac:dyDescent="0.3">
      <c r="A54" s="664"/>
      <c r="B54" s="664"/>
      <c r="C54" s="664"/>
      <c r="D54" s="664"/>
      <c r="E54" s="664"/>
    </row>
    <row r="55" spans="1:5" x14ac:dyDescent="0.25">
      <c r="A55" s="1231" t="s">
        <v>261</v>
      </c>
      <c r="B55" s="1232"/>
      <c r="C55" s="657" t="s">
        <v>946</v>
      </c>
      <c r="D55" s="1177" t="s">
        <v>484</v>
      </c>
      <c r="E55" s="657" t="s">
        <v>947</v>
      </c>
    </row>
    <row r="56" spans="1:5" ht="15.75" thickBot="1" x14ac:dyDescent="0.3">
      <c r="A56" s="1233"/>
      <c r="B56" s="1234"/>
      <c r="C56" s="658" t="s">
        <v>961</v>
      </c>
      <c r="D56" s="1178"/>
      <c r="E56" s="658" t="s">
        <v>733</v>
      </c>
    </row>
    <row r="57" spans="1:5" ht="6" customHeight="1" x14ac:dyDescent="0.25">
      <c r="A57" s="1228"/>
      <c r="B57" s="1229"/>
      <c r="C57" s="659"/>
      <c r="D57" s="659"/>
      <c r="E57" s="659"/>
    </row>
    <row r="58" spans="1:5" x14ac:dyDescent="0.25">
      <c r="A58" s="1227"/>
      <c r="B58" s="1230" t="s">
        <v>974</v>
      </c>
      <c r="C58" s="1226">
        <f>+C11</f>
        <v>431991645</v>
      </c>
      <c r="D58" s="1226">
        <f>+D11</f>
        <v>408869650.60000002</v>
      </c>
      <c r="E58" s="1226">
        <f>+E11</f>
        <v>408869650.60000002</v>
      </c>
    </row>
    <row r="59" spans="1:5" x14ac:dyDescent="0.25">
      <c r="A59" s="1227"/>
      <c r="B59" s="1230"/>
      <c r="C59" s="1226"/>
      <c r="D59" s="1226"/>
      <c r="E59" s="1226"/>
    </row>
    <row r="60" spans="1:5" ht="19.5" x14ac:dyDescent="0.25">
      <c r="A60" s="1227"/>
      <c r="B60" s="661" t="s">
        <v>975</v>
      </c>
      <c r="C60" s="772">
        <f>+C61-C62</f>
        <v>0</v>
      </c>
      <c r="D60" s="772">
        <f>+D61-D62</f>
        <v>0</v>
      </c>
      <c r="E60" s="772">
        <f>+E61-E62</f>
        <v>0</v>
      </c>
    </row>
    <row r="61" spans="1:5" x14ac:dyDescent="0.25">
      <c r="A61" s="1227"/>
      <c r="B61" s="660" t="s">
        <v>968</v>
      </c>
      <c r="C61" s="772">
        <f>+C43</f>
        <v>0</v>
      </c>
      <c r="D61" s="772">
        <f>+D43</f>
        <v>0</v>
      </c>
      <c r="E61" s="772">
        <f>+E43</f>
        <v>0</v>
      </c>
    </row>
    <row r="62" spans="1:5" x14ac:dyDescent="0.25">
      <c r="A62" s="1227"/>
      <c r="B62" s="660" t="s">
        <v>971</v>
      </c>
      <c r="C62" s="772">
        <f>+C46</f>
        <v>0</v>
      </c>
      <c r="D62" s="772">
        <f>+D46</f>
        <v>0</v>
      </c>
      <c r="E62" s="772">
        <f>+E46</f>
        <v>0</v>
      </c>
    </row>
    <row r="63" spans="1:5" ht="5.25" customHeight="1" x14ac:dyDescent="0.25">
      <c r="A63" s="1227"/>
      <c r="B63" s="832"/>
      <c r="C63" s="772"/>
      <c r="D63" s="772"/>
      <c r="E63" s="772"/>
    </row>
    <row r="64" spans="1:5" x14ac:dyDescent="0.25">
      <c r="A64" s="831"/>
      <c r="B64" s="832" t="s">
        <v>953</v>
      </c>
      <c r="C64" s="772">
        <f>+C16</f>
        <v>431991645</v>
      </c>
      <c r="D64" s="772">
        <f>+D16</f>
        <v>212733222.03000003</v>
      </c>
      <c r="E64" s="772">
        <f>+E16</f>
        <v>212733222.03000003</v>
      </c>
    </row>
    <row r="65" spans="1:5" ht="6.75" customHeight="1" x14ac:dyDescent="0.25">
      <c r="A65" s="831"/>
      <c r="B65" s="832"/>
      <c r="C65" s="772"/>
      <c r="D65" s="772"/>
      <c r="E65" s="772"/>
    </row>
    <row r="66" spans="1:5" x14ac:dyDescent="0.25">
      <c r="A66" s="831"/>
      <c r="B66" s="832" t="s">
        <v>956</v>
      </c>
      <c r="C66" s="773"/>
      <c r="D66" s="779">
        <f>+D20</f>
        <v>0</v>
      </c>
      <c r="E66" s="779">
        <f>+E20</f>
        <v>0</v>
      </c>
    </row>
    <row r="67" spans="1:5" x14ac:dyDescent="0.25">
      <c r="A67" s="831"/>
      <c r="B67" s="832"/>
      <c r="C67" s="772"/>
      <c r="D67" s="772"/>
      <c r="E67" s="772"/>
    </row>
    <row r="68" spans="1:5" ht="19.5" x14ac:dyDescent="0.25">
      <c r="A68" s="1224"/>
      <c r="B68" s="650" t="s">
        <v>976</v>
      </c>
      <c r="C68" s="775">
        <f>+C11+C60-C16+C20</f>
        <v>0</v>
      </c>
      <c r="D68" s="775">
        <f>+D11+D60-D16+D20</f>
        <v>196136428.56999999</v>
      </c>
      <c r="E68" s="775">
        <f>+E11+E60-E16+E20</f>
        <v>196136428.56999999</v>
      </c>
    </row>
    <row r="69" spans="1:5" x14ac:dyDescent="0.25">
      <c r="A69" s="1224"/>
      <c r="B69" s="662"/>
      <c r="C69" s="772" t="s">
        <v>258</v>
      </c>
      <c r="D69" s="772" t="s">
        <v>258</v>
      </c>
      <c r="E69" s="772" t="s">
        <v>258</v>
      </c>
    </row>
    <row r="70" spans="1:5" ht="19.5" x14ac:dyDescent="0.25">
      <c r="A70" s="1224"/>
      <c r="B70" s="650" t="s">
        <v>977</v>
      </c>
      <c r="C70" s="775">
        <f>+C68-C60</f>
        <v>0</v>
      </c>
      <c r="D70" s="775">
        <f>+D68-D60</f>
        <v>196136428.56999999</v>
      </c>
      <c r="E70" s="775">
        <f>+E68-E60</f>
        <v>196136428.56999999</v>
      </c>
    </row>
    <row r="71" spans="1:5" ht="15.75" thickBot="1" x14ac:dyDescent="0.3">
      <c r="A71" s="1225"/>
      <c r="B71" s="663"/>
      <c r="C71" s="677" t="s">
        <v>258</v>
      </c>
      <c r="D71" s="678" t="s">
        <v>258</v>
      </c>
      <c r="E71" s="677" t="s">
        <v>258</v>
      </c>
    </row>
    <row r="72" spans="1:5" ht="5.25" customHeight="1" thickBot="1" x14ac:dyDescent="0.3"/>
    <row r="73" spans="1:5" x14ac:dyDescent="0.25">
      <c r="A73" s="1231" t="s">
        <v>261</v>
      </c>
      <c r="B73" s="1232"/>
      <c r="C73" s="1235" t="s">
        <v>966</v>
      </c>
      <c r="D73" s="1177" t="s">
        <v>484</v>
      </c>
      <c r="E73" s="657" t="s">
        <v>947</v>
      </c>
    </row>
    <row r="74" spans="1:5" ht="15.75" thickBot="1" x14ac:dyDescent="0.3">
      <c r="A74" s="1233"/>
      <c r="B74" s="1234"/>
      <c r="C74" s="1236"/>
      <c r="D74" s="1178"/>
      <c r="E74" s="658" t="s">
        <v>733</v>
      </c>
    </row>
    <row r="75" spans="1:5" x14ac:dyDescent="0.25">
      <c r="A75" s="1228"/>
      <c r="B75" s="1229"/>
      <c r="C75" s="659"/>
      <c r="D75" s="659"/>
      <c r="E75" s="659"/>
    </row>
    <row r="76" spans="1:5" x14ac:dyDescent="0.25">
      <c r="A76" s="1227"/>
      <c r="B76" s="1230" t="s">
        <v>950</v>
      </c>
      <c r="C76" s="1226">
        <f>+C12</f>
        <v>0</v>
      </c>
      <c r="D76" s="1226">
        <f>+D12</f>
        <v>39503957.710000001</v>
      </c>
      <c r="E76" s="1226">
        <f>+E12</f>
        <v>39503957.710000001</v>
      </c>
    </row>
    <row r="77" spans="1:5" x14ac:dyDescent="0.25">
      <c r="A77" s="1227"/>
      <c r="B77" s="1230"/>
      <c r="C77" s="1226"/>
      <c r="D77" s="1226"/>
      <c r="E77" s="1226"/>
    </row>
    <row r="78" spans="1:5" ht="19.5" x14ac:dyDescent="0.25">
      <c r="A78" s="1227"/>
      <c r="B78" s="661" t="s">
        <v>978</v>
      </c>
      <c r="C78" s="772">
        <f>+C79-C80</f>
        <v>0</v>
      </c>
      <c r="D78" s="772">
        <f>+D79-D80</f>
        <v>0</v>
      </c>
      <c r="E78" s="772">
        <f>+E79-E80</f>
        <v>0</v>
      </c>
    </row>
    <row r="79" spans="1:5" x14ac:dyDescent="0.25">
      <c r="A79" s="1227"/>
      <c r="B79" s="660" t="s">
        <v>969</v>
      </c>
      <c r="C79" s="772">
        <f>+C44</f>
        <v>0</v>
      </c>
      <c r="D79" s="772">
        <v>0</v>
      </c>
      <c r="E79" s="772">
        <v>0</v>
      </c>
    </row>
    <row r="80" spans="1:5" x14ac:dyDescent="0.25">
      <c r="A80" s="1227"/>
      <c r="B80" s="660" t="s">
        <v>972</v>
      </c>
      <c r="C80" s="772">
        <f>+C47</f>
        <v>0</v>
      </c>
      <c r="D80" s="772">
        <v>0</v>
      </c>
      <c r="E80" s="772">
        <v>0</v>
      </c>
    </row>
    <row r="81" spans="1:5" x14ac:dyDescent="0.25">
      <c r="A81" s="1227"/>
      <c r="B81" s="832"/>
      <c r="C81" s="772"/>
      <c r="D81" s="772"/>
      <c r="E81" s="772"/>
    </row>
    <row r="82" spans="1:5" x14ac:dyDescent="0.25">
      <c r="A82" s="831"/>
      <c r="B82" s="832" t="s">
        <v>979</v>
      </c>
      <c r="C82" s="772">
        <f>+C17</f>
        <v>0</v>
      </c>
      <c r="D82" s="772">
        <f>+D17</f>
        <v>8911583.0700000003</v>
      </c>
      <c r="E82" s="772">
        <f>+E17</f>
        <v>8911583.0700000003</v>
      </c>
    </row>
    <row r="83" spans="1:5" x14ac:dyDescent="0.25">
      <c r="A83" s="831"/>
      <c r="B83" s="832"/>
      <c r="C83" s="772" t="s">
        <v>258</v>
      </c>
      <c r="D83" s="772" t="s">
        <v>258</v>
      </c>
      <c r="E83" s="772" t="s">
        <v>258</v>
      </c>
    </row>
    <row r="84" spans="1:5" x14ac:dyDescent="0.25">
      <c r="A84" s="831"/>
      <c r="B84" s="832" t="s">
        <v>957</v>
      </c>
      <c r="C84" s="773"/>
      <c r="D84" s="779">
        <f>+D21</f>
        <v>0</v>
      </c>
      <c r="E84" s="779">
        <f>+E21</f>
        <v>0</v>
      </c>
    </row>
    <row r="85" spans="1:5" x14ac:dyDescent="0.25">
      <c r="A85" s="831"/>
      <c r="B85" s="832"/>
      <c r="C85" s="772"/>
      <c r="D85" s="772"/>
      <c r="E85" s="772"/>
    </row>
    <row r="86" spans="1:5" ht="19.5" x14ac:dyDescent="0.25">
      <c r="A86" s="1224"/>
      <c r="B86" s="650" t="s">
        <v>980</v>
      </c>
      <c r="C86" s="774">
        <f>+C76+C78-C82+C84</f>
        <v>0</v>
      </c>
      <c r="D86" s="774">
        <f>+D76+D78-D82+D84</f>
        <v>30592374.640000001</v>
      </c>
      <c r="E86" s="774">
        <f>+E76+E78-E82+E84</f>
        <v>30592374.640000001</v>
      </c>
    </row>
    <row r="87" spans="1:5" x14ac:dyDescent="0.25">
      <c r="A87" s="1224"/>
      <c r="B87" s="662"/>
      <c r="C87" s="775"/>
      <c r="D87" s="775"/>
      <c r="E87" s="775"/>
    </row>
    <row r="88" spans="1:5" ht="19.5" x14ac:dyDescent="0.25">
      <c r="A88" s="1224"/>
      <c r="B88" s="650" t="s">
        <v>981</v>
      </c>
      <c r="C88" s="776">
        <f>+C86-C78</f>
        <v>0</v>
      </c>
      <c r="D88" s="776">
        <f>+D86-D78</f>
        <v>30592374.640000001</v>
      </c>
      <c r="E88" s="776">
        <f>+E86-E78</f>
        <v>30592374.640000001</v>
      </c>
    </row>
    <row r="89" spans="1:5" ht="15.75" thickBot="1" x14ac:dyDescent="0.3">
      <c r="A89" s="1225"/>
      <c r="B89" s="663"/>
      <c r="C89" s="663"/>
      <c r="D89" s="663"/>
      <c r="E89" s="663"/>
    </row>
  </sheetData>
  <sheetProtection password="C115" sheet="1" scenarios="1" formatColumns="0" formatRows="0" insertHyperlinks="0"/>
  <mergeCells count="42">
    <mergeCell ref="A43:A44"/>
    <mergeCell ref="A45:A47"/>
    <mergeCell ref="A1:E1"/>
    <mergeCell ref="A39:B40"/>
    <mergeCell ref="C39:C40"/>
    <mergeCell ref="D39:D40"/>
    <mergeCell ref="A32:A34"/>
    <mergeCell ref="A5:E5"/>
    <mergeCell ref="A23:A26"/>
    <mergeCell ref="A29:E29"/>
    <mergeCell ref="A30:B30"/>
    <mergeCell ref="A7:B8"/>
    <mergeCell ref="D7:D8"/>
    <mergeCell ref="A4:E4"/>
    <mergeCell ref="A3:E3"/>
    <mergeCell ref="A2:E2"/>
    <mergeCell ref="A49:A50"/>
    <mergeCell ref="B49:B50"/>
    <mergeCell ref="C49:C50"/>
    <mergeCell ref="D49:D50"/>
    <mergeCell ref="E49:E50"/>
    <mergeCell ref="A55:B56"/>
    <mergeCell ref="D55:D56"/>
    <mergeCell ref="A57:B57"/>
    <mergeCell ref="A58:A59"/>
    <mergeCell ref="B58:B59"/>
    <mergeCell ref="C58:C59"/>
    <mergeCell ref="D58:D59"/>
    <mergeCell ref="A68:A71"/>
    <mergeCell ref="A73:B74"/>
    <mergeCell ref="C73:C74"/>
    <mergeCell ref="D73:D74"/>
    <mergeCell ref="E58:E59"/>
    <mergeCell ref="A60:A63"/>
    <mergeCell ref="A86:A89"/>
    <mergeCell ref="E76:E77"/>
    <mergeCell ref="A78:A81"/>
    <mergeCell ref="A75:B75"/>
    <mergeCell ref="A76:A77"/>
    <mergeCell ref="B76:B77"/>
    <mergeCell ref="C76:C77"/>
    <mergeCell ref="D76:D77"/>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2" max="4"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8"/>
  <sheetViews>
    <sheetView view="pageBreakPreview" zoomScaleNormal="100" zoomScaleSheetLayoutView="100" workbookViewId="0">
      <selection activeCell="B35" sqref="B35"/>
    </sheetView>
  </sheetViews>
  <sheetFormatPr baseColWidth="10" defaultColWidth="11.28515625" defaultRowHeight="16.5" x14ac:dyDescent="0.3"/>
  <cols>
    <col min="1" max="1" width="3.7109375" style="117" customWidth="1"/>
    <col min="2" max="2" width="35.7109375" style="97" customWidth="1"/>
    <col min="3" max="3" width="26.7109375" style="97" customWidth="1"/>
    <col min="4" max="5" width="15.7109375" style="97" customWidth="1"/>
    <col min="6" max="16384" width="11.28515625" style="97"/>
  </cols>
  <sheetData>
    <row r="1" spans="1:5" x14ac:dyDescent="0.3">
      <c r="A1" s="1185" t="s">
        <v>982</v>
      </c>
      <c r="B1" s="1185"/>
      <c r="C1" s="1185"/>
      <c r="D1" s="1185"/>
      <c r="E1" s="328"/>
    </row>
    <row r="2" spans="1:5" x14ac:dyDescent="0.3">
      <c r="A2" s="1189" t="s">
        <v>983</v>
      </c>
      <c r="B2" s="1189"/>
      <c r="C2" s="1189"/>
      <c r="D2" s="1189"/>
      <c r="E2" s="1189"/>
    </row>
    <row r="3" spans="1:5" x14ac:dyDescent="0.3">
      <c r="A3" s="1249" t="str">
        <f>'ETCA-I-01'!A3:G3</f>
        <v>Consejo Estatal de Concertacion para la Obra Publica</v>
      </c>
      <c r="B3" s="1249"/>
      <c r="C3" s="1249"/>
      <c r="D3" s="1249"/>
      <c r="E3" s="1249"/>
    </row>
    <row r="4" spans="1:5" x14ac:dyDescent="0.3">
      <c r="A4" s="1250" t="str">
        <f>'ETCA-I-03'!A4:D4</f>
        <v>Del 01 de Enero  al 30 de Septiembre de 2017</v>
      </c>
      <c r="B4" s="1250"/>
      <c r="C4" s="1250"/>
      <c r="D4" s="1250"/>
      <c r="E4" s="1250"/>
    </row>
    <row r="5" spans="1:5" x14ac:dyDescent="0.3">
      <c r="A5" s="820"/>
      <c r="B5" s="820"/>
      <c r="C5" s="823" t="s">
        <v>984</v>
      </c>
      <c r="D5" s="42"/>
      <c r="E5" s="388"/>
    </row>
    <row r="6" spans="1:5" ht="6.75" customHeight="1" thickBot="1" x14ac:dyDescent="0.35"/>
    <row r="7" spans="1:5" s="198" customFormat="1" ht="30" customHeight="1" x14ac:dyDescent="0.25">
      <c r="A7" s="1190" t="s">
        <v>985</v>
      </c>
      <c r="B7" s="1191"/>
      <c r="C7" s="389" t="s">
        <v>986</v>
      </c>
      <c r="D7" s="824" t="s">
        <v>987</v>
      </c>
      <c r="E7" s="826" t="s">
        <v>988</v>
      </c>
    </row>
    <row r="8" spans="1:5" s="198" customFormat="1" ht="30" customHeight="1" thickBot="1" x14ac:dyDescent="0.3">
      <c r="A8" s="1192"/>
      <c r="B8" s="1193"/>
      <c r="C8" s="333" t="s">
        <v>871</v>
      </c>
      <c r="D8" s="333" t="s">
        <v>872</v>
      </c>
      <c r="E8" s="334" t="s">
        <v>989</v>
      </c>
    </row>
    <row r="9" spans="1:5" s="198" customFormat="1" ht="12.75" customHeight="1" x14ac:dyDescent="0.25">
      <c r="A9" s="1194"/>
      <c r="B9" s="1247"/>
      <c r="C9" s="1195"/>
      <c r="D9" s="1195"/>
      <c r="E9" s="1248"/>
    </row>
    <row r="10" spans="1:5" s="198" customFormat="1" ht="20.25" customHeight="1" x14ac:dyDescent="0.25">
      <c r="A10" s="335">
        <v>1</v>
      </c>
      <c r="B10" s="390"/>
      <c r="C10" s="337"/>
      <c r="D10" s="338"/>
      <c r="E10" s="348" t="str">
        <f>IF(B10&lt;&gt;"",C10+D10,"")</f>
        <v/>
      </c>
    </row>
    <row r="11" spans="1:5" s="198" customFormat="1" ht="20.25" customHeight="1" x14ac:dyDescent="0.25">
      <c r="A11" s="335">
        <v>2</v>
      </c>
      <c r="B11" s="390" t="s">
        <v>1063</v>
      </c>
      <c r="C11" s="337"/>
      <c r="D11" s="338"/>
      <c r="E11" s="348">
        <f t="shared" ref="E11:E19" si="0">IF(B11&lt;&gt;"",C11+D11,"")</f>
        <v>0</v>
      </c>
    </row>
    <row r="12" spans="1:5" s="198" customFormat="1" ht="20.25" customHeight="1" x14ac:dyDescent="0.25">
      <c r="A12" s="335">
        <v>3</v>
      </c>
      <c r="B12" s="390"/>
      <c r="C12" s="337"/>
      <c r="D12" s="338"/>
      <c r="E12" s="348" t="str">
        <f t="shared" si="0"/>
        <v/>
      </c>
    </row>
    <row r="13" spans="1:5" s="198" customFormat="1" ht="20.25" customHeight="1" x14ac:dyDescent="0.25">
      <c r="A13" s="335">
        <v>4</v>
      </c>
      <c r="B13" s="390"/>
      <c r="C13" s="337"/>
      <c r="D13" s="338"/>
      <c r="E13" s="348" t="str">
        <f t="shared" si="0"/>
        <v/>
      </c>
    </row>
    <row r="14" spans="1:5" s="198" customFormat="1" ht="20.25" customHeight="1" x14ac:dyDescent="0.25">
      <c r="A14" s="335">
        <v>5</v>
      </c>
      <c r="B14" s="390"/>
      <c r="C14" s="337"/>
      <c r="D14" s="338"/>
      <c r="E14" s="348" t="str">
        <f t="shared" si="0"/>
        <v/>
      </c>
    </row>
    <row r="15" spans="1:5" s="198" customFormat="1" ht="20.25" customHeight="1" x14ac:dyDescent="0.25">
      <c r="A15" s="335">
        <v>6</v>
      </c>
      <c r="B15" s="390"/>
      <c r="C15" s="337"/>
      <c r="D15" s="338"/>
      <c r="E15" s="348" t="str">
        <f t="shared" si="0"/>
        <v/>
      </c>
    </row>
    <row r="16" spans="1:5" s="198" customFormat="1" ht="20.25" customHeight="1" x14ac:dyDescent="0.25">
      <c r="A16" s="335">
        <v>7</v>
      </c>
      <c r="B16" s="390"/>
      <c r="C16" s="337"/>
      <c r="D16" s="338"/>
      <c r="E16" s="348" t="str">
        <f t="shared" si="0"/>
        <v/>
      </c>
    </row>
    <row r="17" spans="1:7" s="198" customFormat="1" ht="20.25" customHeight="1" x14ac:dyDescent="0.25">
      <c r="A17" s="335">
        <v>8</v>
      </c>
      <c r="B17" s="390"/>
      <c r="C17" s="337"/>
      <c r="D17" s="338"/>
      <c r="E17" s="348" t="str">
        <f t="shared" si="0"/>
        <v/>
      </c>
    </row>
    <row r="18" spans="1:7" s="198" customFormat="1" ht="20.25" customHeight="1" x14ac:dyDescent="0.25">
      <c r="A18" s="335">
        <v>9</v>
      </c>
      <c r="B18" s="390"/>
      <c r="C18" s="337"/>
      <c r="D18" s="338"/>
      <c r="E18" s="348" t="str">
        <f t="shared" si="0"/>
        <v/>
      </c>
    </row>
    <row r="19" spans="1:7" s="198" customFormat="1" ht="20.25" customHeight="1" x14ac:dyDescent="0.25">
      <c r="A19" s="335">
        <v>10</v>
      </c>
      <c r="B19" s="390"/>
      <c r="C19" s="337"/>
      <c r="D19" s="338"/>
      <c r="E19" s="348" t="str">
        <f t="shared" si="0"/>
        <v/>
      </c>
    </row>
    <row r="20" spans="1:7" s="198" customFormat="1" ht="20.25" customHeight="1" x14ac:dyDescent="0.25">
      <c r="A20" s="335"/>
      <c r="B20" s="391" t="s">
        <v>990</v>
      </c>
      <c r="C20" s="346">
        <f>SUM(C10:C19)</f>
        <v>0</v>
      </c>
      <c r="D20" s="346">
        <f>SUM(D10:D19)</f>
        <v>0</v>
      </c>
      <c r="E20" s="348">
        <f>C20+D20</f>
        <v>0</v>
      </c>
      <c r="G20" s="392"/>
    </row>
    <row r="21" spans="1:7" s="198" customFormat="1" ht="21" customHeight="1" x14ac:dyDescent="0.25">
      <c r="A21" s="1186" t="s">
        <v>991</v>
      </c>
      <c r="B21" s="1187"/>
      <c r="C21" s="1187"/>
      <c r="D21" s="1187"/>
      <c r="E21" s="1188"/>
    </row>
    <row r="22" spans="1:7" s="198" customFormat="1" ht="20.25" customHeight="1" x14ac:dyDescent="0.25">
      <c r="A22" s="335">
        <v>1</v>
      </c>
      <c r="B22" s="336"/>
      <c r="C22" s="337"/>
      <c r="D22" s="338"/>
      <c r="E22" s="348" t="str">
        <f>IF(B22&lt;&gt;"",C22+D22,"")</f>
        <v/>
      </c>
    </row>
    <row r="23" spans="1:7" s="198" customFormat="1" ht="20.25" customHeight="1" x14ac:dyDescent="0.25">
      <c r="A23" s="335">
        <v>2</v>
      </c>
      <c r="B23" s="336"/>
      <c r="C23" s="337"/>
      <c r="D23" s="338"/>
      <c r="E23" s="348" t="str">
        <f t="shared" ref="E23:E31" si="1">IF(B23&lt;&gt;"",C23+D23,"")</f>
        <v/>
      </c>
    </row>
    <row r="24" spans="1:7" s="198" customFormat="1" ht="20.25" customHeight="1" x14ac:dyDescent="0.25">
      <c r="A24" s="335">
        <v>3</v>
      </c>
      <c r="B24" s="336"/>
      <c r="C24" s="337"/>
      <c r="D24" s="338"/>
      <c r="E24" s="348" t="str">
        <f t="shared" si="1"/>
        <v/>
      </c>
    </row>
    <row r="25" spans="1:7" s="198" customFormat="1" ht="20.25" customHeight="1" x14ac:dyDescent="0.25">
      <c r="A25" s="335">
        <v>4</v>
      </c>
      <c r="B25" s="336"/>
      <c r="C25" s="337"/>
      <c r="D25" s="338"/>
      <c r="E25" s="348" t="str">
        <f t="shared" si="1"/>
        <v/>
      </c>
    </row>
    <row r="26" spans="1:7" s="198" customFormat="1" ht="20.25" customHeight="1" x14ac:dyDescent="0.25">
      <c r="A26" s="335">
        <v>5</v>
      </c>
      <c r="B26" s="336"/>
      <c r="C26" s="337"/>
      <c r="D26" s="338"/>
      <c r="E26" s="348" t="str">
        <f t="shared" si="1"/>
        <v/>
      </c>
    </row>
    <row r="27" spans="1:7" s="198" customFormat="1" ht="20.25" customHeight="1" x14ac:dyDescent="0.25">
      <c r="A27" s="335">
        <v>6</v>
      </c>
      <c r="B27" s="336"/>
      <c r="C27" s="337"/>
      <c r="D27" s="338"/>
      <c r="E27" s="348" t="str">
        <f t="shared" si="1"/>
        <v/>
      </c>
    </row>
    <row r="28" spans="1:7" s="198" customFormat="1" ht="20.25" customHeight="1" x14ac:dyDescent="0.25">
      <c r="A28" s="335">
        <v>7</v>
      </c>
      <c r="B28" s="336"/>
      <c r="C28" s="337"/>
      <c r="D28" s="338"/>
      <c r="E28" s="348" t="str">
        <f t="shared" si="1"/>
        <v/>
      </c>
    </row>
    <row r="29" spans="1:7" s="198" customFormat="1" ht="20.25" customHeight="1" x14ac:dyDescent="0.25">
      <c r="A29" s="335">
        <v>8</v>
      </c>
      <c r="B29" s="336"/>
      <c r="C29" s="337"/>
      <c r="D29" s="338"/>
      <c r="E29" s="348" t="str">
        <f t="shared" si="1"/>
        <v/>
      </c>
    </row>
    <row r="30" spans="1:7" s="198" customFormat="1" ht="20.25" customHeight="1" x14ac:dyDescent="0.25">
      <c r="A30" s="335">
        <v>9</v>
      </c>
      <c r="B30" s="336"/>
      <c r="C30" s="337"/>
      <c r="D30" s="338"/>
      <c r="E30" s="348" t="str">
        <f t="shared" si="1"/>
        <v/>
      </c>
    </row>
    <row r="31" spans="1:7" s="198" customFormat="1" ht="20.25" customHeight="1" x14ac:dyDescent="0.25">
      <c r="A31" s="335">
        <v>10</v>
      </c>
      <c r="B31" s="336"/>
      <c r="C31" s="337"/>
      <c r="D31" s="338"/>
      <c r="E31" s="348" t="str">
        <f t="shared" si="1"/>
        <v/>
      </c>
    </row>
    <row r="32" spans="1:7" s="342" customFormat="1" ht="22.5" customHeight="1" thickBot="1" x14ac:dyDescent="0.35">
      <c r="A32" s="335"/>
      <c r="B32" s="341" t="s">
        <v>992</v>
      </c>
      <c r="C32" s="395">
        <f>SUM(C22:C31)</f>
        <v>0</v>
      </c>
      <c r="D32" s="396">
        <f>SUM(D22:D31)</f>
        <v>0</v>
      </c>
      <c r="E32" s="394">
        <f>C32+D32</f>
        <v>0</v>
      </c>
    </row>
    <row r="33" spans="1:10" ht="30.75" customHeight="1" thickBot="1" x14ac:dyDescent="0.35">
      <c r="A33" s="343"/>
      <c r="B33" s="344" t="s">
        <v>878</v>
      </c>
      <c r="C33" s="349">
        <f>SUM(C20,C32)</f>
        <v>0</v>
      </c>
      <c r="D33" s="349">
        <f>SUM(D20,D32)</f>
        <v>0</v>
      </c>
      <c r="E33" s="350">
        <f>SUM(E20,E32)</f>
        <v>0</v>
      </c>
    </row>
    <row r="34" spans="1:10" ht="30.75" customHeight="1" x14ac:dyDescent="0.3">
      <c r="A34" s="515"/>
      <c r="B34" s="516"/>
      <c r="C34" s="517"/>
      <c r="D34" s="517"/>
      <c r="E34" s="517"/>
    </row>
    <row r="35" spans="1:10" ht="30.75" customHeight="1" x14ac:dyDescent="0.3">
      <c r="A35" s="515"/>
      <c r="B35" s="516"/>
      <c r="C35" s="517"/>
      <c r="D35" s="517"/>
      <c r="E35" s="517"/>
    </row>
    <row r="36" spans="1:10" ht="30.75" customHeight="1" x14ac:dyDescent="0.3">
      <c r="A36" s="515"/>
      <c r="B36" s="516"/>
      <c r="C36" s="517"/>
      <c r="D36" s="517"/>
      <c r="E36" s="517"/>
    </row>
    <row r="37" spans="1:10" ht="12.75" customHeight="1" x14ac:dyDescent="0.3">
      <c r="J37" s="345"/>
    </row>
    <row r="38" spans="1:10" ht="20.25" x14ac:dyDescent="0.3">
      <c r="B38" s="393" t="s">
        <v>993</v>
      </c>
    </row>
  </sheetData>
  <sheetProtection password="C115" sheet="1" scenarios="1"/>
  <mergeCells count="7">
    <mergeCell ref="A1:D1"/>
    <mergeCell ref="A2:E2"/>
    <mergeCell ref="A7:B8"/>
    <mergeCell ref="A9:E9"/>
    <mergeCell ref="A21:E21"/>
    <mergeCell ref="A3:E3"/>
    <mergeCell ref="A4:E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A5" sqref="A5"/>
    </sheetView>
  </sheetViews>
  <sheetFormatPr baseColWidth="10" defaultColWidth="11.42578125" defaultRowHeight="15" x14ac:dyDescent="0.25"/>
  <cols>
    <col min="6" max="6" width="26.42578125" customWidth="1"/>
    <col min="7" max="7" width="25.28515625" customWidth="1"/>
    <col min="8" max="8" width="11.7109375" customWidth="1"/>
  </cols>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B050"/>
    <pageSetUpPr fitToPage="1"/>
  </sheetPr>
  <dimension ref="A1:G73"/>
  <sheetViews>
    <sheetView view="pageBreakPreview" topLeftCell="A10" zoomScale="90" zoomScaleNormal="100" zoomScaleSheetLayoutView="90" workbookViewId="0">
      <selection activeCell="C18" sqref="C18"/>
    </sheetView>
  </sheetViews>
  <sheetFormatPr baseColWidth="10" defaultColWidth="11.28515625" defaultRowHeight="16.5" x14ac:dyDescent="0.3"/>
  <cols>
    <col min="1" max="1" width="1.7109375" style="100" customWidth="1"/>
    <col min="2" max="2" width="101.7109375" style="100" bestFit="1" customWidth="1"/>
    <col min="3" max="3" width="18.28515625" style="100" customWidth="1"/>
    <col min="4" max="4" width="18" style="440" customWidth="1"/>
    <col min="5" max="5" width="59.28515625" style="98" customWidth="1"/>
    <col min="6" max="6" width="22.7109375" style="98" customWidth="1"/>
    <col min="7" max="16384" width="11.28515625" style="98"/>
  </cols>
  <sheetData>
    <row r="1" spans="1:7" s="97" customFormat="1" ht="20.25" x14ac:dyDescent="0.3">
      <c r="A1" s="965" t="s">
        <v>25</v>
      </c>
      <c r="B1" s="965"/>
      <c r="C1" s="965"/>
      <c r="D1" s="965"/>
      <c r="E1" s="427"/>
      <c r="G1" s="42"/>
    </row>
    <row r="2" spans="1:7" ht="15.75" x14ac:dyDescent="0.25">
      <c r="A2" s="966" t="s">
        <v>1</v>
      </c>
      <c r="B2" s="966"/>
      <c r="C2" s="966"/>
      <c r="D2" s="966"/>
    </row>
    <row r="3" spans="1:7" ht="15.75" x14ac:dyDescent="0.25">
      <c r="A3" s="974" t="str">
        <f>'ETCA-I-01'!A3</f>
        <v>Consejo Estatal de Concertacion para la Obra Publica</v>
      </c>
      <c r="B3" s="974"/>
      <c r="C3" s="974"/>
      <c r="D3" s="974"/>
    </row>
    <row r="4" spans="1:7" ht="15.75" customHeight="1" x14ac:dyDescent="0.25">
      <c r="A4" s="967" t="s">
        <v>1065</v>
      </c>
      <c r="B4" s="967"/>
      <c r="C4" s="967"/>
      <c r="D4" s="967"/>
    </row>
    <row r="5" spans="1:7" s="100" customFormat="1" ht="17.25" thickBot="1" x14ac:dyDescent="0.35">
      <c r="A5" s="975" t="s">
        <v>202</v>
      </c>
      <c r="B5" s="975"/>
      <c r="C5" s="42"/>
      <c r="D5" s="436"/>
    </row>
    <row r="6" spans="1:7" ht="27.75" customHeight="1" thickBot="1" x14ac:dyDescent="0.3">
      <c r="A6" s="972"/>
      <c r="B6" s="973"/>
      <c r="C6" s="872">
        <v>2017</v>
      </c>
      <c r="D6" s="872">
        <v>2016</v>
      </c>
    </row>
    <row r="7" spans="1:7" ht="17.25" thickTop="1" x14ac:dyDescent="0.25">
      <c r="A7" s="101" t="s">
        <v>203</v>
      </c>
      <c r="B7" s="102"/>
      <c r="C7" s="103"/>
      <c r="D7" s="615"/>
    </row>
    <row r="8" spans="1:7" x14ac:dyDescent="0.25">
      <c r="A8" s="104" t="s">
        <v>204</v>
      </c>
      <c r="B8" s="105"/>
      <c r="C8" s="543">
        <f>SUM(C9:C16)</f>
        <v>0</v>
      </c>
      <c r="D8" s="544">
        <f>SUM(D9:D16)</f>
        <v>0</v>
      </c>
    </row>
    <row r="9" spans="1:7" x14ac:dyDescent="0.25">
      <c r="A9" s="106"/>
      <c r="B9" s="107" t="s">
        <v>205</v>
      </c>
      <c r="C9" s="545">
        <v>0</v>
      </c>
      <c r="D9" s="546">
        <v>0</v>
      </c>
    </row>
    <row r="10" spans="1:7" x14ac:dyDescent="0.25">
      <c r="A10" s="106"/>
      <c r="B10" s="107" t="s">
        <v>206</v>
      </c>
      <c r="C10" s="545">
        <v>0</v>
      </c>
      <c r="D10" s="546">
        <v>0</v>
      </c>
    </row>
    <row r="11" spans="1:7" x14ac:dyDescent="0.25">
      <c r="A11" s="106"/>
      <c r="B11" s="107" t="s">
        <v>207</v>
      </c>
      <c r="C11" s="545">
        <v>0</v>
      </c>
      <c r="D11" s="546">
        <v>0</v>
      </c>
    </row>
    <row r="12" spans="1:7" x14ac:dyDescent="0.25">
      <c r="A12" s="106"/>
      <c r="B12" s="107" t="s">
        <v>208</v>
      </c>
      <c r="C12" s="545">
        <v>0</v>
      </c>
      <c r="D12" s="546">
        <v>0</v>
      </c>
    </row>
    <row r="13" spans="1:7" ht="18.75" x14ac:dyDescent="0.25">
      <c r="A13" s="106"/>
      <c r="B13" s="107" t="s">
        <v>209</v>
      </c>
      <c r="C13" s="545">
        <v>0</v>
      </c>
      <c r="D13" s="546">
        <v>0</v>
      </c>
    </row>
    <row r="14" spans="1:7" x14ac:dyDescent="0.25">
      <c r="A14" s="106"/>
      <c r="B14" s="107" t="s">
        <v>210</v>
      </c>
      <c r="C14" s="545">
        <v>0</v>
      </c>
      <c r="D14" s="546">
        <v>0</v>
      </c>
    </row>
    <row r="15" spans="1:7" x14ac:dyDescent="0.25">
      <c r="A15" s="106"/>
      <c r="B15" s="107" t="s">
        <v>211</v>
      </c>
      <c r="C15" s="545">
        <v>0</v>
      </c>
      <c r="D15" s="546">
        <v>0</v>
      </c>
    </row>
    <row r="16" spans="1:7" x14ac:dyDescent="0.25">
      <c r="A16" s="106"/>
      <c r="B16" s="107" t="s">
        <v>212</v>
      </c>
      <c r="C16" s="545">
        <v>0</v>
      </c>
      <c r="D16" s="546">
        <v>0</v>
      </c>
    </row>
    <row r="17" spans="1:4" x14ac:dyDescent="0.25">
      <c r="A17" s="104" t="s">
        <v>213</v>
      </c>
      <c r="B17" s="105"/>
      <c r="C17" s="543">
        <f>SUM(C18:C19)</f>
        <v>448373608.31</v>
      </c>
      <c r="D17" s="544">
        <f>SUM(D18:D19)</f>
        <v>232253640.22999999</v>
      </c>
    </row>
    <row r="18" spans="1:4" x14ac:dyDescent="0.25">
      <c r="A18" s="106"/>
      <c r="B18" s="107" t="s">
        <v>214</v>
      </c>
      <c r="C18" s="545">
        <v>39503957.710000001</v>
      </c>
      <c r="D18" s="546">
        <v>29670000</v>
      </c>
    </row>
    <row r="19" spans="1:4" x14ac:dyDescent="0.25">
      <c r="A19" s="106"/>
      <c r="B19" s="107" t="s">
        <v>215</v>
      </c>
      <c r="C19" s="545">
        <v>408869650.60000002</v>
      </c>
      <c r="D19" s="546">
        <v>202583640.22999999</v>
      </c>
    </row>
    <row r="20" spans="1:4" x14ac:dyDescent="0.25">
      <c r="A20" s="104" t="s">
        <v>216</v>
      </c>
      <c r="B20" s="105"/>
      <c r="C20" s="543">
        <f>SUM(C21:C25)</f>
        <v>5170631.8</v>
      </c>
      <c r="D20" s="544">
        <f>SUM(D21:D25)</f>
        <v>2126985.31</v>
      </c>
    </row>
    <row r="21" spans="1:4" x14ac:dyDescent="0.25">
      <c r="A21" s="106"/>
      <c r="B21" s="107" t="s">
        <v>217</v>
      </c>
      <c r="C21" s="545">
        <v>5170631.8</v>
      </c>
      <c r="D21" s="546">
        <v>2126985.31</v>
      </c>
    </row>
    <row r="22" spans="1:4" x14ac:dyDescent="0.25">
      <c r="A22" s="106"/>
      <c r="B22" s="107" t="s">
        <v>218</v>
      </c>
      <c r="C22" s="545">
        <v>0</v>
      </c>
      <c r="D22" s="546">
        <v>0</v>
      </c>
    </row>
    <row r="23" spans="1:4" x14ac:dyDescent="0.25">
      <c r="A23" s="106"/>
      <c r="B23" s="107" t="s">
        <v>219</v>
      </c>
      <c r="C23" s="545">
        <v>0</v>
      </c>
      <c r="D23" s="546">
        <v>0</v>
      </c>
    </row>
    <row r="24" spans="1:4" x14ac:dyDescent="0.25">
      <c r="A24" s="106"/>
      <c r="B24" s="107" t="s">
        <v>220</v>
      </c>
      <c r="C24" s="545">
        <v>0</v>
      </c>
      <c r="D24" s="546">
        <v>0</v>
      </c>
    </row>
    <row r="25" spans="1:4" x14ac:dyDescent="0.25">
      <c r="A25" s="106"/>
      <c r="B25" s="107" t="s">
        <v>221</v>
      </c>
      <c r="C25" s="545">
        <v>0</v>
      </c>
      <c r="D25" s="546">
        <v>0</v>
      </c>
    </row>
    <row r="26" spans="1:4" x14ac:dyDescent="0.25">
      <c r="A26" s="106"/>
      <c r="B26" s="103"/>
      <c r="C26" s="545">
        <v>0</v>
      </c>
      <c r="D26" s="546">
        <v>0</v>
      </c>
    </row>
    <row r="27" spans="1:4" x14ac:dyDescent="0.25">
      <c r="A27" s="108" t="s">
        <v>222</v>
      </c>
      <c r="B27" s="109"/>
      <c r="C27" s="547">
        <f>C20+C17+C8</f>
        <v>453544240.11000001</v>
      </c>
      <c r="D27" s="548">
        <f>D20+D17+D8</f>
        <v>234380625.53999999</v>
      </c>
    </row>
    <row r="28" spans="1:4" x14ac:dyDescent="0.25">
      <c r="A28" s="106"/>
      <c r="B28" s="103"/>
      <c r="C28" s="545">
        <v>0</v>
      </c>
      <c r="D28" s="546">
        <v>0</v>
      </c>
    </row>
    <row r="29" spans="1:4" x14ac:dyDescent="0.25">
      <c r="A29" s="101" t="s">
        <v>223</v>
      </c>
      <c r="B29" s="102"/>
      <c r="C29" s="545">
        <v>0</v>
      </c>
      <c r="D29" s="546">
        <v>0</v>
      </c>
    </row>
    <row r="30" spans="1:4" x14ac:dyDescent="0.25">
      <c r="A30" s="104" t="s">
        <v>224</v>
      </c>
      <c r="B30" s="105"/>
      <c r="C30" s="543">
        <f>SUM(C31:C33)</f>
        <v>19115623.52</v>
      </c>
      <c r="D30" s="544">
        <f>SUM(D31:D33)</f>
        <v>11230425.210000001</v>
      </c>
    </row>
    <row r="31" spans="1:4" x14ac:dyDescent="0.25">
      <c r="A31" s="106"/>
      <c r="B31" s="107" t="s">
        <v>225</v>
      </c>
      <c r="C31" s="545">
        <v>15399711.67</v>
      </c>
      <c r="D31" s="546">
        <v>8782261.5600000005</v>
      </c>
    </row>
    <row r="32" spans="1:4" x14ac:dyDescent="0.25">
      <c r="A32" s="106"/>
      <c r="B32" s="107" t="s">
        <v>226</v>
      </c>
      <c r="C32" s="545">
        <v>1082634.53</v>
      </c>
      <c r="D32" s="546">
        <v>884946.34</v>
      </c>
    </row>
    <row r="33" spans="1:4" x14ac:dyDescent="0.25">
      <c r="A33" s="106"/>
      <c r="B33" s="107" t="s">
        <v>227</v>
      </c>
      <c r="C33" s="545">
        <v>2633277.3199999998</v>
      </c>
      <c r="D33" s="546">
        <v>1563217.31</v>
      </c>
    </row>
    <row r="34" spans="1:4" x14ac:dyDescent="0.25">
      <c r="A34" s="104" t="s">
        <v>215</v>
      </c>
      <c r="B34" s="105"/>
      <c r="C34" s="543">
        <f>SUM(C35:C43)</f>
        <v>0</v>
      </c>
      <c r="D34" s="544">
        <f>SUM(D35:D43)</f>
        <v>0</v>
      </c>
    </row>
    <row r="35" spans="1:4" x14ac:dyDescent="0.25">
      <c r="A35" s="106"/>
      <c r="B35" s="107" t="s">
        <v>228</v>
      </c>
      <c r="C35" s="545">
        <v>0</v>
      </c>
      <c r="D35" s="546">
        <v>0</v>
      </c>
    </row>
    <row r="36" spans="1:4" x14ac:dyDescent="0.25">
      <c r="A36" s="106"/>
      <c r="B36" s="107" t="s">
        <v>229</v>
      </c>
      <c r="C36" s="545">
        <v>0</v>
      </c>
      <c r="D36" s="546">
        <v>0</v>
      </c>
    </row>
    <row r="37" spans="1:4" x14ac:dyDescent="0.25">
      <c r="A37" s="106"/>
      <c r="B37" s="107" t="s">
        <v>230</v>
      </c>
      <c r="C37" s="545">
        <v>0</v>
      </c>
      <c r="D37" s="546">
        <v>0</v>
      </c>
    </row>
    <row r="38" spans="1:4" x14ac:dyDescent="0.25">
      <c r="A38" s="106"/>
      <c r="B38" s="107" t="s">
        <v>231</v>
      </c>
      <c r="C38" s="545">
        <v>0</v>
      </c>
      <c r="D38" s="546">
        <v>0</v>
      </c>
    </row>
    <row r="39" spans="1:4" x14ac:dyDescent="0.25">
      <c r="A39" s="106"/>
      <c r="B39" s="107" t="s">
        <v>232</v>
      </c>
      <c r="C39" s="545">
        <v>0</v>
      </c>
      <c r="D39" s="546">
        <v>0</v>
      </c>
    </row>
    <row r="40" spans="1:4" x14ac:dyDescent="0.25">
      <c r="A40" s="106"/>
      <c r="B40" s="107" t="s">
        <v>233</v>
      </c>
      <c r="C40" s="545">
        <v>0</v>
      </c>
      <c r="D40" s="546">
        <v>0</v>
      </c>
    </row>
    <row r="41" spans="1:4" x14ac:dyDescent="0.25">
      <c r="A41" s="106"/>
      <c r="B41" s="107" t="s">
        <v>234</v>
      </c>
      <c r="C41" s="545">
        <v>0</v>
      </c>
      <c r="D41" s="546">
        <v>0</v>
      </c>
    </row>
    <row r="42" spans="1:4" x14ac:dyDescent="0.25">
      <c r="A42" s="106"/>
      <c r="B42" s="107" t="s">
        <v>235</v>
      </c>
      <c r="C42" s="545">
        <v>0</v>
      </c>
      <c r="D42" s="546">
        <v>0</v>
      </c>
    </row>
    <row r="43" spans="1:4" x14ac:dyDescent="0.25">
      <c r="A43" s="106"/>
      <c r="B43" s="107" t="s">
        <v>236</v>
      </c>
      <c r="C43" s="545">
        <v>0</v>
      </c>
      <c r="D43" s="546">
        <v>0</v>
      </c>
    </row>
    <row r="44" spans="1:4" x14ac:dyDescent="0.25">
      <c r="A44" s="104" t="s">
        <v>237</v>
      </c>
      <c r="B44" s="105"/>
      <c r="C44" s="543">
        <f>SUM(C45:C47)</f>
        <v>0</v>
      </c>
      <c r="D44" s="544">
        <f>SUM(D45:D47)</f>
        <v>0</v>
      </c>
    </row>
    <row r="45" spans="1:4" x14ac:dyDescent="0.25">
      <c r="A45" s="106"/>
      <c r="B45" s="107" t="s">
        <v>238</v>
      </c>
      <c r="C45" s="545">
        <v>0</v>
      </c>
      <c r="D45" s="546">
        <v>0</v>
      </c>
    </row>
    <row r="46" spans="1:4" x14ac:dyDescent="0.25">
      <c r="A46" s="106"/>
      <c r="B46" s="107" t="s">
        <v>72</v>
      </c>
      <c r="C46" s="545">
        <v>0</v>
      </c>
      <c r="D46" s="546">
        <v>0</v>
      </c>
    </row>
    <row r="47" spans="1:4" x14ac:dyDescent="0.25">
      <c r="A47" s="106"/>
      <c r="B47" s="107" t="s">
        <v>239</v>
      </c>
      <c r="C47" s="545">
        <v>0</v>
      </c>
      <c r="D47" s="546">
        <v>0</v>
      </c>
    </row>
    <row r="48" spans="1:4" x14ac:dyDescent="0.25">
      <c r="A48" s="104" t="s">
        <v>240</v>
      </c>
      <c r="B48" s="105"/>
      <c r="C48" s="543">
        <f>SUM(C49:C53)</f>
        <v>0</v>
      </c>
      <c r="D48" s="544">
        <f>SUM(D49:D53)</f>
        <v>0</v>
      </c>
    </row>
    <row r="49" spans="1:4" x14ac:dyDescent="0.25">
      <c r="A49" s="106"/>
      <c r="B49" s="107" t="s">
        <v>241</v>
      </c>
      <c r="C49" s="545">
        <v>0</v>
      </c>
      <c r="D49" s="546">
        <v>0</v>
      </c>
    </row>
    <row r="50" spans="1:4" x14ac:dyDescent="0.25">
      <c r="A50" s="106"/>
      <c r="B50" s="107" t="s">
        <v>242</v>
      </c>
      <c r="C50" s="545">
        <v>0</v>
      </c>
      <c r="D50" s="546">
        <v>0</v>
      </c>
    </row>
    <row r="51" spans="1:4" x14ac:dyDescent="0.25">
      <c r="A51" s="106"/>
      <c r="B51" s="107" t="s">
        <v>243</v>
      </c>
      <c r="C51" s="545">
        <v>0</v>
      </c>
      <c r="D51" s="546">
        <v>0</v>
      </c>
    </row>
    <row r="52" spans="1:4" x14ac:dyDescent="0.25">
      <c r="A52" s="106"/>
      <c r="B52" s="107" t="s">
        <v>244</v>
      </c>
      <c r="C52" s="545">
        <v>0</v>
      </c>
      <c r="D52" s="546">
        <v>0</v>
      </c>
    </row>
    <row r="53" spans="1:4" x14ac:dyDescent="0.25">
      <c r="A53" s="106"/>
      <c r="B53" s="107" t="s">
        <v>245</v>
      </c>
      <c r="C53" s="545">
        <v>0</v>
      </c>
      <c r="D53" s="546">
        <v>0</v>
      </c>
    </row>
    <row r="54" spans="1:4" x14ac:dyDescent="0.25">
      <c r="A54" s="104" t="s">
        <v>246</v>
      </c>
      <c r="B54" s="105"/>
      <c r="C54" s="547">
        <f>SUM(C55:C60)</f>
        <v>537572.73</v>
      </c>
      <c r="D54" s="548">
        <f>SUM(D55:D60)</f>
        <v>184799.16</v>
      </c>
    </row>
    <row r="55" spans="1:4" x14ac:dyDescent="0.25">
      <c r="A55" s="106"/>
      <c r="B55" s="107" t="s">
        <v>247</v>
      </c>
      <c r="C55" s="545">
        <v>537572.73</v>
      </c>
      <c r="D55" s="546">
        <v>184799.16</v>
      </c>
    </row>
    <row r="56" spans="1:4" x14ac:dyDescent="0.25">
      <c r="A56" s="106"/>
      <c r="B56" s="107" t="s">
        <v>248</v>
      </c>
      <c r="C56" s="545">
        <v>0</v>
      </c>
      <c r="D56" s="546">
        <v>0</v>
      </c>
    </row>
    <row r="57" spans="1:4" x14ac:dyDescent="0.25">
      <c r="A57" s="106"/>
      <c r="B57" s="107" t="s">
        <v>249</v>
      </c>
      <c r="C57" s="545">
        <v>0</v>
      </c>
      <c r="D57" s="546">
        <v>0</v>
      </c>
    </row>
    <row r="58" spans="1:4" x14ac:dyDescent="0.25">
      <c r="A58" s="106"/>
      <c r="B58" s="107" t="s">
        <v>250</v>
      </c>
      <c r="C58" s="545">
        <v>0</v>
      </c>
      <c r="D58" s="546">
        <v>0</v>
      </c>
    </row>
    <row r="59" spans="1:4" x14ac:dyDescent="0.25">
      <c r="A59" s="106"/>
      <c r="B59" s="107" t="s">
        <v>251</v>
      </c>
      <c r="C59" s="545">
        <v>0</v>
      </c>
      <c r="D59" s="546">
        <v>0</v>
      </c>
    </row>
    <row r="60" spans="1:4" x14ac:dyDescent="0.25">
      <c r="A60" s="106"/>
      <c r="B60" s="107" t="s">
        <v>252</v>
      </c>
      <c r="C60" s="545">
        <v>0</v>
      </c>
      <c r="D60" s="546">
        <v>0</v>
      </c>
    </row>
    <row r="61" spans="1:4" x14ac:dyDescent="0.25">
      <c r="A61" s="104" t="s">
        <v>253</v>
      </c>
      <c r="B61" s="105"/>
      <c r="C61" s="547">
        <f>C62</f>
        <v>65886355.280000001</v>
      </c>
      <c r="D61" s="548">
        <f>D62</f>
        <v>11535698.49</v>
      </c>
    </row>
    <row r="62" spans="1:4" x14ac:dyDescent="0.25">
      <c r="A62" s="106"/>
      <c r="B62" s="107" t="s">
        <v>254</v>
      </c>
      <c r="C62" s="545">
        <v>65886355.280000001</v>
      </c>
      <c r="D62" s="546">
        <v>11535698.49</v>
      </c>
    </row>
    <row r="63" spans="1:4" x14ac:dyDescent="0.25">
      <c r="A63" s="106"/>
      <c r="B63" s="110"/>
      <c r="C63" s="545"/>
      <c r="D63" s="546"/>
    </row>
    <row r="64" spans="1:4" x14ac:dyDescent="0.25">
      <c r="A64" s="104" t="s">
        <v>255</v>
      </c>
      <c r="B64" s="105"/>
      <c r="C64" s="547">
        <f>C61+C54+C48+C34+C30+C44</f>
        <v>85539551.530000001</v>
      </c>
      <c r="D64" s="548">
        <f>D61+D54+D48+D34+D30+D44</f>
        <v>22950922.859999999</v>
      </c>
    </row>
    <row r="65" spans="1:5" x14ac:dyDescent="0.25">
      <c r="A65" s="106"/>
      <c r="B65" s="110"/>
      <c r="C65" s="545"/>
      <c r="D65" s="546"/>
    </row>
    <row r="66" spans="1:5" ht="20.25" x14ac:dyDescent="0.3">
      <c r="A66" s="104" t="s">
        <v>256</v>
      </c>
      <c r="B66" s="105"/>
      <c r="C66" s="547">
        <f>C27-C64</f>
        <v>368004688.58000004</v>
      </c>
      <c r="D66" s="548">
        <f>D27-D64</f>
        <v>211429702.68000001</v>
      </c>
      <c r="E66" s="441" t="str">
        <f>IF((C66-'ETCA-I-01'!F41)&gt;0.9,"ERROR!!!, NO COINCIDEN LOS MONTOS CON LO REPORTADO EN EL FORMATO ETCA-I-01 EN EL EJERCICIO 2017","")</f>
        <v/>
      </c>
    </row>
    <row r="67" spans="1:5" ht="21" thickBot="1" x14ac:dyDescent="0.35">
      <c r="A67" s="111"/>
      <c r="B67" s="112"/>
      <c r="C67" s="112"/>
      <c r="D67" s="437"/>
      <c r="E67" s="441"/>
    </row>
    <row r="68" spans="1:5" s="429" customFormat="1" ht="16.5" customHeight="1" x14ac:dyDescent="0.25">
      <c r="A68" s="110"/>
      <c r="B68" s="501" t="s">
        <v>257</v>
      </c>
      <c r="C68" s="110"/>
      <c r="D68" s="502"/>
    </row>
    <row r="69" spans="1:5" s="429" customFormat="1" ht="16.5" customHeight="1" x14ac:dyDescent="0.25">
      <c r="A69" s="110"/>
      <c r="B69" s="110"/>
      <c r="C69" s="110" t="s">
        <v>258</v>
      </c>
      <c r="D69" s="502"/>
    </row>
    <row r="70" spans="1:5" s="429" customFormat="1" ht="16.5" customHeight="1" x14ac:dyDescent="0.25">
      <c r="A70" s="110"/>
      <c r="B70" s="110" t="s">
        <v>258</v>
      </c>
      <c r="C70" s="110" t="s">
        <v>258</v>
      </c>
      <c r="D70" s="502"/>
    </row>
    <row r="71" spans="1:5" s="429" customFormat="1" ht="16.5" customHeight="1" x14ac:dyDescent="0.25">
      <c r="A71" s="110"/>
      <c r="B71" s="110"/>
      <c r="C71" s="110"/>
      <c r="D71" s="502"/>
    </row>
    <row r="72" spans="1:5" s="429" customFormat="1" ht="16.5" customHeight="1" x14ac:dyDescent="0.3">
      <c r="A72" s="428"/>
      <c r="B72" s="41" t="s">
        <v>258</v>
      </c>
      <c r="C72" s="428"/>
      <c r="D72" s="438"/>
    </row>
    <row r="73" spans="1:5" x14ac:dyDescent="0.3">
      <c r="C73" s="91"/>
      <c r="D73" s="439" t="s">
        <v>87</v>
      </c>
    </row>
  </sheetData>
  <sheetProtection password="C115" sheet="1" scenarios="1" formatColumns="0" formatRows="0" insertHyperlinks="0"/>
  <mergeCells count="6">
    <mergeCell ref="A6:B6"/>
    <mergeCell ref="A3:D3"/>
    <mergeCell ref="A2:D2"/>
    <mergeCell ref="A4:D4"/>
    <mergeCell ref="A1:D1"/>
    <mergeCell ref="A5:B5"/>
  </mergeCells>
  <printOptions horizontalCentered="1"/>
  <pageMargins left="0.47244094488188981" right="0.19685039370078741" top="0.39370078740157483" bottom="0.19685039370078741" header="0.31496062992125984" footer="0.19685039370078741"/>
  <pageSetup scale="6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00B050"/>
    <pageSetUpPr fitToPage="1"/>
  </sheetPr>
  <dimension ref="A1:H52"/>
  <sheetViews>
    <sheetView view="pageBreakPreview" zoomScaleNormal="100" zoomScaleSheetLayoutView="100" workbookViewId="0">
      <selection activeCell="D16" sqref="D16"/>
    </sheetView>
  </sheetViews>
  <sheetFormatPr baseColWidth="10" defaultColWidth="11.28515625" defaultRowHeight="16.5" x14ac:dyDescent="0.3"/>
  <cols>
    <col min="1" max="1" width="47.7109375" style="97" customWidth="1"/>
    <col min="2" max="6" width="14.85546875" style="97" customWidth="1"/>
    <col min="7" max="7" width="73.28515625" style="140" customWidth="1"/>
    <col min="8" max="8" width="47.85546875" style="97" customWidth="1"/>
    <col min="9" max="16384" width="11.28515625" style="97"/>
  </cols>
  <sheetData>
    <row r="1" spans="1:7" ht="18.75" x14ac:dyDescent="0.3">
      <c r="A1" s="965" t="s">
        <v>25</v>
      </c>
      <c r="B1" s="965"/>
      <c r="C1" s="965"/>
      <c r="D1" s="965"/>
      <c r="E1" s="965"/>
      <c r="F1" s="965"/>
      <c r="G1" s="442"/>
    </row>
    <row r="2" spans="1:7" s="98" customFormat="1" ht="18" x14ac:dyDescent="0.25">
      <c r="A2" s="966" t="s">
        <v>259</v>
      </c>
      <c r="B2" s="966"/>
      <c r="C2" s="966"/>
      <c r="D2" s="966"/>
      <c r="E2" s="966"/>
      <c r="F2" s="966"/>
      <c r="G2" s="442"/>
    </row>
    <row r="3" spans="1:7" s="98" customFormat="1" ht="18" x14ac:dyDescent="0.25">
      <c r="A3" s="974" t="str">
        <f>'ETCA-I-01'!A3</f>
        <v>Consejo Estatal de Concertacion para la Obra Publica</v>
      </c>
      <c r="B3" s="974"/>
      <c r="C3" s="974"/>
      <c r="D3" s="974"/>
      <c r="E3" s="974"/>
      <c r="F3" s="974"/>
      <c r="G3" s="442"/>
    </row>
    <row r="4" spans="1:7" s="98" customFormat="1" ht="18" x14ac:dyDescent="0.25">
      <c r="A4" s="976" t="str">
        <f>'ETCA-I-03'!A4:D4</f>
        <v>Del 01 de Enero  al 30 de Septiembre de 2017</v>
      </c>
      <c r="B4" s="976"/>
      <c r="C4" s="976"/>
      <c r="D4" s="976"/>
      <c r="E4" s="976"/>
      <c r="F4" s="976"/>
      <c r="G4" s="442"/>
    </row>
    <row r="5" spans="1:7" s="100" customFormat="1" ht="19.5" thickBot="1" x14ac:dyDescent="0.35">
      <c r="A5" s="969" t="s">
        <v>260</v>
      </c>
      <c r="B5" s="969"/>
      <c r="C5" s="969"/>
      <c r="D5" s="969"/>
      <c r="E5" s="42"/>
      <c r="F5" s="99"/>
      <c r="G5" s="442"/>
    </row>
    <row r="6" spans="1:7" s="114" customFormat="1" ht="64.5" thickBot="1" x14ac:dyDescent="0.3">
      <c r="A6" s="320" t="s">
        <v>261</v>
      </c>
      <c r="B6" s="167" t="s">
        <v>262</v>
      </c>
      <c r="C6" s="167" t="s">
        <v>263</v>
      </c>
      <c r="D6" s="167" t="s">
        <v>264</v>
      </c>
      <c r="E6" s="167" t="s">
        <v>265</v>
      </c>
      <c r="F6" s="321" t="s">
        <v>266</v>
      </c>
      <c r="G6" s="442"/>
    </row>
    <row r="7" spans="1:7" s="115" customFormat="1" ht="18" x14ac:dyDescent="0.25">
      <c r="A7" s="549"/>
      <c r="B7" s="550"/>
      <c r="C7" s="550"/>
      <c r="D7" s="550"/>
      <c r="E7" s="550"/>
      <c r="F7" s="551"/>
      <c r="G7" s="442"/>
    </row>
    <row r="8" spans="1:7" s="116" customFormat="1" ht="18" x14ac:dyDescent="0.25">
      <c r="A8" s="796" t="s">
        <v>80</v>
      </c>
      <c r="B8" s="797"/>
      <c r="C8" s="798">
        <v>-249880801.65000001</v>
      </c>
      <c r="D8" s="798">
        <v>0</v>
      </c>
      <c r="E8" s="797">
        <v>0</v>
      </c>
      <c r="F8" s="799">
        <f>SUM(B8:E8)</f>
        <v>-249880801.65000001</v>
      </c>
      <c r="G8" s="442"/>
    </row>
    <row r="9" spans="1:7" s="116" customFormat="1" ht="16.5" customHeight="1" x14ac:dyDescent="0.25">
      <c r="A9" s="552"/>
      <c r="B9" s="553"/>
      <c r="C9" s="553"/>
      <c r="D9" s="553"/>
      <c r="E9" s="553"/>
      <c r="F9" s="555"/>
      <c r="G9" s="442"/>
    </row>
    <row r="10" spans="1:7" s="116" customFormat="1" ht="16.5" customHeight="1" x14ac:dyDescent="0.25">
      <c r="A10" s="552" t="s">
        <v>267</v>
      </c>
      <c r="B10" s="556">
        <f>SUM(B11:B13)</f>
        <v>0</v>
      </c>
      <c r="C10" s="556"/>
      <c r="D10" s="556"/>
      <c r="E10" s="556">
        <f>SUM(E11:E13)</f>
        <v>0</v>
      </c>
      <c r="F10" s="617">
        <f>SUM(B10:E10)</f>
        <v>0</v>
      </c>
      <c r="G10" s="442"/>
    </row>
    <row r="11" spans="1:7" s="116" customFormat="1" ht="16.5" customHeight="1" x14ac:dyDescent="0.25">
      <c r="A11" s="557" t="s">
        <v>72</v>
      </c>
      <c r="B11" s="554">
        <v>0</v>
      </c>
      <c r="C11" s="554"/>
      <c r="D11" s="554"/>
      <c r="E11" s="554">
        <v>0</v>
      </c>
      <c r="F11" s="616">
        <f>SUM(B11:E11)</f>
        <v>0</v>
      </c>
      <c r="G11" s="442"/>
    </row>
    <row r="12" spans="1:7" s="116" customFormat="1" ht="16.5" customHeight="1" x14ac:dyDescent="0.25">
      <c r="A12" s="557" t="s">
        <v>73</v>
      </c>
      <c r="B12" s="554">
        <v>0</v>
      </c>
      <c r="C12" s="554"/>
      <c r="D12" s="554"/>
      <c r="E12" s="554">
        <v>0</v>
      </c>
      <c r="F12" s="616">
        <f>SUM(B12:E12)</f>
        <v>0</v>
      </c>
      <c r="G12" s="442"/>
    </row>
    <row r="13" spans="1:7" s="116" customFormat="1" ht="16.5" customHeight="1" x14ac:dyDescent="0.25">
      <c r="A13" s="557" t="s">
        <v>74</v>
      </c>
      <c r="B13" s="554">
        <v>0</v>
      </c>
      <c r="C13" s="554"/>
      <c r="D13" s="554"/>
      <c r="E13" s="554">
        <v>0</v>
      </c>
      <c r="F13" s="616">
        <f>SUM(B13:E13)</f>
        <v>0</v>
      </c>
      <c r="G13" s="442"/>
    </row>
    <row r="14" spans="1:7" s="116" customFormat="1" ht="16.5" customHeight="1" x14ac:dyDescent="0.25">
      <c r="A14" s="552"/>
      <c r="B14" s="554"/>
      <c r="C14" s="554"/>
      <c r="D14" s="554"/>
      <c r="E14" s="554"/>
      <c r="F14" s="558"/>
      <c r="G14" s="442"/>
    </row>
    <row r="15" spans="1:7" s="116" customFormat="1" ht="18" x14ac:dyDescent="0.25">
      <c r="A15" s="552" t="s">
        <v>268</v>
      </c>
      <c r="B15" s="556"/>
      <c r="C15" s="556">
        <f>SUM(C17:C19)</f>
        <v>247864527.86000001</v>
      </c>
      <c r="D15" s="556">
        <f>+D16</f>
        <v>373029203.76999998</v>
      </c>
      <c r="E15" s="556">
        <f>SUM(E16:E19)</f>
        <v>0</v>
      </c>
      <c r="F15" s="559">
        <f>SUM(B15:E15)</f>
        <v>620893731.63</v>
      </c>
      <c r="G15" s="442"/>
    </row>
    <row r="16" spans="1:7" s="116" customFormat="1" ht="16.5" customHeight="1" x14ac:dyDescent="0.25">
      <c r="A16" s="557" t="s">
        <v>256</v>
      </c>
      <c r="B16" s="554"/>
      <c r="C16" s="554"/>
      <c r="D16" s="554">
        <v>373029203.76999998</v>
      </c>
      <c r="E16" s="554">
        <v>0</v>
      </c>
      <c r="F16" s="560">
        <f>SUM(B16:E16)</f>
        <v>373029203.76999998</v>
      </c>
      <c r="G16" s="442"/>
    </row>
    <row r="17" spans="1:7" s="116" customFormat="1" ht="16.5" customHeight="1" x14ac:dyDescent="0.25">
      <c r="A17" s="557" t="s">
        <v>77</v>
      </c>
      <c r="B17" s="554"/>
      <c r="C17" s="554">
        <v>247864527.86000001</v>
      </c>
      <c r="D17" s="554" t="s">
        <v>258</v>
      </c>
      <c r="E17" s="554">
        <v>0</v>
      </c>
      <c r="F17" s="560">
        <f>SUM(B17:E17)</f>
        <v>247864527.86000001</v>
      </c>
      <c r="G17" s="442"/>
    </row>
    <row r="18" spans="1:7" s="116" customFormat="1" ht="16.5" customHeight="1" x14ac:dyDescent="0.25">
      <c r="A18" s="557" t="s">
        <v>78</v>
      </c>
      <c r="B18" s="554"/>
      <c r="C18" s="554">
        <v>0</v>
      </c>
      <c r="D18" s="554"/>
      <c r="E18" s="554">
        <v>0</v>
      </c>
      <c r="F18" s="560">
        <f>SUM(B18:E18)</f>
        <v>0</v>
      </c>
      <c r="G18" s="442"/>
    </row>
    <row r="19" spans="1:7" s="116" customFormat="1" ht="16.5" customHeight="1" x14ac:dyDescent="0.25">
      <c r="A19" s="557" t="s">
        <v>79</v>
      </c>
      <c r="B19" s="554" t="s">
        <v>258</v>
      </c>
      <c r="C19" s="554">
        <v>0</v>
      </c>
      <c r="D19" s="554"/>
      <c r="E19" s="554">
        <v>0</v>
      </c>
      <c r="F19" s="560">
        <f>SUM(B19:E19)</f>
        <v>0</v>
      </c>
      <c r="G19" s="442"/>
    </row>
    <row r="20" spans="1:7" s="116" customFormat="1" ht="16.5" customHeight="1" x14ac:dyDescent="0.25">
      <c r="A20" s="552"/>
      <c r="B20" s="554"/>
      <c r="C20" s="554"/>
      <c r="D20" s="554"/>
      <c r="E20" s="554" t="s">
        <v>258</v>
      </c>
      <c r="F20" s="558"/>
      <c r="G20" s="442"/>
    </row>
    <row r="21" spans="1:7" s="116" customFormat="1" ht="15.75" x14ac:dyDescent="0.25">
      <c r="A21" s="796" t="s">
        <v>1054</v>
      </c>
      <c r="B21" s="800">
        <f>+B10</f>
        <v>0</v>
      </c>
      <c r="C21" s="800">
        <f>+C8+C15</f>
        <v>-2016273.7899999917</v>
      </c>
      <c r="D21" s="800">
        <f>+D15</f>
        <v>373029203.76999998</v>
      </c>
      <c r="E21" s="800">
        <f>+E8+E10+E15</f>
        <v>0</v>
      </c>
      <c r="F21" s="873">
        <f>SUM(B21:E21)</f>
        <v>371012929.98000002</v>
      </c>
      <c r="G21" s="878" t="str">
        <f>IF((F21-'ETCA-I-01'!G50)&gt;0.99,"ERROR: DEBERÁ SER IGUAL QUE TOTAL HACIENDA PÚBLICA/PATRIMONIO DEL FORMATO ETCA-I-01","")</f>
        <v/>
      </c>
    </row>
    <row r="22" spans="1:7" s="116" customFormat="1" ht="16.5" customHeight="1" x14ac:dyDescent="0.25">
      <c r="A22" s="552"/>
      <c r="B22" s="554"/>
      <c r="C22" s="554"/>
      <c r="D22" s="554"/>
      <c r="E22" s="554"/>
      <c r="F22" s="558"/>
      <c r="G22" s="442"/>
    </row>
    <row r="23" spans="1:7" s="116" customFormat="1" ht="18" x14ac:dyDescent="0.25">
      <c r="A23" s="552" t="s">
        <v>1053</v>
      </c>
      <c r="B23" s="556">
        <f>SUM(B24:B26)</f>
        <v>0</v>
      </c>
      <c r="C23" s="556"/>
      <c r="D23" s="556"/>
      <c r="E23" s="556">
        <f>SUM(E24:E26)</f>
        <v>0</v>
      </c>
      <c r="F23" s="559">
        <f>SUM(B23:E23)</f>
        <v>0</v>
      </c>
      <c r="G23" s="442"/>
    </row>
    <row r="24" spans="1:7" s="116" customFormat="1" ht="16.5" customHeight="1" x14ac:dyDescent="0.25">
      <c r="A24" s="557" t="s">
        <v>72</v>
      </c>
      <c r="B24" s="554">
        <v>0</v>
      </c>
      <c r="C24" s="554"/>
      <c r="D24" s="554"/>
      <c r="E24" s="554">
        <v>0</v>
      </c>
      <c r="F24" s="560">
        <f>SUM(B24:E24)</f>
        <v>0</v>
      </c>
      <c r="G24" s="442"/>
    </row>
    <row r="25" spans="1:7" s="116" customFormat="1" ht="16.5" customHeight="1" x14ac:dyDescent="0.25">
      <c r="A25" s="557" t="s">
        <v>73</v>
      </c>
      <c r="B25" s="554">
        <v>0</v>
      </c>
      <c r="C25" s="554"/>
      <c r="D25" s="554"/>
      <c r="E25" s="554">
        <v>0</v>
      </c>
      <c r="F25" s="560">
        <f>SUM(B25:E25)</f>
        <v>0</v>
      </c>
      <c r="G25" s="442"/>
    </row>
    <row r="26" spans="1:7" s="116" customFormat="1" ht="16.5" customHeight="1" x14ac:dyDescent="0.25">
      <c r="A26" s="557" t="s">
        <v>74</v>
      </c>
      <c r="B26" s="554">
        <v>0</v>
      </c>
      <c r="C26" s="554"/>
      <c r="D26" s="554"/>
      <c r="E26" s="554">
        <v>0</v>
      </c>
      <c r="F26" s="560">
        <f>SUM(B26:E26)</f>
        <v>0</v>
      </c>
      <c r="G26" s="442"/>
    </row>
    <row r="27" spans="1:7" s="116" customFormat="1" ht="16.5" customHeight="1" x14ac:dyDescent="0.25">
      <c r="A27" s="552"/>
      <c r="B27" s="554"/>
      <c r="C27" s="554"/>
      <c r="D27" s="554"/>
      <c r="E27" s="554"/>
      <c r="F27" s="558"/>
      <c r="G27" s="442"/>
    </row>
    <row r="28" spans="1:7" s="116" customFormat="1" ht="18" x14ac:dyDescent="0.25">
      <c r="A28" s="552" t="s">
        <v>268</v>
      </c>
      <c r="B28" s="556"/>
      <c r="C28" s="556">
        <f>SUM(C30:C32)</f>
        <v>373029203.76999998</v>
      </c>
      <c r="D28" s="556">
        <f>+D29</f>
        <v>368004688.57999998</v>
      </c>
      <c r="E28" s="556">
        <f>SUM(E29:E32)</f>
        <v>0</v>
      </c>
      <c r="F28" s="559">
        <f>SUM(B28:E28)</f>
        <v>741033892.3499999</v>
      </c>
      <c r="G28" s="442"/>
    </row>
    <row r="29" spans="1:7" s="116" customFormat="1" ht="16.5" customHeight="1" x14ac:dyDescent="0.25">
      <c r="A29" s="557" t="s">
        <v>256</v>
      </c>
      <c r="B29" s="554"/>
      <c r="C29" s="286"/>
      <c r="D29" s="554">
        <v>368004688.57999998</v>
      </c>
      <c r="E29" s="554">
        <v>0</v>
      </c>
      <c r="F29" s="560">
        <f>SUM(B29:E29)</f>
        <v>368004688.57999998</v>
      </c>
      <c r="G29" s="442"/>
    </row>
    <row r="30" spans="1:7" s="116" customFormat="1" ht="16.5" customHeight="1" x14ac:dyDescent="0.25">
      <c r="A30" s="557" t="s">
        <v>77</v>
      </c>
      <c r="B30" s="554"/>
      <c r="C30" s="554">
        <v>373029203.76999998</v>
      </c>
      <c r="D30" s="554"/>
      <c r="E30" s="554">
        <v>0</v>
      </c>
      <c r="F30" s="560">
        <f>SUM(B30:E30)</f>
        <v>373029203.76999998</v>
      </c>
      <c r="G30" s="442"/>
    </row>
    <row r="31" spans="1:7" s="116" customFormat="1" ht="16.5" customHeight="1" x14ac:dyDescent="0.25">
      <c r="A31" s="557" t="s">
        <v>78</v>
      </c>
      <c r="B31" s="554"/>
      <c r="C31" s="554">
        <v>0</v>
      </c>
      <c r="D31" s="554"/>
      <c r="E31" s="554">
        <v>0</v>
      </c>
      <c r="F31" s="560">
        <f>SUM(B31:E31)</f>
        <v>0</v>
      </c>
      <c r="G31" s="442"/>
    </row>
    <row r="32" spans="1:7" s="116" customFormat="1" ht="16.5" customHeight="1" x14ac:dyDescent="0.25">
      <c r="A32" s="557" t="s">
        <v>79</v>
      </c>
      <c r="B32" s="554"/>
      <c r="C32" s="554">
        <v>0</v>
      </c>
      <c r="D32" s="554"/>
      <c r="E32" s="554">
        <v>0</v>
      </c>
      <c r="F32" s="560">
        <f>SUM(B32:E32)</f>
        <v>0</v>
      </c>
      <c r="G32" s="442"/>
    </row>
    <row r="33" spans="1:8" s="116" customFormat="1" ht="16.5" customHeight="1" x14ac:dyDescent="0.25">
      <c r="A33" s="552"/>
      <c r="B33" s="562"/>
      <c r="C33" s="562"/>
      <c r="D33" s="562"/>
      <c r="E33" s="562"/>
      <c r="F33" s="563"/>
      <c r="G33" s="442"/>
    </row>
    <row r="34" spans="1:8" s="116" customFormat="1" ht="16.5" customHeight="1" x14ac:dyDescent="0.25">
      <c r="A34" s="552" t="s">
        <v>1055</v>
      </c>
      <c r="B34" s="561">
        <f>+B21+B23</f>
        <v>0</v>
      </c>
      <c r="C34" s="561">
        <f>+C21+C28</f>
        <v>371012929.98000002</v>
      </c>
      <c r="D34" s="561">
        <f>+D8+D28</f>
        <v>368004688.57999998</v>
      </c>
      <c r="E34" s="561">
        <f>+E21+E23+E28</f>
        <v>0</v>
      </c>
      <c r="F34" s="559">
        <f>SUM(B34:E34)</f>
        <v>739017618.55999994</v>
      </c>
      <c r="G34" s="878" t="str">
        <f>IF((F34-'ETCA-I-01'!F50)&gt;0.9,"ERROR: DEBERÁ SER IGUAL QUE TOTAL HACIENDA PÚBLICA/PATRIMONIO DEL FORMATO ETCA-I-01","")</f>
        <v/>
      </c>
    </row>
    <row r="35" spans="1:8" s="115" customFormat="1" ht="16.5" customHeight="1" thickBot="1" x14ac:dyDescent="0.25">
      <c r="A35" s="564"/>
      <c r="B35" s="565"/>
      <c r="C35" s="948"/>
      <c r="D35" s="565"/>
      <c r="E35" s="565"/>
      <c r="F35" s="566"/>
      <c r="G35" s="423"/>
      <c r="H35" s="498"/>
    </row>
    <row r="36" spans="1:8" s="115" customFormat="1" ht="16.5" customHeight="1" x14ac:dyDescent="0.3">
      <c r="A36" s="445" t="s">
        <v>86</v>
      </c>
      <c r="B36" s="499"/>
      <c r="C36" s="499"/>
      <c r="D36" s="43"/>
      <c r="E36" s="501" t="s">
        <v>258</v>
      </c>
      <c r="F36" s="620"/>
      <c r="G36" s="423"/>
      <c r="H36" s="498"/>
    </row>
    <row r="37" spans="1:8" s="115" customFormat="1" ht="16.5" customHeight="1" x14ac:dyDescent="0.3">
      <c r="A37" s="445"/>
      <c r="B37" s="499"/>
      <c r="C37" s="499"/>
      <c r="D37" s="43"/>
      <c r="E37" s="501"/>
      <c r="F37" s="620"/>
      <c r="G37" s="423"/>
      <c r="H37" s="498"/>
    </row>
    <row r="38" spans="1:8" s="115" customFormat="1" ht="16.5" customHeight="1" x14ac:dyDescent="0.3">
      <c r="A38" s="445"/>
      <c r="B38" s="499"/>
      <c r="C38" s="499"/>
      <c r="D38" s="801"/>
      <c r="E38" s="501"/>
      <c r="F38" s="501"/>
      <c r="G38" s="423"/>
      <c r="H38" s="498"/>
    </row>
    <row r="39" spans="1:8" s="115" customFormat="1" ht="16.5" customHeight="1" x14ac:dyDescent="0.3">
      <c r="A39" s="445"/>
      <c r="B39" s="499"/>
      <c r="C39" s="499"/>
      <c r="D39" s="43"/>
      <c r="E39" s="501"/>
      <c r="F39" s="501"/>
      <c r="G39" s="423"/>
      <c r="H39" s="498"/>
    </row>
    <row r="40" spans="1:8" s="115" customFormat="1" ht="16.5" customHeight="1" x14ac:dyDescent="0.2">
      <c r="A40" s="501" t="s">
        <v>258</v>
      </c>
      <c r="B40" s="110" t="s">
        <v>258</v>
      </c>
      <c r="C40" s="502"/>
      <c r="D40" s="501" t="s">
        <v>258</v>
      </c>
      <c r="E40" s="501" t="s">
        <v>258</v>
      </c>
      <c r="F40" s="501" t="s">
        <v>258</v>
      </c>
      <c r="G40" s="423"/>
      <c r="H40" s="498"/>
    </row>
    <row r="41" spans="1:8" s="115" customFormat="1" ht="16.5" customHeight="1" x14ac:dyDescent="0.3">
      <c r="A41" s="501" t="s">
        <v>258</v>
      </c>
      <c r="B41" s="41" t="s">
        <v>258</v>
      </c>
      <c r="C41" s="41" t="s">
        <v>258</v>
      </c>
      <c r="D41" s="41" t="s">
        <v>258</v>
      </c>
      <c r="E41" s="41"/>
      <c r="F41" s="41"/>
      <c r="G41" s="423"/>
      <c r="H41" s="498"/>
    </row>
    <row r="42" spans="1:8" s="115" customFormat="1" ht="16.5" customHeight="1" x14ac:dyDescent="0.3">
      <c r="A42" s="501"/>
      <c r="B42" s="41" t="s">
        <v>258</v>
      </c>
      <c r="C42" s="41" t="s">
        <v>258</v>
      </c>
      <c r="D42" s="41" t="s">
        <v>258</v>
      </c>
      <c r="E42" s="41"/>
      <c r="F42" s="41"/>
      <c r="G42" s="435"/>
      <c r="H42" s="498"/>
    </row>
    <row r="43" spans="1:8" s="115" customFormat="1" ht="16.5" customHeight="1" x14ac:dyDescent="0.3">
      <c r="A43" s="501"/>
      <c r="B43" s="41" t="s">
        <v>258</v>
      </c>
      <c r="C43" s="41" t="s">
        <v>258</v>
      </c>
      <c r="D43" s="41" t="s">
        <v>258</v>
      </c>
      <c r="E43" s="41"/>
      <c r="F43" s="41"/>
      <c r="G43" s="498"/>
      <c r="H43" s="498"/>
    </row>
    <row r="44" spans="1:8" ht="19.5" customHeight="1" x14ac:dyDescent="0.3">
      <c r="A44" s="41"/>
      <c r="B44" s="435" t="s">
        <v>258</v>
      </c>
      <c r="D44" s="435"/>
      <c r="E44" s="435"/>
      <c r="F44" s="435"/>
      <c r="G44" s="140" t="s">
        <v>258</v>
      </c>
      <c r="H44" s="435"/>
    </row>
    <row r="45" spans="1:8" ht="17.25" customHeight="1" x14ac:dyDescent="0.3">
      <c r="A45" s="446"/>
    </row>
    <row r="46" spans="1:8" ht="17.25" customHeight="1" x14ac:dyDescent="0.3">
      <c r="A46" s="446"/>
    </row>
    <row r="47" spans="1:8" ht="17.25" customHeight="1" x14ac:dyDescent="0.3">
      <c r="A47" s="446"/>
    </row>
    <row r="48" spans="1:8" ht="17.25" customHeight="1" x14ac:dyDescent="0.3">
      <c r="A48" s="446"/>
    </row>
    <row r="49" spans="1:1" ht="17.25" customHeight="1" x14ac:dyDescent="0.3">
      <c r="A49" s="446"/>
    </row>
    <row r="50" spans="1:1" ht="17.25" customHeight="1" x14ac:dyDescent="0.3"/>
    <row r="51" spans="1:1" ht="17.25" customHeight="1" x14ac:dyDescent="0.3"/>
    <row r="52" spans="1:1" ht="17.25" customHeight="1" x14ac:dyDescent="0.3"/>
  </sheetData>
  <sheetProtection password="C115" sheet="1" scenarios="1" formatColumns="0" formatRows="0" insertHyperlinks="0"/>
  <protectedRanges>
    <protectedRange algorithmName="SHA-512" hashValue="DnxZCsiWzkVfajEoNeh3bWR/KSkaQlGg69WdGxxA6j9+CqYObjdoi330+Pa3qIXionKkr1yfl1vUWI4ywnjIJA==" saltValue="PnCamTnDeR83jrwH4hVKjg==" spinCount="100000" sqref="B44:F44" name="Rango1"/>
  </protectedRanges>
  <mergeCells count="5">
    <mergeCell ref="A4:F4"/>
    <mergeCell ref="A2:F2"/>
    <mergeCell ref="A3:F3"/>
    <mergeCell ref="A1:F1"/>
    <mergeCell ref="A5:D5"/>
  </mergeCells>
  <printOptions horizontalCentered="1"/>
  <pageMargins left="0.39370078740157483" right="0.39370078740157483" top="0.74803149606299213" bottom="0.74803149606299213" header="0.31496062992125984" footer="0.31496062992125984"/>
  <pageSetup scale="8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69"/>
  <sheetViews>
    <sheetView view="pageBreakPreview" zoomScale="60" zoomScaleNormal="100" workbookViewId="0">
      <selection activeCell="B28" sqref="B28"/>
    </sheetView>
  </sheetViews>
  <sheetFormatPr baseColWidth="10" defaultColWidth="11.28515625" defaultRowHeight="16.5" x14ac:dyDescent="0.3"/>
  <cols>
    <col min="1" max="1" width="122.28515625" style="117" customWidth="1"/>
    <col min="2" max="2" width="20.28515625" style="117" customWidth="1"/>
    <col min="3" max="3" width="21.28515625" style="117" customWidth="1"/>
    <col min="4" max="16384" width="11.28515625" style="117"/>
  </cols>
  <sheetData>
    <row r="1" spans="1:4" x14ac:dyDescent="0.3">
      <c r="A1" s="965" t="s">
        <v>25</v>
      </c>
      <c r="B1" s="965"/>
      <c r="C1" s="965"/>
    </row>
    <row r="2" spans="1:4" s="98" customFormat="1" ht="15.75" x14ac:dyDescent="0.25">
      <c r="A2" s="966" t="s">
        <v>3</v>
      </c>
      <c r="B2" s="966"/>
      <c r="C2" s="966"/>
    </row>
    <row r="3" spans="1:4" s="98" customFormat="1" ht="15.75" x14ac:dyDescent="0.25">
      <c r="A3" s="974" t="str">
        <f>'ETCA-I-01'!A3:G3</f>
        <v>Consejo Estatal de Concertacion para la Obra Publica</v>
      </c>
      <c r="B3" s="974"/>
      <c r="C3" s="974"/>
    </row>
    <row r="4" spans="1:4" s="98" customFormat="1" x14ac:dyDescent="0.25">
      <c r="A4" s="976" t="str">
        <f>'ETCA-I-03'!A4:D4</f>
        <v>Del 01 de Enero  al 30 de Septiembre de 2017</v>
      </c>
      <c r="B4" s="976"/>
      <c r="C4" s="976"/>
    </row>
    <row r="5" spans="1:4" s="100" customFormat="1" ht="17.25" thickBot="1" x14ac:dyDescent="0.35">
      <c r="A5" s="44" t="s">
        <v>1060</v>
      </c>
      <c r="B5" s="42"/>
      <c r="C5" s="45"/>
    </row>
    <row r="6" spans="1:4" ht="30" customHeight="1" thickBot="1" x14ac:dyDescent="0.35">
      <c r="A6" s="119"/>
      <c r="B6" s="120" t="s">
        <v>269</v>
      </c>
      <c r="C6" s="121" t="s">
        <v>270</v>
      </c>
    </row>
    <row r="7" spans="1:4" ht="17.25" thickTop="1" x14ac:dyDescent="0.3">
      <c r="A7" s="567" t="s">
        <v>271</v>
      </c>
      <c r="B7" s="568">
        <f>B8+B17</f>
        <v>16224626.780000001</v>
      </c>
      <c r="C7" s="569">
        <f>C8+C17</f>
        <v>73922337.780000001</v>
      </c>
    </row>
    <row r="8" spans="1:4" x14ac:dyDescent="0.3">
      <c r="A8" s="570" t="s">
        <v>30</v>
      </c>
      <c r="B8" s="571">
        <f>SUM(B9:B15)</f>
        <v>22963.01</v>
      </c>
      <c r="C8" s="572">
        <f>SUM(C9:C15)</f>
        <v>71893080.329999998</v>
      </c>
    </row>
    <row r="9" spans="1:4" s="118" customFormat="1" ht="13.5" x14ac:dyDescent="0.25">
      <c r="A9" s="573" t="s">
        <v>32</v>
      </c>
      <c r="B9" s="574"/>
      <c r="C9" s="575">
        <v>59171362.350000001</v>
      </c>
      <c r="D9" s="447"/>
    </row>
    <row r="10" spans="1:4" s="118" customFormat="1" ht="13.5" x14ac:dyDescent="0.25">
      <c r="A10" s="573" t="s">
        <v>34</v>
      </c>
      <c r="B10" s="574">
        <v>22963.01</v>
      </c>
      <c r="C10" s="575"/>
    </row>
    <row r="11" spans="1:4" s="118" customFormat="1" ht="13.5" x14ac:dyDescent="0.25">
      <c r="A11" s="573" t="s">
        <v>36</v>
      </c>
      <c r="B11" s="574"/>
      <c r="C11" s="575">
        <v>12721717.98</v>
      </c>
    </row>
    <row r="12" spans="1:4" s="118" customFormat="1" ht="13.5" x14ac:dyDescent="0.25">
      <c r="A12" s="573" t="s">
        <v>272</v>
      </c>
      <c r="B12" s="574"/>
      <c r="C12" s="575"/>
    </row>
    <row r="13" spans="1:4" s="118" customFormat="1" ht="13.5" x14ac:dyDescent="0.25">
      <c r="A13" s="573" t="s">
        <v>40</v>
      </c>
      <c r="B13" s="574"/>
      <c r="C13" s="575"/>
    </row>
    <row r="14" spans="1:4" s="118" customFormat="1" ht="13.5" x14ac:dyDescent="0.25">
      <c r="A14" s="573" t="s">
        <v>42</v>
      </c>
      <c r="B14" s="574"/>
      <c r="C14" s="575"/>
    </row>
    <row r="15" spans="1:4" s="118" customFormat="1" ht="13.5" x14ac:dyDescent="0.25">
      <c r="A15" s="573" t="s">
        <v>44</v>
      </c>
      <c r="B15" s="574"/>
      <c r="C15" s="575"/>
    </row>
    <row r="16" spans="1:4" ht="5.25" customHeight="1" x14ac:dyDescent="0.3">
      <c r="A16" s="567"/>
      <c r="B16" s="576"/>
      <c r="C16" s="577"/>
    </row>
    <row r="17" spans="1:3" x14ac:dyDescent="0.3">
      <c r="A17" s="570" t="s">
        <v>49</v>
      </c>
      <c r="B17" s="571">
        <f>SUM(B18:B26)</f>
        <v>16201663.770000001</v>
      </c>
      <c r="C17" s="572">
        <f>SUM(C18:C26)</f>
        <v>2029257.45</v>
      </c>
    </row>
    <row r="18" spans="1:3" s="118" customFormat="1" ht="13.5" x14ac:dyDescent="0.25">
      <c r="A18" s="573" t="s">
        <v>51</v>
      </c>
      <c r="B18" s="574"/>
      <c r="C18" s="575"/>
    </row>
    <row r="19" spans="1:3" s="118" customFormat="1" ht="13.5" x14ac:dyDescent="0.25">
      <c r="A19" s="573" t="s">
        <v>53</v>
      </c>
      <c r="B19" s="574"/>
      <c r="C19" s="575"/>
    </row>
    <row r="20" spans="1:3" s="118" customFormat="1" ht="13.5" x14ac:dyDescent="0.25">
      <c r="A20" s="573" t="s">
        <v>55</v>
      </c>
      <c r="B20" s="574">
        <v>15664091.050000001</v>
      </c>
      <c r="C20" s="575"/>
    </row>
    <row r="21" spans="1:3" s="118" customFormat="1" ht="13.5" x14ac:dyDescent="0.25">
      <c r="A21" s="573" t="s">
        <v>57</v>
      </c>
      <c r="B21" s="574"/>
      <c r="C21" s="575">
        <v>2029257.45</v>
      </c>
    </row>
    <row r="22" spans="1:3" s="118" customFormat="1" ht="13.5" x14ac:dyDescent="0.25">
      <c r="A22" s="573" t="s">
        <v>59</v>
      </c>
      <c r="B22" s="574"/>
      <c r="C22" s="575"/>
    </row>
    <row r="23" spans="1:3" s="118" customFormat="1" ht="13.5" x14ac:dyDescent="0.25">
      <c r="A23" s="573" t="s">
        <v>61</v>
      </c>
      <c r="B23" s="574">
        <v>537572.72</v>
      </c>
      <c r="C23" s="575"/>
    </row>
    <row r="24" spans="1:3" s="118" customFormat="1" ht="13.5" x14ac:dyDescent="0.25">
      <c r="A24" s="573" t="s">
        <v>63</v>
      </c>
      <c r="B24" s="574"/>
      <c r="C24" s="575"/>
    </row>
    <row r="25" spans="1:3" s="118" customFormat="1" ht="13.5" x14ac:dyDescent="0.25">
      <c r="A25" s="573" t="s">
        <v>64</v>
      </c>
      <c r="B25" s="574"/>
      <c r="C25" s="575"/>
    </row>
    <row r="26" spans="1:3" s="118" customFormat="1" ht="13.5" x14ac:dyDescent="0.25">
      <c r="A26" s="573" t="s">
        <v>65</v>
      </c>
      <c r="B26" s="574"/>
      <c r="C26" s="575"/>
    </row>
    <row r="27" spans="1:3" ht="6.75" customHeight="1" x14ac:dyDescent="0.3">
      <c r="A27" s="578"/>
      <c r="B27" s="576"/>
      <c r="C27" s="577"/>
    </row>
    <row r="28" spans="1:3" x14ac:dyDescent="0.3">
      <c r="A28" s="567" t="s">
        <v>273</v>
      </c>
      <c r="B28" s="568">
        <f>B29+B39</f>
        <v>804810.91</v>
      </c>
      <c r="C28" s="569">
        <f>C29+C39</f>
        <v>61230986.840000004</v>
      </c>
    </row>
    <row r="29" spans="1:3" x14ac:dyDescent="0.3">
      <c r="A29" s="570" t="s">
        <v>31</v>
      </c>
      <c r="B29" s="571">
        <f>SUM(B30:B37)</f>
        <v>804810.91</v>
      </c>
      <c r="C29" s="572">
        <f>SUM(C30:C37)</f>
        <v>61230986.840000004</v>
      </c>
    </row>
    <row r="30" spans="1:3" s="118" customFormat="1" ht="13.5" x14ac:dyDescent="0.25">
      <c r="A30" s="573" t="s">
        <v>33</v>
      </c>
      <c r="B30" s="574"/>
      <c r="C30" s="575">
        <v>61230986.840000004</v>
      </c>
    </row>
    <row r="31" spans="1:3" s="118" customFormat="1" ht="13.5" x14ac:dyDescent="0.25">
      <c r="A31" s="573" t="s">
        <v>35</v>
      </c>
      <c r="B31" s="574"/>
      <c r="C31" s="575"/>
    </row>
    <row r="32" spans="1:3" s="118" customFormat="1" ht="13.5" x14ac:dyDescent="0.25">
      <c r="A32" s="573" t="s">
        <v>37</v>
      </c>
      <c r="B32" s="574"/>
      <c r="C32" s="575"/>
    </row>
    <row r="33" spans="1:3" s="118" customFormat="1" ht="13.5" x14ac:dyDescent="0.25">
      <c r="A33" s="573" t="s">
        <v>39</v>
      </c>
      <c r="B33" s="574"/>
      <c r="C33" s="575"/>
    </row>
    <row r="34" spans="1:3" s="118" customFormat="1" ht="13.5" x14ac:dyDescent="0.25">
      <c r="A34" s="573" t="s">
        <v>41</v>
      </c>
      <c r="B34" s="574"/>
      <c r="C34" s="575"/>
    </row>
    <row r="35" spans="1:3" s="118" customFormat="1" ht="13.5" x14ac:dyDescent="0.25">
      <c r="A35" s="573" t="s">
        <v>43</v>
      </c>
      <c r="B35" s="574"/>
      <c r="C35" s="575"/>
    </row>
    <row r="36" spans="1:3" s="118" customFormat="1" ht="13.5" x14ac:dyDescent="0.25">
      <c r="A36" s="573" t="s">
        <v>45</v>
      </c>
      <c r="B36" s="574"/>
      <c r="C36" s="575"/>
    </row>
    <row r="37" spans="1:3" s="118" customFormat="1" ht="13.5" x14ac:dyDescent="0.25">
      <c r="A37" s="573" t="s">
        <v>46</v>
      </c>
      <c r="B37" s="574">
        <v>804810.91</v>
      </c>
      <c r="C37" s="575"/>
    </row>
    <row r="38" spans="1:3" ht="6" customHeight="1" x14ac:dyDescent="0.3">
      <c r="A38" s="567"/>
      <c r="B38" s="579"/>
      <c r="C38" s="580"/>
    </row>
    <row r="39" spans="1:3" x14ac:dyDescent="0.3">
      <c r="A39" s="570" t="s">
        <v>50</v>
      </c>
      <c r="B39" s="571">
        <f>SUM(B40:B45)</f>
        <v>0</v>
      </c>
      <c r="C39" s="572">
        <f>SUM(C40:C45)</f>
        <v>0</v>
      </c>
    </row>
    <row r="40" spans="1:3" s="118" customFormat="1" ht="13.5" x14ac:dyDescent="0.25">
      <c r="A40" s="573" t="s">
        <v>52</v>
      </c>
      <c r="B40" s="574"/>
      <c r="C40" s="575"/>
    </row>
    <row r="41" spans="1:3" s="118" customFormat="1" ht="13.5" x14ac:dyDescent="0.25">
      <c r="A41" s="573" t="s">
        <v>54</v>
      </c>
      <c r="B41" s="574"/>
      <c r="C41" s="575"/>
    </row>
    <row r="42" spans="1:3" s="118" customFormat="1" ht="13.5" x14ac:dyDescent="0.25">
      <c r="A42" s="573" t="s">
        <v>56</v>
      </c>
      <c r="B42" s="574"/>
      <c r="C42" s="575"/>
    </row>
    <row r="43" spans="1:3" s="118" customFormat="1" ht="13.5" x14ac:dyDescent="0.25">
      <c r="A43" s="573" t="s">
        <v>58</v>
      </c>
      <c r="B43" s="574"/>
      <c r="C43" s="575"/>
    </row>
    <row r="44" spans="1:3" s="118" customFormat="1" ht="13.5" x14ac:dyDescent="0.25">
      <c r="A44" s="573" t="s">
        <v>60</v>
      </c>
      <c r="B44" s="574"/>
      <c r="C44" s="575"/>
    </row>
    <row r="45" spans="1:3" s="118" customFormat="1" ht="13.5" x14ac:dyDescent="0.25">
      <c r="A45" s="573" t="s">
        <v>62</v>
      </c>
      <c r="B45" s="574"/>
      <c r="C45" s="575"/>
    </row>
    <row r="46" spans="1:3" x14ac:dyDescent="0.3">
      <c r="A46" s="581"/>
      <c r="B46" s="576"/>
      <c r="C46" s="577"/>
    </row>
    <row r="47" spans="1:3" x14ac:dyDescent="0.3">
      <c r="A47" s="567" t="s">
        <v>274</v>
      </c>
      <c r="B47" s="568">
        <f>B48+B53</f>
        <v>123148402.12</v>
      </c>
      <c r="C47" s="569">
        <f>C48+C53</f>
        <v>5024515.1900000004</v>
      </c>
    </row>
    <row r="48" spans="1:3" x14ac:dyDescent="0.3">
      <c r="A48" s="570" t="s">
        <v>71</v>
      </c>
      <c r="B48" s="571">
        <f>SUM(B49:B51)</f>
        <v>0</v>
      </c>
      <c r="C48" s="572">
        <f>SUM(C49:C51)</f>
        <v>0</v>
      </c>
    </row>
    <row r="49" spans="1:3" s="118" customFormat="1" ht="13.5" x14ac:dyDescent="0.25">
      <c r="A49" s="573" t="s">
        <v>72</v>
      </c>
      <c r="B49" s="574"/>
      <c r="C49" s="575"/>
    </row>
    <row r="50" spans="1:3" s="118" customFormat="1" ht="13.5" x14ac:dyDescent="0.25">
      <c r="A50" s="573" t="s">
        <v>73</v>
      </c>
      <c r="B50" s="574"/>
      <c r="C50" s="575"/>
    </row>
    <row r="51" spans="1:3" s="118" customFormat="1" ht="13.5" x14ac:dyDescent="0.25">
      <c r="A51" s="573" t="s">
        <v>74</v>
      </c>
      <c r="B51" s="574"/>
      <c r="C51" s="575"/>
    </row>
    <row r="52" spans="1:3" ht="6" customHeight="1" x14ac:dyDescent="0.3">
      <c r="A52" s="570"/>
      <c r="B52" s="579"/>
      <c r="C52" s="580"/>
    </row>
    <row r="53" spans="1:3" ht="15.75" customHeight="1" x14ac:dyDescent="0.3">
      <c r="A53" s="570" t="s">
        <v>75</v>
      </c>
      <c r="B53" s="571">
        <f>SUM(B54:B58)</f>
        <v>123148402.12</v>
      </c>
      <c r="C53" s="572">
        <f>SUM(C54:C58)</f>
        <v>5024515.1900000004</v>
      </c>
    </row>
    <row r="54" spans="1:3" s="118" customFormat="1" ht="13.5" x14ac:dyDescent="0.25">
      <c r="A54" s="573" t="s">
        <v>76</v>
      </c>
      <c r="B54" s="574"/>
      <c r="C54" s="575">
        <v>5024515.1900000004</v>
      </c>
    </row>
    <row r="55" spans="1:3" s="118" customFormat="1" ht="13.5" x14ac:dyDescent="0.25">
      <c r="A55" s="573" t="s">
        <v>77</v>
      </c>
      <c r="B55" s="574">
        <v>123148402.12</v>
      </c>
      <c r="C55" s="575"/>
    </row>
    <row r="56" spans="1:3" s="118" customFormat="1" ht="13.5" x14ac:dyDescent="0.25">
      <c r="A56" s="573" t="s">
        <v>78</v>
      </c>
      <c r="B56" s="574"/>
      <c r="C56" s="575"/>
    </row>
    <row r="57" spans="1:3" s="118" customFormat="1" ht="13.5" x14ac:dyDescent="0.25">
      <c r="A57" s="573" t="s">
        <v>79</v>
      </c>
      <c r="B57" s="574"/>
      <c r="C57" s="575"/>
    </row>
    <row r="58" spans="1:3" s="118" customFormat="1" ht="13.5" x14ac:dyDescent="0.25">
      <c r="A58" s="573" t="s">
        <v>80</v>
      </c>
      <c r="B58" s="574"/>
      <c r="C58" s="575"/>
    </row>
    <row r="59" spans="1:3" ht="7.5" customHeight="1" x14ac:dyDescent="0.3">
      <c r="A59" s="570"/>
      <c r="B59" s="576"/>
      <c r="C59" s="577"/>
    </row>
    <row r="60" spans="1:3" x14ac:dyDescent="0.3">
      <c r="A60" s="570" t="s">
        <v>275</v>
      </c>
      <c r="B60" s="571">
        <f>SUM(B61:B62)</f>
        <v>0</v>
      </c>
      <c r="C60" s="572">
        <f>SUM(C61:C62)</f>
        <v>0</v>
      </c>
    </row>
    <row r="61" spans="1:3" s="118" customFormat="1" ht="13.5" x14ac:dyDescent="0.25">
      <c r="A61" s="573" t="s">
        <v>82</v>
      </c>
      <c r="B61" s="574"/>
      <c r="C61" s="575"/>
    </row>
    <row r="62" spans="1:3" s="118" customFormat="1" ht="14.25" thickBot="1" x14ac:dyDescent="0.3">
      <c r="A62" s="582" t="s">
        <v>83</v>
      </c>
      <c r="B62" s="583"/>
      <c r="C62" s="584"/>
    </row>
    <row r="63" spans="1:3" s="118" customFormat="1" ht="13.5" x14ac:dyDescent="0.25">
      <c r="A63" s="445" t="s">
        <v>257</v>
      </c>
      <c r="B63" s="574"/>
      <c r="C63" s="574"/>
    </row>
    <row r="64" spans="1:3" s="118" customFormat="1" ht="13.5" x14ac:dyDescent="0.25">
      <c r="A64" s="445"/>
      <c r="B64" s="574"/>
      <c r="C64" s="574"/>
    </row>
    <row r="65" spans="1:3" s="118" customFormat="1" ht="13.5" x14ac:dyDescent="0.25">
      <c r="A65" s="445"/>
      <c r="B65" s="574"/>
      <c r="C65" s="574"/>
    </row>
    <row r="66" spans="1:3" s="118" customFormat="1" ht="13.5" x14ac:dyDescent="0.25">
      <c r="A66" s="585"/>
      <c r="B66" s="574"/>
      <c r="C66" s="574"/>
    </row>
    <row r="67" spans="1:3" s="118" customFormat="1" ht="13.5" x14ac:dyDescent="0.25">
      <c r="A67" s="585" t="s">
        <v>258</v>
      </c>
      <c r="B67" s="574"/>
      <c r="C67" s="574"/>
    </row>
    <row r="68" spans="1:3" s="118" customFormat="1" ht="13.5" x14ac:dyDescent="0.25">
      <c r="A68" s="585" t="s">
        <v>258</v>
      </c>
      <c r="B68" s="574"/>
      <c r="C68" s="574"/>
    </row>
    <row r="69" spans="1:3" x14ac:dyDescent="0.3">
      <c r="A69" s="445" t="s">
        <v>258</v>
      </c>
      <c r="B69" s="586"/>
      <c r="C69" s="586"/>
    </row>
  </sheetData>
  <sheetProtection password="C115" sheet="1" scenarios="1" formatColumns="0" formatRows="0"/>
  <mergeCells count="4">
    <mergeCell ref="A1:C1"/>
    <mergeCell ref="A2:C2"/>
    <mergeCell ref="A3:C3"/>
    <mergeCell ref="A4:C4"/>
  </mergeCells>
  <pageMargins left="0.7" right="0.7" top="0.75" bottom="0.75" header="0.3" footer="0.3"/>
  <pageSetup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pageSetUpPr fitToPage="1"/>
  </sheetPr>
  <dimension ref="A1:E72"/>
  <sheetViews>
    <sheetView view="pageBreakPreview" topLeftCell="A4" zoomScale="130" zoomScaleNormal="100" zoomScaleSheetLayoutView="130" workbookViewId="0">
      <selection activeCell="C18" sqref="C18"/>
    </sheetView>
  </sheetViews>
  <sheetFormatPr baseColWidth="10" defaultColWidth="11.28515625" defaultRowHeight="16.5" x14ac:dyDescent="0.3"/>
  <cols>
    <col min="1" max="1" width="2.85546875" style="41" customWidth="1"/>
    <col min="2" max="2" width="63.85546875" style="41" customWidth="1"/>
    <col min="3" max="4" width="12.7109375" style="41" customWidth="1"/>
    <col min="5" max="16384" width="11.28515625" style="41"/>
  </cols>
  <sheetData>
    <row r="1" spans="1:4" x14ac:dyDescent="0.3">
      <c r="A1" s="965" t="s">
        <v>25</v>
      </c>
      <c r="B1" s="965"/>
      <c r="C1" s="965"/>
      <c r="D1" s="965"/>
    </row>
    <row r="2" spans="1:4" x14ac:dyDescent="0.3">
      <c r="A2" s="966" t="s">
        <v>4</v>
      </c>
      <c r="B2" s="966"/>
      <c r="C2" s="966"/>
      <c r="D2" s="966"/>
    </row>
    <row r="3" spans="1:4" x14ac:dyDescent="0.3">
      <c r="A3" s="974" t="str">
        <f>'ETCA-I-01'!A3</f>
        <v>Consejo Estatal de Concertacion para la Obra Publica</v>
      </c>
      <c r="B3" s="974"/>
      <c r="C3" s="974"/>
      <c r="D3" s="974"/>
    </row>
    <row r="4" spans="1:4" x14ac:dyDescent="0.3">
      <c r="A4" s="976" t="str">
        <f>'ETCA-I-01'!A4:G4</f>
        <v>Al 30 de Septiembre de 2017</v>
      </c>
      <c r="B4" s="976"/>
      <c r="C4" s="976"/>
      <c r="D4" s="976"/>
    </row>
    <row r="5" spans="1:4" ht="17.25" thickBot="1" x14ac:dyDescent="0.35">
      <c r="A5" s="964" t="s">
        <v>276</v>
      </c>
      <c r="B5" s="964"/>
      <c r="C5" s="42"/>
      <c r="D5" s="40"/>
    </row>
    <row r="6" spans="1:4" ht="23.25" customHeight="1" thickBot="1" x14ac:dyDescent="0.35">
      <c r="A6" s="979" t="s">
        <v>261</v>
      </c>
      <c r="B6" s="980"/>
      <c r="C6" s="157">
        <v>2017</v>
      </c>
      <c r="D6" s="158">
        <v>2016</v>
      </c>
    </row>
    <row r="7" spans="1:4" s="123" customFormat="1" ht="12" customHeight="1" thickTop="1" x14ac:dyDescent="0.25">
      <c r="A7" s="977" t="s">
        <v>277</v>
      </c>
      <c r="B7" s="978"/>
      <c r="C7" s="978"/>
      <c r="D7" s="122"/>
    </row>
    <row r="8" spans="1:4" s="123" customFormat="1" ht="12.75" customHeight="1" x14ac:dyDescent="0.25">
      <c r="A8" s="124"/>
      <c r="B8" s="125" t="s">
        <v>269</v>
      </c>
      <c r="C8" s="141">
        <f>SUM(C9:C19)</f>
        <v>448373608.29999995</v>
      </c>
      <c r="D8" s="142">
        <f>SUM(D9:D19)</f>
        <v>232253640.22999999</v>
      </c>
    </row>
    <row r="9" spans="1:4" s="127" customFormat="1" ht="11.1" customHeight="1" x14ac:dyDescent="0.25">
      <c r="A9" s="126"/>
      <c r="B9" s="138" t="s">
        <v>205</v>
      </c>
      <c r="C9" s="143"/>
      <c r="D9" s="144"/>
    </row>
    <row r="10" spans="1:4" s="127" customFormat="1" ht="11.1" customHeight="1" x14ac:dyDescent="0.25">
      <c r="A10" s="126"/>
      <c r="B10" s="138" t="s">
        <v>206</v>
      </c>
      <c r="C10" s="143"/>
      <c r="D10" s="144"/>
    </row>
    <row r="11" spans="1:4" s="127" customFormat="1" ht="11.1" customHeight="1" x14ac:dyDescent="0.25">
      <c r="A11" s="126"/>
      <c r="B11" s="138" t="s">
        <v>278</v>
      </c>
      <c r="C11" s="143"/>
      <c r="D11" s="144"/>
    </row>
    <row r="12" spans="1:4" s="127" customFormat="1" ht="11.1" customHeight="1" x14ac:dyDescent="0.25">
      <c r="A12" s="126"/>
      <c r="B12" s="138" t="s">
        <v>208</v>
      </c>
      <c r="C12" s="143"/>
      <c r="D12" s="144"/>
    </row>
    <row r="13" spans="1:4" s="127" customFormat="1" ht="11.1" customHeight="1" x14ac:dyDescent="0.25">
      <c r="A13" s="126"/>
      <c r="B13" s="138" t="s">
        <v>279</v>
      </c>
      <c r="C13" s="143"/>
      <c r="D13" s="144"/>
    </row>
    <row r="14" spans="1:4" s="127" customFormat="1" ht="11.1" customHeight="1" x14ac:dyDescent="0.25">
      <c r="A14" s="126"/>
      <c r="B14" s="138" t="s">
        <v>210</v>
      </c>
      <c r="C14" s="143"/>
      <c r="D14" s="144"/>
    </row>
    <row r="15" spans="1:4" s="127" customFormat="1" ht="11.1" customHeight="1" x14ac:dyDescent="0.25">
      <c r="A15" s="126"/>
      <c r="B15" s="138" t="s">
        <v>211</v>
      </c>
      <c r="C15" s="143"/>
      <c r="D15" s="144"/>
    </row>
    <row r="16" spans="1:4" s="127" customFormat="1" ht="22.5" customHeight="1" x14ac:dyDescent="0.25">
      <c r="A16" s="126"/>
      <c r="B16" s="138" t="s">
        <v>212</v>
      </c>
      <c r="C16" s="143"/>
      <c r="D16" s="144"/>
    </row>
    <row r="17" spans="1:4" s="127" customFormat="1" ht="12" customHeight="1" x14ac:dyDescent="0.25">
      <c r="A17" s="126"/>
      <c r="B17" s="138" t="s">
        <v>214</v>
      </c>
      <c r="C17" s="143">
        <v>39503957.710000001</v>
      </c>
      <c r="D17" s="144">
        <v>29670000</v>
      </c>
    </row>
    <row r="18" spans="1:4" s="127" customFormat="1" ht="12" customHeight="1" x14ac:dyDescent="0.25">
      <c r="A18" s="126"/>
      <c r="B18" s="138" t="s">
        <v>280</v>
      </c>
      <c r="C18" s="143">
        <v>408869650.58999997</v>
      </c>
      <c r="D18" s="144">
        <v>202583640.22999999</v>
      </c>
    </row>
    <row r="19" spans="1:4" s="127" customFormat="1" ht="12" customHeight="1" x14ac:dyDescent="0.25">
      <c r="A19" s="126"/>
      <c r="B19" s="138" t="s">
        <v>281</v>
      </c>
      <c r="C19" s="143"/>
      <c r="D19" s="144"/>
    </row>
    <row r="20" spans="1:4" s="123" customFormat="1" ht="13.5" customHeight="1" x14ac:dyDescent="0.25">
      <c r="A20" s="124"/>
      <c r="B20" s="125" t="s">
        <v>270</v>
      </c>
      <c r="C20" s="141">
        <f>SUM(C21:C36)</f>
        <v>186673064.37</v>
      </c>
      <c r="D20" s="142">
        <f>SUM(D21:D36)</f>
        <v>174464846.45000002</v>
      </c>
    </row>
    <row r="21" spans="1:4" s="123" customFormat="1" ht="11.1" customHeight="1" x14ac:dyDescent="0.25">
      <c r="A21" s="124"/>
      <c r="B21" s="138" t="s">
        <v>225</v>
      </c>
      <c r="C21" s="143">
        <v>15399711.67</v>
      </c>
      <c r="D21" s="144">
        <v>8782261.5600000005</v>
      </c>
    </row>
    <row r="22" spans="1:4" s="123" customFormat="1" ht="11.1" customHeight="1" x14ac:dyDescent="0.25">
      <c r="A22" s="124"/>
      <c r="B22" s="138" t="s">
        <v>226</v>
      </c>
      <c r="C22" s="143">
        <v>1082634.53</v>
      </c>
      <c r="D22" s="144">
        <v>884946.34</v>
      </c>
    </row>
    <row r="23" spans="1:4" s="123" customFormat="1" ht="11.1" customHeight="1" x14ac:dyDescent="0.25">
      <c r="A23" s="124"/>
      <c r="B23" s="138" t="s">
        <v>227</v>
      </c>
      <c r="C23" s="143">
        <v>2633277.3199999998</v>
      </c>
      <c r="D23" s="144">
        <v>1563217.31</v>
      </c>
    </row>
    <row r="24" spans="1:4" s="123" customFormat="1" ht="11.1" customHeight="1" x14ac:dyDescent="0.25">
      <c r="A24" s="124"/>
      <c r="B24" s="138" t="s">
        <v>228</v>
      </c>
      <c r="C24" s="143"/>
      <c r="D24" s="144"/>
    </row>
    <row r="25" spans="1:4" s="123" customFormat="1" ht="11.1" customHeight="1" x14ac:dyDescent="0.25">
      <c r="A25" s="124"/>
      <c r="B25" s="138" t="s">
        <v>282</v>
      </c>
      <c r="C25" s="143"/>
      <c r="D25" s="144"/>
    </row>
    <row r="26" spans="1:4" s="123" customFormat="1" ht="11.1" customHeight="1" x14ac:dyDescent="0.25">
      <c r="A26" s="124"/>
      <c r="B26" s="138" t="s">
        <v>283</v>
      </c>
      <c r="C26" s="143"/>
      <c r="D26" s="144"/>
    </row>
    <row r="27" spans="1:4" s="123" customFormat="1" ht="11.1" customHeight="1" x14ac:dyDescent="0.25">
      <c r="A27" s="124"/>
      <c r="B27" s="138" t="s">
        <v>231</v>
      </c>
      <c r="C27" s="143"/>
      <c r="D27" s="144"/>
    </row>
    <row r="28" spans="1:4" s="123" customFormat="1" ht="11.1" customHeight="1" x14ac:dyDescent="0.25">
      <c r="A28" s="124"/>
      <c r="B28" s="138" t="s">
        <v>232</v>
      </c>
      <c r="C28" s="143"/>
      <c r="D28" s="144"/>
    </row>
    <row r="29" spans="1:4" s="123" customFormat="1" ht="11.1" customHeight="1" x14ac:dyDescent="0.25">
      <c r="A29" s="124"/>
      <c r="B29" s="138" t="s">
        <v>233</v>
      </c>
      <c r="C29" s="143"/>
      <c r="D29" s="144"/>
    </row>
    <row r="30" spans="1:4" s="123" customFormat="1" ht="11.1" customHeight="1" x14ac:dyDescent="0.25">
      <c r="A30" s="124"/>
      <c r="B30" s="138" t="s">
        <v>234</v>
      </c>
      <c r="C30" s="143"/>
      <c r="D30" s="144"/>
    </row>
    <row r="31" spans="1:4" s="123" customFormat="1" ht="11.1" customHeight="1" x14ac:dyDescent="0.25">
      <c r="A31" s="124"/>
      <c r="B31" s="138" t="s">
        <v>235</v>
      </c>
      <c r="C31" s="143"/>
      <c r="D31" s="144"/>
    </row>
    <row r="32" spans="1:4" s="123" customFormat="1" ht="11.1" customHeight="1" x14ac:dyDescent="0.25">
      <c r="A32" s="124"/>
      <c r="B32" s="138" t="s">
        <v>236</v>
      </c>
      <c r="C32" s="143"/>
      <c r="D32" s="144"/>
    </row>
    <row r="33" spans="1:4" s="123" customFormat="1" ht="11.1" customHeight="1" x14ac:dyDescent="0.25">
      <c r="A33" s="124"/>
      <c r="B33" s="138" t="s">
        <v>284</v>
      </c>
      <c r="C33" s="143"/>
      <c r="D33" s="144"/>
    </row>
    <row r="34" spans="1:4" s="123" customFormat="1" ht="11.1" customHeight="1" x14ac:dyDescent="0.25">
      <c r="A34" s="124"/>
      <c r="B34" s="138" t="s">
        <v>72</v>
      </c>
      <c r="C34" s="143"/>
      <c r="D34" s="144"/>
    </row>
    <row r="35" spans="1:4" s="123" customFormat="1" ht="11.1" customHeight="1" x14ac:dyDescent="0.25">
      <c r="A35" s="124"/>
      <c r="B35" s="138" t="s">
        <v>239</v>
      </c>
      <c r="C35" s="143"/>
      <c r="D35" s="144"/>
    </row>
    <row r="36" spans="1:4" s="123" customFormat="1" ht="11.1" customHeight="1" x14ac:dyDescent="0.25">
      <c r="A36" s="124"/>
      <c r="B36" s="138" t="s">
        <v>285</v>
      </c>
      <c r="C36" s="143">
        <v>167557440.84999999</v>
      </c>
      <c r="D36" s="144">
        <v>163234421.24000001</v>
      </c>
    </row>
    <row r="37" spans="1:4" s="123" customFormat="1" ht="12" customHeight="1" x14ac:dyDescent="0.25">
      <c r="A37" s="128" t="s">
        <v>286</v>
      </c>
      <c r="B37" s="129"/>
      <c r="C37" s="145">
        <f>C8-C20</f>
        <v>261700543.92999995</v>
      </c>
      <c r="D37" s="146">
        <f>D8-D20</f>
        <v>57788793.779999971</v>
      </c>
    </row>
    <row r="38" spans="1:4" s="123" customFormat="1" ht="4.5" customHeight="1" x14ac:dyDescent="0.25">
      <c r="A38" s="130"/>
      <c r="B38" s="131"/>
      <c r="C38" s="147"/>
      <c r="D38" s="148"/>
    </row>
    <row r="39" spans="1:4" s="123" customFormat="1" ht="12.75" x14ac:dyDescent="0.25">
      <c r="A39" s="132" t="s">
        <v>287</v>
      </c>
      <c r="B39" s="125"/>
      <c r="C39" s="149"/>
      <c r="D39" s="150"/>
    </row>
    <row r="40" spans="1:4" s="123" customFormat="1" ht="10.5" customHeight="1" x14ac:dyDescent="0.25">
      <c r="A40" s="124"/>
      <c r="B40" s="125" t="s">
        <v>269</v>
      </c>
      <c r="C40" s="141">
        <f>SUM(C41:C43)</f>
        <v>0</v>
      </c>
      <c r="D40" s="142">
        <f>SUM(D41:D43)</f>
        <v>0</v>
      </c>
    </row>
    <row r="41" spans="1:4" s="123" customFormat="1" ht="11.1" customHeight="1" x14ac:dyDescent="0.25">
      <c r="A41" s="124"/>
      <c r="B41" s="139" t="s">
        <v>55</v>
      </c>
      <c r="C41" s="143"/>
      <c r="D41" s="144"/>
    </row>
    <row r="42" spans="1:4" s="123" customFormat="1" ht="11.1" customHeight="1" x14ac:dyDescent="0.25">
      <c r="A42" s="124"/>
      <c r="B42" s="139" t="s">
        <v>57</v>
      </c>
      <c r="C42" s="143"/>
      <c r="D42" s="144"/>
    </row>
    <row r="43" spans="1:4" s="123" customFormat="1" ht="11.1" customHeight="1" x14ac:dyDescent="0.25">
      <c r="A43" s="124"/>
      <c r="B43" s="139" t="s">
        <v>288</v>
      </c>
      <c r="C43" s="143"/>
      <c r="D43" s="144"/>
    </row>
    <row r="44" spans="1:4" s="123" customFormat="1" ht="10.5" customHeight="1" x14ac:dyDescent="0.25">
      <c r="A44" s="124"/>
      <c r="B44" s="125" t="s">
        <v>270</v>
      </c>
      <c r="C44" s="141">
        <f>SUM(C45:C47)</f>
        <v>202529181.57999998</v>
      </c>
      <c r="D44" s="142">
        <f>SUM(D45:D47)</f>
        <v>54023683.199999996</v>
      </c>
    </row>
    <row r="45" spans="1:4" s="123" customFormat="1" ht="11.1" customHeight="1" x14ac:dyDescent="0.25">
      <c r="A45" s="124"/>
      <c r="B45" s="139" t="s">
        <v>55</v>
      </c>
      <c r="C45" s="143">
        <v>202485211.56999999</v>
      </c>
      <c r="D45" s="144">
        <v>52974648.479999997</v>
      </c>
    </row>
    <row r="46" spans="1:4" s="123" customFormat="1" ht="11.1" customHeight="1" x14ac:dyDescent="0.25">
      <c r="A46" s="124"/>
      <c r="B46" s="139" t="s">
        <v>57</v>
      </c>
      <c r="C46" s="143">
        <v>43970.01</v>
      </c>
      <c r="D46" s="144">
        <v>1049034.72</v>
      </c>
    </row>
    <row r="47" spans="1:4" s="123" customFormat="1" ht="11.1" customHeight="1" x14ac:dyDescent="0.25">
      <c r="A47" s="124"/>
      <c r="B47" s="139" t="s">
        <v>289</v>
      </c>
      <c r="C47" s="143"/>
      <c r="D47" s="144"/>
    </row>
    <row r="48" spans="1:4" s="123" customFormat="1" ht="12" customHeight="1" x14ac:dyDescent="0.25">
      <c r="A48" s="128" t="s">
        <v>290</v>
      </c>
      <c r="B48" s="129"/>
      <c r="C48" s="145">
        <f>C40-C44</f>
        <v>-202529181.57999998</v>
      </c>
      <c r="D48" s="146">
        <f>D40-D44</f>
        <v>-54023683.199999996</v>
      </c>
    </row>
    <row r="49" spans="1:4" s="123" customFormat="1" ht="2.25" customHeight="1" x14ac:dyDescent="0.25">
      <c r="A49" s="130"/>
      <c r="B49" s="131"/>
      <c r="C49" s="151"/>
      <c r="D49" s="152"/>
    </row>
    <row r="50" spans="1:4" s="123" customFormat="1" ht="12" customHeight="1" x14ac:dyDescent="0.25">
      <c r="A50" s="132" t="s">
        <v>291</v>
      </c>
      <c r="B50" s="125"/>
      <c r="C50" s="149"/>
      <c r="D50" s="150"/>
    </row>
    <row r="51" spans="1:4" s="123" customFormat="1" ht="12.75" x14ac:dyDescent="0.25">
      <c r="A51" s="124"/>
      <c r="B51" s="125" t="s">
        <v>269</v>
      </c>
      <c r="C51" s="141">
        <f>SUM(C52:C55)</f>
        <v>0</v>
      </c>
      <c r="D51" s="142">
        <f>SUM(D52:D55)</f>
        <v>0</v>
      </c>
    </row>
    <row r="52" spans="1:4" s="123" customFormat="1" ht="11.1" customHeight="1" x14ac:dyDescent="0.25">
      <c r="A52" s="124"/>
      <c r="B52" s="139" t="s">
        <v>292</v>
      </c>
      <c r="C52" s="143"/>
      <c r="D52" s="144"/>
    </row>
    <row r="53" spans="1:4" s="123" customFormat="1" ht="11.1" customHeight="1" x14ac:dyDescent="0.25">
      <c r="A53" s="124"/>
      <c r="B53" s="139" t="s">
        <v>293</v>
      </c>
      <c r="C53" s="143"/>
      <c r="D53" s="144"/>
    </row>
    <row r="54" spans="1:4" s="123" customFormat="1" ht="11.1" customHeight="1" x14ac:dyDescent="0.25">
      <c r="A54" s="124"/>
      <c r="B54" s="139" t="s">
        <v>294</v>
      </c>
      <c r="C54" s="143"/>
      <c r="D54" s="144"/>
    </row>
    <row r="55" spans="1:4" s="123" customFormat="1" ht="11.1" customHeight="1" x14ac:dyDescent="0.25">
      <c r="A55" s="124"/>
      <c r="B55" s="139" t="s">
        <v>295</v>
      </c>
      <c r="C55" s="143"/>
      <c r="D55" s="144"/>
    </row>
    <row r="56" spans="1:4" s="123" customFormat="1" ht="11.25" customHeight="1" x14ac:dyDescent="0.25">
      <c r="A56" s="124"/>
      <c r="B56" s="125" t="s">
        <v>270</v>
      </c>
      <c r="C56" s="141">
        <f>SUM(C57:C60)</f>
        <v>0</v>
      </c>
      <c r="D56" s="142">
        <f>SUM(D57:D60)</f>
        <v>0</v>
      </c>
    </row>
    <row r="57" spans="1:4" s="123" customFormat="1" ht="11.1" customHeight="1" x14ac:dyDescent="0.25">
      <c r="A57" s="124"/>
      <c r="B57" s="139" t="s">
        <v>296</v>
      </c>
      <c r="C57" s="143"/>
      <c r="D57" s="144"/>
    </row>
    <row r="58" spans="1:4" s="123" customFormat="1" ht="11.1" customHeight="1" x14ac:dyDescent="0.25">
      <c r="A58" s="124"/>
      <c r="B58" s="139" t="s">
        <v>293</v>
      </c>
      <c r="C58" s="143"/>
      <c r="D58" s="144"/>
    </row>
    <row r="59" spans="1:4" s="123" customFormat="1" ht="11.1" customHeight="1" x14ac:dyDescent="0.25">
      <c r="A59" s="124"/>
      <c r="B59" s="139" t="s">
        <v>294</v>
      </c>
      <c r="C59" s="143"/>
      <c r="D59" s="144"/>
    </row>
    <row r="60" spans="1:4" s="123" customFormat="1" ht="11.1" customHeight="1" x14ac:dyDescent="0.25">
      <c r="A60" s="124"/>
      <c r="B60" s="139" t="s">
        <v>297</v>
      </c>
      <c r="C60" s="143"/>
      <c r="D60" s="144"/>
    </row>
    <row r="61" spans="1:4" s="123" customFormat="1" ht="12" customHeight="1" x14ac:dyDescent="0.25">
      <c r="A61" s="128" t="s">
        <v>298</v>
      </c>
      <c r="B61" s="129"/>
      <c r="C61" s="145">
        <f>C51-C56</f>
        <v>0</v>
      </c>
      <c r="D61" s="146">
        <f>D51-D56</f>
        <v>0</v>
      </c>
    </row>
    <row r="62" spans="1:4" s="123" customFormat="1" ht="2.25" customHeight="1" x14ac:dyDescent="0.25">
      <c r="A62" s="130"/>
      <c r="B62" s="131"/>
      <c r="C62" s="151"/>
      <c r="D62" s="152"/>
    </row>
    <row r="63" spans="1:4" s="123" customFormat="1" ht="12" customHeight="1" x14ac:dyDescent="0.25">
      <c r="A63" s="128" t="s">
        <v>299</v>
      </c>
      <c r="B63" s="133"/>
      <c r="C63" s="153">
        <f>C61+C48+C37</f>
        <v>59171362.349999964</v>
      </c>
      <c r="D63" s="154">
        <f>D61+D48+D37</f>
        <v>3765110.5799999759</v>
      </c>
    </row>
    <row r="64" spans="1:4" ht="2.25" customHeight="1" x14ac:dyDescent="0.3">
      <c r="A64" s="134"/>
      <c r="B64" s="135"/>
      <c r="C64" s="151"/>
      <c r="D64" s="152"/>
    </row>
    <row r="65" spans="1:5" s="123" customFormat="1" ht="12" customHeight="1" x14ac:dyDescent="0.25">
      <c r="A65" s="128" t="s">
        <v>300</v>
      </c>
      <c r="B65" s="129"/>
      <c r="C65" s="143">
        <v>109329311.7</v>
      </c>
      <c r="D65" s="144">
        <v>221910826.15000001</v>
      </c>
      <c r="E65" s="444" t="str">
        <f>IF(C65-'ETCA-I-01'!C9&gt;0.99,"ERROR!!!, NO COINCIDEN LOS MONTOS CON LO REPORTADO EN EL FORMATO ETCA-I-01 EN EL EJERCICIO 2015","")</f>
        <v/>
      </c>
    </row>
    <row r="66" spans="1:5" s="123" customFormat="1" ht="12" customHeight="1" thickBot="1" x14ac:dyDescent="0.3">
      <c r="A66" s="137" t="s">
        <v>301</v>
      </c>
      <c r="B66" s="136"/>
      <c r="C66" s="155">
        <f>C65+C63</f>
        <v>168500674.04999995</v>
      </c>
      <c r="D66" s="156">
        <f>D65+D63</f>
        <v>225675936.72999999</v>
      </c>
      <c r="E66" s="444" t="str">
        <f>IF(C66-'ETCA-I-01'!B9&gt;0.99,"ERROR!!!, NO COINCIDEN LOS MONTOS CON LO REPORTADO EN EL FORMATO ETCA-I-01 EN EL EJERCICIO 2016","")</f>
        <v/>
      </c>
    </row>
    <row r="67" spans="1:5" s="123" customFormat="1" ht="12" customHeight="1" x14ac:dyDescent="0.25">
      <c r="A67" s="123" t="s">
        <v>257</v>
      </c>
      <c r="E67" s="618"/>
    </row>
    <row r="68" spans="1:5" s="123" customFormat="1" ht="12" customHeight="1" x14ac:dyDescent="0.25">
      <c r="E68" s="618"/>
    </row>
    <row r="69" spans="1:5" s="123" customFormat="1" ht="12" customHeight="1" x14ac:dyDescent="0.25">
      <c r="A69" s="129"/>
      <c r="B69" s="133"/>
      <c r="C69" s="153"/>
      <c r="D69" s="153"/>
      <c r="E69" s="444"/>
    </row>
    <row r="70" spans="1:5" s="123" customFormat="1" ht="12" customHeight="1" x14ac:dyDescent="0.25">
      <c r="A70" s="129"/>
      <c r="B70" s="133"/>
      <c r="C70" s="153"/>
      <c r="D70" s="153"/>
      <c r="E70" s="444"/>
    </row>
    <row r="71" spans="1:5" s="123" customFormat="1" ht="12" customHeight="1" x14ac:dyDescent="0.25">
      <c r="A71" s="129"/>
      <c r="B71" s="133"/>
      <c r="C71" s="153"/>
      <c r="D71" s="153"/>
      <c r="E71" s="444"/>
    </row>
    <row r="72" spans="1:5" ht="12" customHeight="1" x14ac:dyDescent="0.3">
      <c r="A72" s="445" t="s">
        <v>258</v>
      </c>
    </row>
  </sheetData>
  <sheetProtection password="C035" sheet="1" scenarios="1" insertHyperlinks="0"/>
  <mergeCells count="7">
    <mergeCell ref="A7:C7"/>
    <mergeCell ref="A1:D1"/>
    <mergeCell ref="A3:D3"/>
    <mergeCell ref="A2:D2"/>
    <mergeCell ref="A4:D4"/>
    <mergeCell ref="A5:B5"/>
    <mergeCell ref="A6:B6"/>
  </mergeCells>
  <printOptions horizontalCentered="1"/>
  <pageMargins left="0.39370078740157483" right="0.39370078740157483" top="0.39370078740157483" bottom="0.3937007874015748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rgb="FF00B050"/>
    <pageSetUpPr fitToPage="1"/>
  </sheetPr>
  <dimension ref="A1:H34"/>
  <sheetViews>
    <sheetView view="pageBreakPreview" topLeftCell="A4" zoomScaleNormal="100" zoomScaleSheetLayoutView="100" workbookViewId="0">
      <selection activeCell="F11" sqref="F11:F17"/>
    </sheetView>
  </sheetViews>
  <sheetFormatPr baseColWidth="10" defaultColWidth="11.28515625" defaultRowHeight="16.5" x14ac:dyDescent="0.25"/>
  <cols>
    <col min="1" max="1" width="1.28515625" style="115" customWidth="1"/>
    <col min="2" max="2" width="32.28515625" style="115" customWidth="1"/>
    <col min="3" max="7" width="12.7109375" style="115" customWidth="1"/>
    <col min="8" max="8" width="63.85546875" style="115" customWidth="1"/>
    <col min="9" max="16384" width="11.28515625" style="115"/>
  </cols>
  <sheetData>
    <row r="1" spans="1:8" x14ac:dyDescent="0.25">
      <c r="A1" s="983" t="s">
        <v>25</v>
      </c>
      <c r="B1" s="983"/>
      <c r="C1" s="983"/>
      <c r="D1" s="983"/>
      <c r="E1" s="983"/>
      <c r="F1" s="983"/>
      <c r="G1" s="983"/>
    </row>
    <row r="2" spans="1:8" s="159" customFormat="1" ht="18" x14ac:dyDescent="0.25">
      <c r="A2" s="983" t="s">
        <v>5</v>
      </c>
      <c r="B2" s="983"/>
      <c r="C2" s="983"/>
      <c r="D2" s="983"/>
      <c r="E2" s="983"/>
      <c r="F2" s="983"/>
      <c r="G2" s="983"/>
      <c r="H2" s="432"/>
    </row>
    <row r="3" spans="1:8" s="159" customFormat="1" ht="15.75" x14ac:dyDescent="0.25">
      <c r="A3" s="984" t="str">
        <f>'ETCA-I-01'!A3</f>
        <v>Consejo Estatal de Concertacion para la Obra Publica</v>
      </c>
      <c r="B3" s="984"/>
      <c r="C3" s="984"/>
      <c r="D3" s="984"/>
      <c r="E3" s="984"/>
      <c r="F3" s="984"/>
      <c r="G3" s="984"/>
    </row>
    <row r="4" spans="1:8" s="159" customFormat="1" x14ac:dyDescent="0.25">
      <c r="A4" s="985" t="str">
        <f>'ETCA-I-03'!A4:D4</f>
        <v>Del 01 de Enero  al 30 de Septiembre de 2017</v>
      </c>
      <c r="B4" s="985"/>
      <c r="C4" s="985"/>
      <c r="D4" s="985"/>
      <c r="E4" s="985"/>
      <c r="F4" s="985"/>
      <c r="G4" s="985"/>
    </row>
    <row r="5" spans="1:8" s="161" customFormat="1" ht="17.25" thickBot="1" x14ac:dyDescent="0.3">
      <c r="A5" s="160"/>
      <c r="B5" s="160"/>
      <c r="C5" s="986" t="s">
        <v>302</v>
      </c>
      <c r="D5" s="986"/>
      <c r="E5" s="160"/>
      <c r="F5" s="42"/>
      <c r="G5" s="160"/>
    </row>
    <row r="6" spans="1:8" s="162" customFormat="1" ht="50.25" thickBot="1" x14ac:dyDescent="0.3">
      <c r="A6" s="981" t="s">
        <v>261</v>
      </c>
      <c r="B6" s="982"/>
      <c r="C6" s="165" t="s">
        <v>303</v>
      </c>
      <c r="D6" s="165" t="s">
        <v>304</v>
      </c>
      <c r="E6" s="165" t="s">
        <v>305</v>
      </c>
      <c r="F6" s="165" t="s">
        <v>306</v>
      </c>
      <c r="G6" s="166" t="s">
        <v>307</v>
      </c>
    </row>
    <row r="7" spans="1:8" ht="20.100000000000001" customHeight="1" x14ac:dyDescent="0.25">
      <c r="A7" s="587"/>
      <c r="B7" s="588"/>
      <c r="C7" s="589"/>
      <c r="D7" s="589"/>
      <c r="E7" s="589"/>
      <c r="F7" s="589"/>
      <c r="G7" s="590"/>
    </row>
    <row r="8" spans="1:8" ht="20.100000000000001" customHeight="1" x14ac:dyDescent="0.25">
      <c r="A8" s="591" t="s">
        <v>28</v>
      </c>
      <c r="B8" s="592"/>
      <c r="C8" s="593">
        <f>C10+C19</f>
        <v>694801995.53999996</v>
      </c>
      <c r="D8" s="593">
        <f>D10+D19</f>
        <v>1999269930.8099999</v>
      </c>
      <c r="E8" s="593">
        <f>E10+E19</f>
        <v>1941572219.8099999</v>
      </c>
      <c r="F8" s="593">
        <f>F10+F19</f>
        <v>752499706.53999996</v>
      </c>
      <c r="G8" s="884">
        <f>G10+G19</f>
        <v>57697710.99999994</v>
      </c>
      <c r="H8" s="423" t="str">
        <f>IF(F8&lt;&gt;'ETCA-I-01'!B33,"ERROR!!!!! EL MONTO NO COINCIDE CON LO REPORTADO EN EL FORMATO ETCA-I-01 EN EL TOTAL ","")</f>
        <v/>
      </c>
    </row>
    <row r="9" spans="1:8" ht="20.100000000000001" customHeight="1" x14ac:dyDescent="0.25">
      <c r="A9" s="596"/>
      <c r="B9" s="597"/>
      <c r="C9" s="598"/>
      <c r="D9" s="598"/>
      <c r="E9" s="598"/>
      <c r="F9" s="598"/>
      <c r="G9" s="599"/>
    </row>
    <row r="10" spans="1:8" ht="20.100000000000001" customHeight="1" x14ac:dyDescent="0.25">
      <c r="A10" s="596"/>
      <c r="B10" s="597" t="s">
        <v>30</v>
      </c>
      <c r="C10" s="593">
        <f>SUM(C11:C17)</f>
        <v>139113091.56999999</v>
      </c>
      <c r="D10" s="593">
        <f>SUM(D11:D17)</f>
        <v>1721750961.3399999</v>
      </c>
      <c r="E10" s="593">
        <f>SUM(E11:E17)</f>
        <v>1649880844.02</v>
      </c>
      <c r="F10" s="594">
        <f>C10+D10-E10</f>
        <v>210983208.88999987</v>
      </c>
      <c r="G10" s="595">
        <f>F10-C10</f>
        <v>71870117.319999874</v>
      </c>
      <c r="H10" s="423" t="str">
        <f>IF(F10&lt;&gt;'ETCA-I-01'!B18,"ERROR!!!!! EL MONTO NO COINCIDE CON LO REPORTADO EN EL FORMATO ETCA-I-01 EN EL TOTAL","")</f>
        <v/>
      </c>
    </row>
    <row r="11" spans="1:8" ht="20.100000000000001" customHeight="1" x14ac:dyDescent="0.25">
      <c r="A11" s="600"/>
      <c r="B11" s="601" t="s">
        <v>32</v>
      </c>
      <c r="C11" s="598">
        <v>109329311.7</v>
      </c>
      <c r="D11" s="598">
        <v>1178181690.3499999</v>
      </c>
      <c r="E11" s="598">
        <v>1119010328</v>
      </c>
      <c r="F11" s="602">
        <f>C11+D11-E11</f>
        <v>168500674.04999995</v>
      </c>
      <c r="G11" s="603">
        <f>F11-C11</f>
        <v>59171362.349999949</v>
      </c>
    </row>
    <row r="12" spans="1:8" ht="20.100000000000001" customHeight="1" x14ac:dyDescent="0.25">
      <c r="A12" s="600"/>
      <c r="B12" s="601" t="s">
        <v>34</v>
      </c>
      <c r="C12" s="598">
        <v>520682.21</v>
      </c>
      <c r="D12" s="598">
        <v>458132528.39999998</v>
      </c>
      <c r="E12" s="598">
        <v>458155491.41000003</v>
      </c>
      <c r="F12" s="602">
        <f t="shared" ref="F12:F17" si="0">C12+D12-E12</f>
        <v>497719.19999992847</v>
      </c>
      <c r="G12" s="603">
        <f t="shared" ref="G12:G17" si="1">F12-C12</f>
        <v>-22963.010000071547</v>
      </c>
    </row>
    <row r="13" spans="1:8" ht="20.100000000000001" customHeight="1" x14ac:dyDescent="0.25">
      <c r="A13" s="600"/>
      <c r="B13" s="601" t="s">
        <v>36</v>
      </c>
      <c r="C13" s="598">
        <v>29263097.66</v>
      </c>
      <c r="D13" s="598">
        <v>85436742.590000004</v>
      </c>
      <c r="E13" s="598">
        <v>72715024.609999999</v>
      </c>
      <c r="F13" s="602">
        <f t="shared" si="0"/>
        <v>41984815.640000001</v>
      </c>
      <c r="G13" s="603">
        <f t="shared" si="1"/>
        <v>12721717.98</v>
      </c>
    </row>
    <row r="14" spans="1:8" ht="20.100000000000001" customHeight="1" x14ac:dyDescent="0.25">
      <c r="A14" s="600"/>
      <c r="B14" s="601" t="s">
        <v>38</v>
      </c>
      <c r="C14" s="598">
        <v>0</v>
      </c>
      <c r="D14" s="598">
        <v>0</v>
      </c>
      <c r="E14" s="598">
        <v>0</v>
      </c>
      <c r="F14" s="602">
        <f t="shared" si="0"/>
        <v>0</v>
      </c>
      <c r="G14" s="603">
        <f t="shared" si="1"/>
        <v>0</v>
      </c>
    </row>
    <row r="15" spans="1:8" ht="20.100000000000001" customHeight="1" x14ac:dyDescent="0.25">
      <c r="A15" s="600"/>
      <c r="B15" s="601" t="s">
        <v>40</v>
      </c>
      <c r="C15" s="598">
        <v>0</v>
      </c>
      <c r="D15" s="598">
        <v>0</v>
      </c>
      <c r="E15" s="598">
        <v>0</v>
      </c>
      <c r="F15" s="602">
        <f t="shared" si="0"/>
        <v>0</v>
      </c>
      <c r="G15" s="603">
        <f t="shared" si="1"/>
        <v>0</v>
      </c>
    </row>
    <row r="16" spans="1:8" ht="25.5" x14ac:dyDescent="0.25">
      <c r="A16" s="600"/>
      <c r="B16" s="601" t="s">
        <v>42</v>
      </c>
      <c r="C16" s="598">
        <v>0</v>
      </c>
      <c r="D16" s="598">
        <v>0</v>
      </c>
      <c r="E16" s="598">
        <v>0</v>
      </c>
      <c r="F16" s="602">
        <f t="shared" si="0"/>
        <v>0</v>
      </c>
      <c r="G16" s="603">
        <f t="shared" si="1"/>
        <v>0</v>
      </c>
    </row>
    <row r="17" spans="1:8" ht="20.100000000000001" customHeight="1" x14ac:dyDescent="0.25">
      <c r="A17" s="600"/>
      <c r="B17" s="601" t="s">
        <v>44</v>
      </c>
      <c r="C17" s="598">
        <v>0</v>
      </c>
      <c r="D17" s="598">
        <v>0</v>
      </c>
      <c r="E17" s="598">
        <v>0</v>
      </c>
      <c r="F17" s="602">
        <f t="shared" si="0"/>
        <v>0</v>
      </c>
      <c r="G17" s="603">
        <f t="shared" si="1"/>
        <v>0</v>
      </c>
    </row>
    <row r="18" spans="1:8" ht="20.100000000000001" customHeight="1" x14ac:dyDescent="0.25">
      <c r="A18" s="596"/>
      <c r="B18" s="597"/>
      <c r="C18" s="598"/>
      <c r="D18" s="598"/>
      <c r="E18" s="598"/>
      <c r="F18" s="598"/>
      <c r="G18" s="599"/>
    </row>
    <row r="19" spans="1:8" ht="20.100000000000001" customHeight="1" x14ac:dyDescent="0.25">
      <c r="A19" s="596"/>
      <c r="B19" s="597" t="s">
        <v>49</v>
      </c>
      <c r="C19" s="593">
        <f>SUM(C20:C28)</f>
        <v>555688903.97000003</v>
      </c>
      <c r="D19" s="593">
        <f>SUM(D20:D28)</f>
        <v>277518969.47000003</v>
      </c>
      <c r="E19" s="593">
        <f>SUM(E20:E28)</f>
        <v>291691375.78999996</v>
      </c>
      <c r="F19" s="594">
        <f>C19+D19-E19</f>
        <v>541516497.6500001</v>
      </c>
      <c r="G19" s="595">
        <f>F19-C19</f>
        <v>-14172406.319999933</v>
      </c>
      <c r="H19" s="423" t="str">
        <f>IF(F19&lt;&gt;'ETCA-I-01'!B31,"ERROR!!!!! EL MONTO NO COINCIDE CON LO REPORTADO EN EL FORMATO ETCA-I-01 EN EL TOTAL","")</f>
        <v/>
      </c>
    </row>
    <row r="20" spans="1:8" ht="20.100000000000001" customHeight="1" x14ac:dyDescent="0.25">
      <c r="A20" s="600"/>
      <c r="B20" s="601" t="s">
        <v>51</v>
      </c>
      <c r="C20" s="598">
        <v>0</v>
      </c>
      <c r="D20" s="598">
        <v>0</v>
      </c>
      <c r="E20" s="598">
        <v>0</v>
      </c>
      <c r="F20" s="602">
        <f>C20+D20-E20</f>
        <v>0</v>
      </c>
      <c r="G20" s="603">
        <f>F20-C20</f>
        <v>0</v>
      </c>
    </row>
    <row r="21" spans="1:8" ht="25.5" x14ac:dyDescent="0.25">
      <c r="A21" s="600"/>
      <c r="B21" s="601" t="s">
        <v>53</v>
      </c>
      <c r="C21" s="598">
        <v>0</v>
      </c>
      <c r="D21" s="598">
        <v>0</v>
      </c>
      <c r="E21" s="598">
        <v>0</v>
      </c>
      <c r="F21" s="602">
        <f t="shared" ref="F21:F26" si="2">C21+D21-E21</f>
        <v>0</v>
      </c>
      <c r="G21" s="603">
        <f t="shared" ref="G21:G26" si="3">F21-C21</f>
        <v>0</v>
      </c>
    </row>
    <row r="22" spans="1:8" ht="25.5" x14ac:dyDescent="0.25">
      <c r="A22" s="600"/>
      <c r="B22" s="601" t="s">
        <v>55</v>
      </c>
      <c r="C22" s="598">
        <v>553939912.17999995</v>
      </c>
      <c r="D22" s="598">
        <v>237650090.61000001</v>
      </c>
      <c r="E22" s="598">
        <v>253314181.66</v>
      </c>
      <c r="F22" s="602">
        <f t="shared" si="2"/>
        <v>538275821.13</v>
      </c>
      <c r="G22" s="603">
        <f t="shared" si="3"/>
        <v>-15664091.049999952</v>
      </c>
    </row>
    <row r="23" spans="1:8" ht="20.100000000000001" customHeight="1" x14ac:dyDescent="0.25">
      <c r="A23" s="600"/>
      <c r="B23" s="601" t="s">
        <v>57</v>
      </c>
      <c r="C23" s="598">
        <v>6915005.4500000002</v>
      </c>
      <c r="D23" s="598">
        <v>2029257.45</v>
      </c>
      <c r="E23" s="598">
        <v>0</v>
      </c>
      <c r="F23" s="602">
        <f t="shared" si="2"/>
        <v>8944262.9000000004</v>
      </c>
      <c r="G23" s="603">
        <f t="shared" si="3"/>
        <v>2029257.4500000002</v>
      </c>
    </row>
    <row r="24" spans="1:8" ht="20.100000000000001" customHeight="1" x14ac:dyDescent="0.25">
      <c r="A24" s="600"/>
      <c r="B24" s="601" t="s">
        <v>59</v>
      </c>
      <c r="C24" s="598">
        <v>0</v>
      </c>
      <c r="D24" s="598">
        <v>0</v>
      </c>
      <c r="E24" s="598">
        <v>0</v>
      </c>
      <c r="F24" s="602">
        <f t="shared" si="2"/>
        <v>0</v>
      </c>
      <c r="G24" s="603">
        <f t="shared" si="3"/>
        <v>0</v>
      </c>
    </row>
    <row r="25" spans="1:8" ht="25.5" x14ac:dyDescent="0.25">
      <c r="A25" s="600"/>
      <c r="B25" s="601" t="s">
        <v>61</v>
      </c>
      <c r="C25" s="598">
        <v>-5166013.6500000004</v>
      </c>
      <c r="D25" s="598">
        <v>0</v>
      </c>
      <c r="E25" s="598">
        <v>537572.73</v>
      </c>
      <c r="F25" s="602">
        <f t="shared" si="2"/>
        <v>-5703586.3800000008</v>
      </c>
      <c r="G25" s="603">
        <f t="shared" si="3"/>
        <v>-537572.73000000045</v>
      </c>
    </row>
    <row r="26" spans="1:8" ht="20.100000000000001" customHeight="1" x14ac:dyDescent="0.25">
      <c r="A26" s="600"/>
      <c r="B26" s="601" t="s">
        <v>63</v>
      </c>
      <c r="C26" s="598">
        <v>-0.01</v>
      </c>
      <c r="D26" s="598">
        <v>37839621.409999996</v>
      </c>
      <c r="E26" s="598">
        <v>37839621.399999999</v>
      </c>
      <c r="F26" s="602">
        <f t="shared" si="2"/>
        <v>0</v>
      </c>
      <c r="G26" s="603">
        <f t="shared" si="3"/>
        <v>0.01</v>
      </c>
    </row>
    <row r="27" spans="1:8" ht="25.5" x14ac:dyDescent="0.25">
      <c r="A27" s="600"/>
      <c r="B27" s="601" t="s">
        <v>64</v>
      </c>
      <c r="C27" s="598">
        <v>0</v>
      </c>
      <c r="D27" s="598">
        <v>0</v>
      </c>
      <c r="E27" s="598">
        <v>0</v>
      </c>
      <c r="F27" s="602">
        <f>C27+D27-E27</f>
        <v>0</v>
      </c>
      <c r="G27" s="603">
        <f>F27-C27</f>
        <v>0</v>
      </c>
    </row>
    <row r="28" spans="1:8" ht="20.100000000000001" customHeight="1" x14ac:dyDescent="0.25">
      <c r="A28" s="600"/>
      <c r="B28" s="601" t="s">
        <v>65</v>
      </c>
      <c r="C28" s="598">
        <v>0</v>
      </c>
      <c r="D28" s="598">
        <v>0</v>
      </c>
      <c r="E28" s="598">
        <v>0</v>
      </c>
      <c r="F28" s="602">
        <f>C28+D28-E28</f>
        <v>0</v>
      </c>
      <c r="G28" s="603">
        <f>F28-C28</f>
        <v>0</v>
      </c>
    </row>
    <row r="29" spans="1:8" ht="20.100000000000001" customHeight="1" thickBot="1" x14ac:dyDescent="0.3">
      <c r="A29" s="604"/>
      <c r="B29" s="605"/>
      <c r="C29" s="606"/>
      <c r="D29" s="606"/>
      <c r="E29" s="606"/>
      <c r="F29" s="606"/>
      <c r="G29" s="607"/>
    </row>
    <row r="30" spans="1:8" ht="20.100000000000001" customHeight="1" x14ac:dyDescent="0.25">
      <c r="A30" s="619" t="s">
        <v>257</v>
      </c>
      <c r="B30" s="280"/>
      <c r="C30" s="521"/>
      <c r="D30" s="521"/>
      <c r="E30" s="521"/>
      <c r="F30" s="521"/>
      <c r="G30" s="521"/>
    </row>
    <row r="31" spans="1:8" ht="20.100000000000001" customHeight="1" x14ac:dyDescent="0.25">
      <c r="A31" s="511"/>
      <c r="B31" s="511"/>
      <c r="C31" s="521"/>
      <c r="D31" s="521"/>
      <c r="E31" s="521"/>
      <c r="F31" s="521"/>
      <c r="G31" s="521"/>
    </row>
    <row r="32" spans="1:8" ht="20.100000000000001" customHeight="1" x14ac:dyDescent="0.25">
      <c r="A32" s="511"/>
      <c r="B32" s="511" t="s">
        <v>258</v>
      </c>
      <c r="C32" s="521"/>
      <c r="D32" s="521" t="s">
        <v>258</v>
      </c>
      <c r="E32" s="521"/>
      <c r="F32" s="521"/>
      <c r="G32" s="521"/>
    </row>
    <row r="33" spans="1:7" ht="20.100000000000001" customHeight="1" x14ac:dyDescent="0.25">
      <c r="A33" s="511"/>
      <c r="B33" s="511"/>
      <c r="C33" s="521"/>
      <c r="D33" s="521"/>
      <c r="E33" s="521"/>
      <c r="F33" s="521"/>
      <c r="G33" s="521"/>
    </row>
    <row r="34" spans="1:7" x14ac:dyDescent="0.25">
      <c r="A34" s="280" t="s">
        <v>258</v>
      </c>
      <c r="B34" s="280"/>
      <c r="C34" s="280"/>
      <c r="D34" s="280"/>
      <c r="E34" s="280"/>
      <c r="F34" s="280"/>
      <c r="G34" s="280"/>
    </row>
  </sheetData>
  <sheetProtection password="C115" sheet="1" scenarios="1" formatColumns="0" formatRows="0" insertHyperlinks="0"/>
  <mergeCells count="6">
    <mergeCell ref="A6:B6"/>
    <mergeCell ref="A1:G1"/>
    <mergeCell ref="A3:G3"/>
    <mergeCell ref="A2:G2"/>
    <mergeCell ref="A4:G4"/>
    <mergeCell ref="C5:D5"/>
  </mergeCells>
  <printOptions horizontalCentered="1"/>
  <pageMargins left="0.39370078740157483" right="0.39370078740157483" top="0.74803149606299213" bottom="0.74803149606299213" header="0.31496062992125984" footer="0.31496062992125984"/>
  <pageSetup scale="98"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G48"/>
  <sheetViews>
    <sheetView topLeftCell="A5" zoomScaleNormal="100" workbookViewId="0">
      <selection sqref="A1:F48"/>
    </sheetView>
  </sheetViews>
  <sheetFormatPr baseColWidth="10" defaultColWidth="11.28515625" defaultRowHeight="16.5" x14ac:dyDescent="0.3"/>
  <cols>
    <col min="1" max="1" width="2.140625" style="97" customWidth="1"/>
    <col min="2" max="2" width="28.28515625" style="97" customWidth="1"/>
    <col min="3" max="6" width="16.7109375" style="97" customWidth="1"/>
    <col min="7" max="7" width="79" style="97" customWidth="1"/>
    <col min="8" max="16384" width="11.28515625" style="97"/>
  </cols>
  <sheetData>
    <row r="1" spans="1:7" s="115" customFormat="1" ht="18" x14ac:dyDescent="0.25">
      <c r="A1" s="983" t="s">
        <v>25</v>
      </c>
      <c r="B1" s="983"/>
      <c r="C1" s="983"/>
      <c r="D1" s="983"/>
      <c r="E1" s="983"/>
      <c r="F1" s="983"/>
      <c r="G1" s="431"/>
    </row>
    <row r="2" spans="1:7" s="159" customFormat="1" ht="15.75" x14ac:dyDescent="0.25">
      <c r="A2" s="983" t="s">
        <v>6</v>
      </c>
      <c r="B2" s="983"/>
      <c r="C2" s="983"/>
      <c r="D2" s="983"/>
      <c r="E2" s="983"/>
      <c r="F2" s="983"/>
    </row>
    <row r="3" spans="1:7" s="159" customFormat="1" ht="15.75" x14ac:dyDescent="0.25">
      <c r="A3" s="984" t="str">
        <f>'ETCA-I-01'!A3</f>
        <v>Consejo Estatal de Concertacion para la Obra Publica</v>
      </c>
      <c r="B3" s="984"/>
      <c r="C3" s="984"/>
      <c r="D3" s="984"/>
      <c r="E3" s="984"/>
      <c r="F3" s="984"/>
    </row>
    <row r="4" spans="1:7" s="159" customFormat="1" x14ac:dyDescent="0.25">
      <c r="A4" s="985" t="str">
        <f>'ETCA-I-03'!A4:D4</f>
        <v>Del 01 de Enero  al 30 de Septiembre de 2017</v>
      </c>
      <c r="B4" s="985"/>
      <c r="C4" s="985"/>
      <c r="D4" s="985"/>
      <c r="E4" s="985"/>
      <c r="F4" s="985"/>
    </row>
    <row r="5" spans="1:7" s="161" customFormat="1" ht="17.25" thickBot="1" x14ac:dyDescent="0.3">
      <c r="A5" s="160"/>
      <c r="B5" s="160"/>
      <c r="C5" s="986" t="s">
        <v>308</v>
      </c>
      <c r="D5" s="986"/>
      <c r="E5" s="42"/>
      <c r="F5" s="160"/>
    </row>
    <row r="6" spans="1:7" s="169" customFormat="1" ht="37.5" customHeight="1" thickBot="1" x14ac:dyDescent="0.35">
      <c r="A6" s="997" t="s">
        <v>309</v>
      </c>
      <c r="B6" s="998"/>
      <c r="C6" s="167" t="s">
        <v>310</v>
      </c>
      <c r="D6" s="167" t="s">
        <v>311</v>
      </c>
      <c r="E6" s="167" t="s">
        <v>312</v>
      </c>
      <c r="F6" s="168" t="s">
        <v>313</v>
      </c>
    </row>
    <row r="7" spans="1:7" x14ac:dyDescent="0.3">
      <c r="A7" s="991"/>
      <c r="B7" s="992"/>
      <c r="C7" s="170"/>
      <c r="D7" s="170"/>
      <c r="E7" s="171"/>
      <c r="F7" s="172"/>
    </row>
    <row r="8" spans="1:7" x14ac:dyDescent="0.3">
      <c r="A8" s="993" t="s">
        <v>314</v>
      </c>
      <c r="B8" s="994"/>
      <c r="C8" s="173"/>
      <c r="D8" s="173"/>
      <c r="E8" s="173"/>
      <c r="F8" s="174"/>
    </row>
    <row r="9" spans="1:7" x14ac:dyDescent="0.3">
      <c r="A9" s="995" t="s">
        <v>315</v>
      </c>
      <c r="B9" s="996"/>
      <c r="C9" s="173"/>
      <c r="D9" s="173"/>
      <c r="E9" s="173"/>
      <c r="F9" s="174"/>
    </row>
    <row r="10" spans="1:7" x14ac:dyDescent="0.3">
      <c r="A10" s="987" t="s">
        <v>316</v>
      </c>
      <c r="B10" s="988"/>
      <c r="C10" s="175"/>
      <c r="D10" s="175"/>
      <c r="E10" s="188">
        <f>SUM(E11:E13)</f>
        <v>0</v>
      </c>
      <c r="F10" s="189">
        <f>SUM(F11:F13)</f>
        <v>0</v>
      </c>
    </row>
    <row r="11" spans="1:7" x14ac:dyDescent="0.3">
      <c r="A11" s="874"/>
      <c r="B11" s="177" t="s">
        <v>317</v>
      </c>
      <c r="C11" s="175"/>
      <c r="D11" s="175"/>
      <c r="E11" s="175">
        <v>0</v>
      </c>
      <c r="F11" s="176">
        <v>0</v>
      </c>
    </row>
    <row r="12" spans="1:7" x14ac:dyDescent="0.3">
      <c r="A12" s="178"/>
      <c r="B12" s="177" t="s">
        <v>318</v>
      </c>
      <c r="C12" s="179"/>
      <c r="D12" s="179"/>
      <c r="E12" s="179"/>
      <c r="F12" s="180"/>
    </row>
    <row r="13" spans="1:7" x14ac:dyDescent="0.3">
      <c r="A13" s="178"/>
      <c r="B13" s="177" t="s">
        <v>319</v>
      </c>
      <c r="C13" s="179"/>
      <c r="D13" s="179"/>
      <c r="E13" s="179"/>
      <c r="F13" s="180"/>
    </row>
    <row r="14" spans="1:7" x14ac:dyDescent="0.3">
      <c r="A14" s="178"/>
      <c r="B14" s="181"/>
      <c r="C14" s="179"/>
      <c r="D14" s="179"/>
      <c r="E14" s="179"/>
      <c r="F14" s="180"/>
    </row>
    <row r="15" spans="1:7" x14ac:dyDescent="0.3">
      <c r="A15" s="987" t="s">
        <v>320</v>
      </c>
      <c r="B15" s="988"/>
      <c r="C15" s="175"/>
      <c r="D15" s="175"/>
      <c r="E15" s="188">
        <f>SUM(E16:E19)</f>
        <v>0</v>
      </c>
      <c r="F15" s="189">
        <f>SUM(F16:F19)</f>
        <v>0</v>
      </c>
    </row>
    <row r="16" spans="1:7" x14ac:dyDescent="0.3">
      <c r="A16" s="178"/>
      <c r="B16" s="177" t="s">
        <v>321</v>
      </c>
      <c r="C16" s="179"/>
      <c r="D16" s="179"/>
      <c r="E16" s="179">
        <v>0</v>
      </c>
      <c r="F16" s="180"/>
    </row>
    <row r="17" spans="1:7" x14ac:dyDescent="0.3">
      <c r="A17" s="874"/>
      <c r="B17" s="177" t="s">
        <v>322</v>
      </c>
      <c r="C17" s="179"/>
      <c r="D17" s="179"/>
      <c r="E17" s="179"/>
      <c r="F17" s="180"/>
    </row>
    <row r="18" spans="1:7" x14ac:dyDescent="0.3">
      <c r="A18" s="874"/>
      <c r="B18" s="177" t="s">
        <v>318</v>
      </c>
      <c r="C18" s="175"/>
      <c r="D18" s="175"/>
      <c r="E18" s="175"/>
      <c r="F18" s="176"/>
    </row>
    <row r="19" spans="1:7" x14ac:dyDescent="0.3">
      <c r="A19" s="178"/>
      <c r="B19" s="177" t="s">
        <v>319</v>
      </c>
      <c r="C19" s="179"/>
      <c r="D19" s="179"/>
      <c r="E19" s="179"/>
      <c r="F19" s="180"/>
    </row>
    <row r="20" spans="1:7" x14ac:dyDescent="0.3">
      <c r="A20" s="874"/>
      <c r="B20" s="875"/>
      <c r="C20" s="175"/>
      <c r="D20" s="175"/>
      <c r="E20" s="175"/>
      <c r="F20" s="176"/>
    </row>
    <row r="21" spans="1:7" x14ac:dyDescent="0.3">
      <c r="A21" s="182"/>
      <c r="B21" s="183" t="s">
        <v>323</v>
      </c>
      <c r="C21" s="173"/>
      <c r="D21" s="173"/>
      <c r="E21" s="190">
        <f>E10+E15</f>
        <v>0</v>
      </c>
      <c r="F21" s="191">
        <f>F10+F15</f>
        <v>0</v>
      </c>
      <c r="G21" s="327"/>
    </row>
    <row r="22" spans="1:7" x14ac:dyDescent="0.3">
      <c r="A22" s="182"/>
      <c r="B22" s="183"/>
      <c r="C22" s="184"/>
      <c r="D22" s="184"/>
      <c r="E22" s="184"/>
      <c r="F22" s="185"/>
    </row>
    <row r="23" spans="1:7" x14ac:dyDescent="0.3">
      <c r="A23" s="995" t="s">
        <v>324</v>
      </c>
      <c r="B23" s="996"/>
      <c r="C23" s="173"/>
      <c r="D23" s="173"/>
      <c r="E23" s="173"/>
      <c r="F23" s="174"/>
    </row>
    <row r="24" spans="1:7" x14ac:dyDescent="0.3">
      <c r="A24" s="987" t="s">
        <v>316</v>
      </c>
      <c r="B24" s="988"/>
      <c r="C24" s="175"/>
      <c r="D24" s="175"/>
      <c r="E24" s="188">
        <f>SUM(E25:E27)</f>
        <v>0</v>
      </c>
      <c r="F24" s="189">
        <f>SUM(F25:F27)</f>
        <v>0</v>
      </c>
    </row>
    <row r="25" spans="1:7" x14ac:dyDescent="0.3">
      <c r="A25" s="874"/>
      <c r="B25" s="177" t="s">
        <v>317</v>
      </c>
      <c r="C25" s="175"/>
      <c r="D25" s="175"/>
      <c r="E25" s="175"/>
      <c r="F25" s="176"/>
    </row>
    <row r="26" spans="1:7" x14ac:dyDescent="0.3">
      <c r="A26" s="178"/>
      <c r="B26" s="177" t="s">
        <v>318</v>
      </c>
      <c r="C26" s="179"/>
      <c r="D26" s="179"/>
      <c r="E26" s="179"/>
      <c r="F26" s="180"/>
    </row>
    <row r="27" spans="1:7" x14ac:dyDescent="0.3">
      <c r="A27" s="178"/>
      <c r="B27" s="177" t="s">
        <v>319</v>
      </c>
      <c r="C27" s="179"/>
      <c r="D27" s="179"/>
      <c r="E27" s="179"/>
      <c r="F27" s="180"/>
    </row>
    <row r="28" spans="1:7" x14ac:dyDescent="0.3">
      <c r="A28" s="178"/>
      <c r="B28" s="181"/>
      <c r="C28" s="179"/>
      <c r="D28" s="179"/>
      <c r="E28" s="179"/>
      <c r="F28" s="180"/>
    </row>
    <row r="29" spans="1:7" x14ac:dyDescent="0.3">
      <c r="A29" s="987" t="s">
        <v>320</v>
      </c>
      <c r="B29" s="988"/>
      <c r="C29" s="175"/>
      <c r="D29" s="175"/>
      <c r="E29" s="188">
        <f>SUM(E30:E33)</f>
        <v>0</v>
      </c>
      <c r="F29" s="189">
        <f>SUM(F30:F33)</f>
        <v>0</v>
      </c>
    </row>
    <row r="30" spans="1:7" x14ac:dyDescent="0.3">
      <c r="A30" s="178"/>
      <c r="B30" s="177" t="s">
        <v>321</v>
      </c>
      <c r="C30" s="179"/>
      <c r="D30" s="179"/>
      <c r="E30" s="179"/>
      <c r="F30" s="180"/>
    </row>
    <row r="31" spans="1:7" x14ac:dyDescent="0.3">
      <c r="A31" s="874"/>
      <c r="B31" s="177" t="s">
        <v>322</v>
      </c>
      <c r="C31" s="179"/>
      <c r="D31" s="179"/>
      <c r="E31" s="179"/>
      <c r="F31" s="180"/>
    </row>
    <row r="32" spans="1:7" x14ac:dyDescent="0.3">
      <c r="A32" s="874"/>
      <c r="B32" s="177" t="s">
        <v>318</v>
      </c>
      <c r="C32" s="175"/>
      <c r="D32" s="175"/>
      <c r="E32" s="175"/>
      <c r="F32" s="176"/>
    </row>
    <row r="33" spans="1:7" x14ac:dyDescent="0.3">
      <c r="A33" s="178"/>
      <c r="B33" s="177" t="s">
        <v>319</v>
      </c>
      <c r="C33" s="179"/>
      <c r="D33" s="179"/>
      <c r="E33" s="179"/>
      <c r="F33" s="180"/>
    </row>
    <row r="34" spans="1:7" x14ac:dyDescent="0.3">
      <c r="A34" s="874"/>
      <c r="B34" s="875"/>
      <c r="C34" s="175"/>
      <c r="D34" s="175"/>
      <c r="E34" s="175"/>
      <c r="F34" s="176"/>
    </row>
    <row r="35" spans="1:7" x14ac:dyDescent="0.3">
      <c r="A35" s="182"/>
      <c r="B35" s="183" t="s">
        <v>325</v>
      </c>
      <c r="C35" s="173"/>
      <c r="D35" s="173"/>
      <c r="E35" s="190">
        <f>E24+E29</f>
        <v>0</v>
      </c>
      <c r="F35" s="191">
        <f>F24+F29</f>
        <v>0</v>
      </c>
      <c r="G35" s="327"/>
    </row>
    <row r="36" spans="1:7" x14ac:dyDescent="0.3">
      <c r="A36" s="178"/>
      <c r="B36" s="181"/>
      <c r="C36" s="179"/>
      <c r="D36" s="179"/>
      <c r="E36" s="179"/>
      <c r="F36" s="180"/>
    </row>
    <row r="37" spans="1:7" x14ac:dyDescent="0.3">
      <c r="A37" s="178"/>
      <c r="B37" s="177" t="s">
        <v>326</v>
      </c>
      <c r="C37" s="179"/>
      <c r="D37" s="179"/>
      <c r="E37" s="179">
        <v>73908263.909999996</v>
      </c>
      <c r="F37" s="180">
        <v>13482087.98</v>
      </c>
    </row>
    <row r="38" spans="1:7" x14ac:dyDescent="0.3">
      <c r="A38" s="178"/>
      <c r="B38" s="181"/>
      <c r="C38" s="179"/>
      <c r="D38" s="179"/>
      <c r="E38" s="179"/>
      <c r="F38" s="180"/>
    </row>
    <row r="39" spans="1:7" x14ac:dyDescent="0.3">
      <c r="A39" s="874"/>
      <c r="B39" s="875" t="s">
        <v>327</v>
      </c>
      <c r="C39" s="173"/>
      <c r="D39" s="173"/>
      <c r="E39" s="190">
        <f>E37+E35+E21</f>
        <v>73908263.909999996</v>
      </c>
      <c r="F39" s="191">
        <f>F37+F35+F21</f>
        <v>13482087.98</v>
      </c>
      <c r="G39" s="327" t="str">
        <f>IF((F39-'ETCA-I-01'!F33)&gt;0.9,"ERROR!!!!!, NO COINCIDE CON LO REPORTADO EN EL ETCA-I-01 EN EL MISMO RUBRO","")</f>
        <v/>
      </c>
    </row>
    <row r="40" spans="1:7" ht="5.25" customHeight="1" thickBot="1" x14ac:dyDescent="0.35">
      <c r="A40" s="989"/>
      <c r="B40" s="990"/>
      <c r="C40" s="186"/>
      <c r="D40" s="186"/>
      <c r="E40" s="186"/>
      <c r="F40" s="187"/>
    </row>
    <row r="41" spans="1:7" ht="11.1" customHeight="1" x14ac:dyDescent="0.3">
      <c r="A41" s="114" t="s">
        <v>257</v>
      </c>
      <c r="F41" s="503"/>
    </row>
    <row r="42" spans="1:7" ht="11.1" customHeight="1" x14ac:dyDescent="0.3">
      <c r="A42" s="114"/>
      <c r="F42" s="503"/>
    </row>
    <row r="43" spans="1:7" ht="11.1" customHeight="1" x14ac:dyDescent="0.3">
      <c r="A43" s="114"/>
      <c r="F43" s="503"/>
    </row>
    <row r="44" spans="1:7" ht="11.1" customHeight="1" x14ac:dyDescent="0.3">
      <c r="A44" s="503"/>
      <c r="B44" s="503"/>
      <c r="C44" s="503"/>
      <c r="D44" s="503"/>
      <c r="E44" s="503"/>
      <c r="F44" s="503"/>
    </row>
    <row r="45" spans="1:7" ht="11.1" customHeight="1" x14ac:dyDescent="0.3">
      <c r="A45" s="503"/>
      <c r="B45" s="503"/>
      <c r="C45" s="503"/>
      <c r="D45" s="503"/>
      <c r="E45" s="503"/>
      <c r="F45" s="503"/>
    </row>
    <row r="46" spans="1:7" ht="11.1" customHeight="1" x14ac:dyDescent="0.3">
      <c r="A46" s="503"/>
      <c r="B46" s="503" t="s">
        <v>258</v>
      </c>
      <c r="C46" s="503"/>
      <c r="D46" s="503"/>
      <c r="E46" s="503"/>
      <c r="F46" s="503"/>
    </row>
    <row r="47" spans="1:7" ht="11.1" customHeight="1" x14ac:dyDescent="0.3">
      <c r="A47" s="503"/>
      <c r="B47" s="503"/>
      <c r="C47" s="503"/>
      <c r="D47" s="503"/>
      <c r="E47" s="503"/>
      <c r="F47" s="503"/>
    </row>
    <row r="48" spans="1:7" x14ac:dyDescent="0.3">
      <c r="A48" s="501" t="s">
        <v>258</v>
      </c>
      <c r="B48" s="501"/>
      <c r="C48" s="501"/>
      <c r="D48" s="501"/>
      <c r="E48" s="501"/>
      <c r="F48" s="501"/>
    </row>
  </sheetData>
  <sheetProtection password="C115" sheet="1" scenarios="1" formatColumns="0" formatRows="0"/>
  <mergeCells count="15">
    <mergeCell ref="A6:B6"/>
    <mergeCell ref="A1:F1"/>
    <mergeCell ref="A2:F2"/>
    <mergeCell ref="A3:F3"/>
    <mergeCell ref="A4:F4"/>
    <mergeCell ref="C5:D5"/>
    <mergeCell ref="A24:B24"/>
    <mergeCell ref="A29:B29"/>
    <mergeCell ref="A40:B40"/>
    <mergeCell ref="A7:B7"/>
    <mergeCell ref="A8:B8"/>
    <mergeCell ref="A9:B9"/>
    <mergeCell ref="A10:B10"/>
    <mergeCell ref="A15:B15"/>
    <mergeCell ref="A23:B23"/>
  </mergeCells>
  <pageMargins left="0.7" right="0.7" top="0.75" bottom="0.75" header="0.3" footer="0.3"/>
  <pageSetup scale="92" orientation="portrait" horizontalDpi="1200" verticalDpi="1200" r:id="rId1"/>
  <colBreaks count="1" manualBreakCount="1">
    <brk id="6" max="4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37</vt:i4>
      </vt:variant>
    </vt:vector>
  </HeadingPairs>
  <TitlesOfParts>
    <vt:vector size="74" baseType="lpstr">
      <vt:lpstr>Lista  FORMATOS  </vt:lpstr>
      <vt:lpstr>ETCA-I-01</vt:lpstr>
      <vt:lpstr>ETCA-I-02</vt:lpstr>
      <vt:lpstr>ETCA-I-03</vt:lpstr>
      <vt:lpstr>ETCA-I-04</vt:lpstr>
      <vt:lpstr>ETCA-I-05</vt:lpstr>
      <vt:lpstr>ETCA-I-06</vt:lpstr>
      <vt:lpstr>ETCA-I-07</vt:lpstr>
      <vt:lpstr>ETCA-I-08</vt:lpstr>
      <vt:lpstr>ETCA-I-09</vt:lpstr>
      <vt:lpstr>ETCA-I-10</vt:lpstr>
      <vt:lpstr>ETCA-I-11</vt:lpstr>
      <vt:lpstr>ETCA-I-12 (NOTAS)</vt:lpstr>
      <vt:lpstr>ETCA-II-01</vt:lpstr>
      <vt:lpstr>ETCA-II-02</vt:lpstr>
      <vt:lpstr>ETCA-II-03</vt:lpstr>
      <vt:lpstr>ETCA II-04</vt:lpstr>
      <vt:lpstr>ETCA-II-05</vt:lpstr>
      <vt:lpstr>ETCA-II-06</vt:lpstr>
      <vt:lpstr>ETCA-II-07</vt:lpstr>
      <vt:lpstr>ETCA-II-08</vt:lpstr>
      <vt:lpstr>ETCA-II-09</vt:lpstr>
      <vt:lpstr>ETCA-II-10</vt:lpstr>
      <vt:lpstr>ETCA-II-11</vt:lpstr>
      <vt:lpstr>ETCA-II-12</vt:lpstr>
      <vt:lpstr>ETCA-II-13</vt:lpstr>
      <vt:lpstr>ETCA-II-14</vt:lpstr>
      <vt:lpstr>ETCA-II-15</vt:lpstr>
      <vt:lpstr>ETCA-II-16</vt:lpstr>
      <vt:lpstr>ETCA-II-17</vt:lpstr>
      <vt:lpstr>ETCA-III-01</vt:lpstr>
      <vt:lpstr>ETCA-III-03</vt:lpstr>
      <vt:lpstr>ETCA III-04 </vt:lpstr>
      <vt:lpstr>ETCA-IV-01</vt:lpstr>
      <vt:lpstr>ETCA-IV-02</vt:lpstr>
      <vt:lpstr>ETCA-IV-05</vt:lpstr>
      <vt:lpstr>ANEXO</vt:lpstr>
      <vt:lpstr>'ETCA III-04 '!Área_de_impresión</vt:lpstr>
      <vt:lpstr>'ETCA-I-01'!Área_de_impresión</vt:lpstr>
      <vt:lpstr>'ETCA-I-02'!Área_de_impresión</vt:lpstr>
      <vt:lpstr>'ETCA-I-03'!Área_de_impresión</vt:lpstr>
      <vt:lpstr>'ETCA-I-04'!Área_de_impresión</vt:lpstr>
      <vt:lpstr>'ETCA-I-06'!Área_de_impresión</vt:lpstr>
      <vt:lpstr>'ETCA-I-07'!Área_de_impresión</vt:lpstr>
      <vt:lpstr>'ETCA-I-08'!Área_de_impresión</vt:lpstr>
      <vt:lpstr>'ETCA-I-09'!Área_de_impresión</vt:lpstr>
      <vt:lpstr>'ETCA-I-11'!Área_de_impresión</vt:lpstr>
      <vt:lpstr>'ETCA-I-12 (NOTAS)'!Área_de_impresión</vt:lpstr>
      <vt:lpstr>'ETCA-II-01'!Área_de_impresión</vt:lpstr>
      <vt:lpstr>'ETCA-II-02'!Área_de_impresión</vt:lpstr>
      <vt:lpstr>'ETCA-II-03'!Área_de_impresión</vt:lpstr>
      <vt:lpstr>'ETCA-II-06'!Área_de_impresión</vt:lpstr>
      <vt:lpstr>'ETCA-II-07'!Área_de_impresión</vt:lpstr>
      <vt:lpstr>'ETCA-II-08'!Área_de_impresión</vt:lpstr>
      <vt:lpstr>'ETCA-II-09'!Área_de_impresión</vt:lpstr>
      <vt:lpstr>'ETCA-II-10'!Área_de_impresión</vt:lpstr>
      <vt:lpstr>'ETCA-II-12'!Área_de_impresión</vt:lpstr>
      <vt:lpstr>'ETCA-II-13'!Área_de_impresión</vt:lpstr>
      <vt:lpstr>'ETCA-II-14'!Área_de_impresión</vt:lpstr>
      <vt:lpstr>'ETCA-II-15'!Área_de_impresión</vt:lpstr>
      <vt:lpstr>'ETCA-II-16'!Área_de_impresión</vt:lpstr>
      <vt:lpstr>'ETCA-II-17'!Área_de_impresión</vt:lpstr>
      <vt:lpstr>'ETCA-III-01'!Área_de_impresión</vt:lpstr>
      <vt:lpstr>'ETCA-III-03'!Área_de_impresión</vt:lpstr>
      <vt:lpstr>'ETCA-IV-01'!Área_de_impresión</vt:lpstr>
      <vt:lpstr>'ETCA-IV-02'!Área_de_impresión</vt:lpstr>
      <vt:lpstr>'ETCA-IV-05'!Área_de_impresión</vt:lpstr>
      <vt:lpstr>'ETCA-I-02'!Títulos_a_imprimir</vt:lpstr>
      <vt:lpstr>'ETCA-I-03'!Títulos_a_imprimir</vt:lpstr>
      <vt:lpstr>'ETCA-II-01'!Títulos_a_imprimir</vt:lpstr>
      <vt:lpstr>'ETCA-II-02'!Títulos_a_imprimir</vt:lpstr>
      <vt:lpstr>'ETCA-II-12'!Títulos_a_imprimir</vt:lpstr>
      <vt:lpstr>'ETCA-II-13'!Títulos_a_imprimir</vt:lpstr>
      <vt:lpstr>'ETCA-IV-02'!Títulos_a_imprimir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Administrador</cp:lastModifiedBy>
  <cp:revision/>
  <cp:lastPrinted>2017-10-16T20:48:46Z</cp:lastPrinted>
  <dcterms:created xsi:type="dcterms:W3CDTF">2014-03-28T01:13:38Z</dcterms:created>
  <dcterms:modified xsi:type="dcterms:W3CDTF">2017-10-20T18:29:57Z</dcterms:modified>
</cp:coreProperties>
</file>