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EVTOP-01" sheetId="1" r:id="rId1"/>
    <sheet name="ANEXO 01" sheetId="2" r:id="rId2"/>
    <sheet name="EVTOP-02" sheetId="3" r:id="rId3"/>
    <sheet name="N.P.O.P" sheetId="4" r:id="rId4"/>
  </sheets>
  <externalReferences>
    <externalReference r:id="rId7"/>
    <externalReference r:id="rId8"/>
  </externalReferences>
  <definedNames>
    <definedName name="_xlnm.Print_Area" localSheetId="1">'ANEXO 01'!$A$1:$F$31</definedName>
    <definedName name="_xlnm.Print_Area" localSheetId="0">'EVTOP-01'!$A$1:$I$63</definedName>
    <definedName name="_xlnm.Print_Area" localSheetId="2">'EVTOP-02'!$A$1:$I$108</definedName>
    <definedName name="_xlnm.Print_Titles" localSheetId="0">'EVTOP-01'!$1:$7</definedName>
  </definedNames>
  <calcPr fullCalcOnLoad="1"/>
</workbook>
</file>

<file path=xl/sharedStrings.xml><?xml version="1.0" encoding="utf-8"?>
<sst xmlns="http://schemas.openxmlformats.org/spreadsheetml/2006/main" count="246" uniqueCount="206">
  <si>
    <t>CONCEPTO</t>
  </si>
  <si>
    <t>ACUMULADO</t>
  </si>
  <si>
    <t>INGRESOS PROPIOS</t>
  </si>
  <si>
    <t>TOTAL</t>
  </si>
  <si>
    <t>INGRESOS :</t>
  </si>
  <si>
    <t>CAPITULO:</t>
  </si>
  <si>
    <t>OTROS INGRESOS</t>
  </si>
  <si>
    <t>MODIFICADO</t>
  </si>
  <si>
    <t>Y ENTIDADES DE LA ADMINISTRACION PUBLICA ESTATAL</t>
  </si>
  <si>
    <t>EVTOP-02</t>
  </si>
  <si>
    <t>CLAVE PARTIDA PRESUPUESTAL</t>
  </si>
  <si>
    <t>DESCRIPCION</t>
  </si>
  <si>
    <t>ASIGNACION ORIGINAL</t>
  </si>
  <si>
    <t>DISPONIBLE</t>
  </si>
  <si>
    <t>SEGUIMIENTO FINANCIERO DE INGRESOS Y EGRESOS, DE ORGANISMOS</t>
  </si>
  <si>
    <t>ANALITICO DE RECURSOS EJERCIDOS POR PARTIDA PRESUPUESTAL,</t>
  </si>
  <si>
    <t>ASIGNACION MODIFICADA</t>
  </si>
  <si>
    <t>EVTOP-01</t>
  </si>
  <si>
    <t>EJERCIDO EN EL TRIMESTRE</t>
  </si>
  <si>
    <t>Acumulado</t>
  </si>
  <si>
    <t>MONTO</t>
  </si>
  <si>
    <t xml:space="preserve">% </t>
  </si>
  <si>
    <t>N.P.O.P.</t>
  </si>
  <si>
    <t>INFORME SOBRE CREACION DE NUEVAS PLAZAS</t>
  </si>
  <si>
    <t>No. PLAZAS</t>
  </si>
  <si>
    <t>NV</t>
  </si>
  <si>
    <t>O.P.</t>
  </si>
  <si>
    <t>HR</t>
  </si>
  <si>
    <t>SUELDO MENSUAL (1101)</t>
  </si>
  <si>
    <t>QUINQ. (1301)</t>
  </si>
  <si>
    <t>TOTAL MENSUAL</t>
  </si>
  <si>
    <t>SERVICIOS ESPECIALES (1308)</t>
  </si>
  <si>
    <t>Información sobre autorización y justificación</t>
  </si>
  <si>
    <t>(Pesos)</t>
  </si>
  <si>
    <t>SISTEMA ESTATAL DE EVALUACION DEL DESEMPEÑO</t>
  </si>
  <si>
    <t>TOTAL DE INGRESOS</t>
  </si>
  <si>
    <t>Saldo inicial (Caja y Bancos)</t>
  </si>
  <si>
    <t>PROGRAMADO ORIGINAL</t>
  </si>
  <si>
    <t>TOTAL EJERCIDO</t>
  </si>
  <si>
    <t xml:space="preserve"> % AVANCE</t>
  </si>
  <si>
    <t xml:space="preserve">% AVANCE </t>
  </si>
  <si>
    <t>Variación: Ingreso - Gasto ($)</t>
  </si>
  <si>
    <t>2.- EGRESOS: (EXCLUSIVAMENTE SOBRE LOS INGRESOS PROPIOS)</t>
  </si>
  <si>
    <t>1.-EGRESOS: (GLOBAL)</t>
  </si>
  <si>
    <t>ENERO</t>
  </si>
  <si>
    <t>FEBRERO</t>
  </si>
  <si>
    <t>MARZO</t>
  </si>
  <si>
    <t>TOTAL TRIMESTRE</t>
  </si>
  <si>
    <t>FEDERALES</t>
  </si>
  <si>
    <t>ESTATALES</t>
  </si>
  <si>
    <t>FECHA</t>
  </si>
  <si>
    <t>No. CHEQUE</t>
  </si>
  <si>
    <t>IMPORTE</t>
  </si>
  <si>
    <t>EVTOP-01-01</t>
  </si>
  <si>
    <t>ORGANISMO: CONSEJO ESTATAL DE CONCERTACION PARA LA OBRA PUBLICA (CECOP)</t>
  </si>
  <si>
    <t>Sueldos</t>
  </si>
  <si>
    <t>Plan de Previsión Social</t>
  </si>
  <si>
    <t>Prima quinquenal personal Buroc.</t>
  </si>
  <si>
    <t>Prima vacacional</t>
  </si>
  <si>
    <t>Gratificación de fin de año</t>
  </si>
  <si>
    <t>Comps. Adic. por servicios especiales</t>
  </si>
  <si>
    <t>Estímulos personal de confianza</t>
  </si>
  <si>
    <t>Compensación por ajuste calendario</t>
  </si>
  <si>
    <t>Compensación por bono navideño</t>
  </si>
  <si>
    <t>Bono para despensa</t>
  </si>
  <si>
    <t>Cuotas por servicio médico</t>
  </si>
  <si>
    <t>Cuotas al FOVISSSTESON</t>
  </si>
  <si>
    <t>Cuotas por seguro de vida</t>
  </si>
  <si>
    <t>Cuotas por seguro de retiro</t>
  </si>
  <si>
    <t>Pagas de Def., Pens. y jubilaciones</t>
  </si>
  <si>
    <t>Asig. Présts. corto plazo</t>
  </si>
  <si>
    <t>Asigación préstamos prendarios</t>
  </si>
  <si>
    <t>Otras prestaciones de S. S.</t>
  </si>
  <si>
    <t>Otras prestaciones</t>
  </si>
  <si>
    <t>Previsión Incremento de sueldos</t>
  </si>
  <si>
    <t>Estudios e Investigaciones</t>
  </si>
  <si>
    <t>SERVICIOS PERSONALES</t>
  </si>
  <si>
    <t>Material de Oficina</t>
  </si>
  <si>
    <t>Material de Limpieza</t>
  </si>
  <si>
    <t>Materiales y Útiles de Impresión</t>
  </si>
  <si>
    <t>Mat.y Utiles p/el procesamiento de equipos y bienes informat.</t>
  </si>
  <si>
    <t>Materiales para información</t>
  </si>
  <si>
    <t>Productos alimenticios para el personal en las instalaciones</t>
  </si>
  <si>
    <t>Utensilios para el servicio de alimentacion</t>
  </si>
  <si>
    <t>Adquisicion de Agua Potable</t>
  </si>
  <si>
    <t>Refacciones, Accesorios y Herramientas Menores</t>
  </si>
  <si>
    <t>Placas, Engomados y Calcomanías</t>
  </si>
  <si>
    <t>Material Elèctrico y electrónico</t>
  </si>
  <si>
    <t>Combustibles</t>
  </si>
  <si>
    <t>Vestuario,Uniformes y Blancos</t>
  </si>
  <si>
    <t>MATERIALES Y SUMINISTROS</t>
  </si>
  <si>
    <t>Servicio Postal</t>
  </si>
  <si>
    <t>Servicio Telefónico</t>
  </si>
  <si>
    <t>Servicio de Energía Eléctrica</t>
  </si>
  <si>
    <t>Servicio de Agua Potable</t>
  </si>
  <si>
    <t>Arrendamiento de Inmuebles</t>
  </si>
  <si>
    <t>Arrend.de Muebles, Maq. Y Equipo</t>
  </si>
  <si>
    <t>Arrendamiento de Equipo de Transporte</t>
  </si>
  <si>
    <t>Asesoría y Capacitación</t>
  </si>
  <si>
    <t>Gastos Financieros</t>
  </si>
  <si>
    <t>Seguros y Fianzas</t>
  </si>
  <si>
    <t>Otros Impuestos y Derechos</t>
  </si>
  <si>
    <t>Servicio de Vigilancia</t>
  </si>
  <si>
    <t>Mnato. Y Conserv. De Mobiliario y Equipo</t>
  </si>
  <si>
    <t>Mantto.y Conserv.de Maquinaria y Equipo</t>
  </si>
  <si>
    <t>Mantto.y Conserv. De Inmuebles</t>
  </si>
  <si>
    <t>Serv.de Lavandería, Hig. Y Fumigación</t>
  </si>
  <si>
    <t>Mantto. Y conserv. De equipo de transporte</t>
  </si>
  <si>
    <t>Gastos de difusión imagen institucional</t>
  </si>
  <si>
    <t>Pasajes</t>
  </si>
  <si>
    <t>Viáticos</t>
  </si>
  <si>
    <t>Gastos ceremoniales y de orden social</t>
  </si>
  <si>
    <t>Suscripciones y Cuotas</t>
  </si>
  <si>
    <t>SERVICIOS GENERALES</t>
  </si>
  <si>
    <t>Mobiliario de Administración</t>
  </si>
  <si>
    <t>Equipo de Administración</t>
  </si>
  <si>
    <t>Equipo de Computación Electrónica</t>
  </si>
  <si>
    <t>Vehículos y equipo terrestre</t>
  </si>
  <si>
    <t>BIENES MUEBLES E INMUEBLES</t>
  </si>
  <si>
    <t>Previsión para programas especiales</t>
  </si>
  <si>
    <t>Erogaciones imprevistas</t>
  </si>
  <si>
    <t>EROGACIONES EXTRAORDINARIAS</t>
  </si>
  <si>
    <t>Estatal Directo</t>
  </si>
  <si>
    <t>Normal Convenido</t>
  </si>
  <si>
    <t>Programa de Infraestructura Social</t>
  </si>
  <si>
    <t>Gastos Indirectos de Obra Pública</t>
  </si>
  <si>
    <t>Mejoramiento de Edificios</t>
  </si>
  <si>
    <t>INVERS. EN INFR.P/EL DESARROLLO</t>
  </si>
  <si>
    <t>Estudios y Proyectos para el Desarrollo Económico</t>
  </si>
  <si>
    <t>INVERSIONES PRODUCTIVAS</t>
  </si>
  <si>
    <t>NOMBRE DEL ORGANISMO: CONSEJO ESTATAL DE CONCERTACION PARA LA OBRA PUBLICA</t>
  </si>
  <si>
    <t>SIN MOVIMIENTO</t>
  </si>
  <si>
    <t>ORGANISMO : CONSEJO ESTATAL DE CONCERTACION PARA LA OBRA PUBLICA</t>
  </si>
  <si>
    <t>LIC. RIGOBERTO VERDUGO ARBALLO</t>
  </si>
  <si>
    <t>_________________________________________</t>
  </si>
  <si>
    <t>Remuneraciones a Personal Eventual</t>
  </si>
  <si>
    <t>Becas de Educación Media y Superior</t>
  </si>
  <si>
    <t>Maquinaria y Equipo Electrónico</t>
  </si>
  <si>
    <t>Medicinas y Productos Farmaceúticos</t>
  </si>
  <si>
    <t>Servicios de Informática</t>
  </si>
  <si>
    <t>Instalaciones</t>
  </si>
  <si>
    <t>Compensacion a Personal Base</t>
  </si>
  <si>
    <t>Bono de Capacitación</t>
  </si>
  <si>
    <t>Bono de Transporte</t>
  </si>
  <si>
    <t>Lubricantes y Aditivos</t>
  </si>
  <si>
    <t>Impresión de documentos oficiales</t>
  </si>
  <si>
    <t>Bono por Riesgo Profesional</t>
  </si>
  <si>
    <t xml:space="preserve"> </t>
  </si>
  <si>
    <t>Indirectos Junta Estatal de PASOS</t>
  </si>
  <si>
    <t>Ayuda Habitación</t>
  </si>
  <si>
    <t>DIRECTOR GENERAL DE ADMINISTRACION Y FINANZAS</t>
  </si>
  <si>
    <t>DIRECTOR GENERAL DE ADMINISTRACION</t>
  </si>
  <si>
    <t>Y FINANZAS</t>
  </si>
  <si>
    <t>TRIMESTRE: SEGUNDO 2008</t>
  </si>
  <si>
    <t>ABRIL</t>
  </si>
  <si>
    <t>MAYO</t>
  </si>
  <si>
    <t>JUNIO</t>
  </si>
  <si>
    <t>Prima por Riesgo Profesional</t>
  </si>
  <si>
    <t>Indirectos Programa de Infraestructura Social</t>
  </si>
  <si>
    <t>TOTAL PRESUPUESTO 2008</t>
  </si>
  <si>
    <t>JULIO</t>
  </si>
  <si>
    <t>AGOSTO</t>
  </si>
  <si>
    <t>SEPTIEMBRE</t>
  </si>
  <si>
    <t>TERCER TRIMESTRE DE 2008</t>
  </si>
  <si>
    <t>TRIMESTRE : TERCERO 2008</t>
  </si>
  <si>
    <t>Aportación para la obra pública concertada  y gastos de operación para el mes de abril  del 2008</t>
  </si>
  <si>
    <t>Aportación para la obra pública concertada  y gastos de operación para el mes de mayo  del 2008</t>
  </si>
  <si>
    <t>Aportación para la obra pública concertada  y gastos de operación para el mes de junio  del 2008</t>
  </si>
  <si>
    <t>Aportación para la obra pública concertada  y gastos de operación para el mes de julio  del 2008</t>
  </si>
  <si>
    <t>Aportación para la obra pública concertada  y gastos de operación para el mes de agosto  del 2008</t>
  </si>
  <si>
    <t>Aportación para la obra pública concertada para el mes de junio  del 2008</t>
  </si>
  <si>
    <t>Aportación para la obra pública concertada para el mes de julio  del 2008</t>
  </si>
  <si>
    <t>Aportación para la obra pública concertada para el mes de agosto  del 2008</t>
  </si>
  <si>
    <t>Recursos autorizados para el ejecución de la obra pública según oficio de aut. SH-ED-08-205</t>
  </si>
  <si>
    <t>Recursos autorizados para el ejecución de la obra pública según oficio de aut. SH-ED-08-218</t>
  </si>
  <si>
    <t>Recursos autorizados para el ejecución de la obra pública según oficio de aut. SH-ED-08-228</t>
  </si>
  <si>
    <t>Recursos autorizados para el ejecución de la obra pública según oficio de aut. SH-ED-08-269</t>
  </si>
  <si>
    <t>Subsidio para pago de nómina prima vacacional 1 - 15 julio 2008</t>
  </si>
  <si>
    <t>Subsidio para pago personal temporal de nomina prima vacacional 1 - 15 julio 2008</t>
  </si>
  <si>
    <t>subsidio para pago de aportaciones y deduciones de nómina prima vacacional 1 - 15 julio 2008</t>
  </si>
  <si>
    <t>subsidio para pago de nómina quincenal del 1 - 15 julio 2008</t>
  </si>
  <si>
    <t>subsidio para pago a personal temporal de nómina quincenal  del 1- 15 de julio 2008</t>
  </si>
  <si>
    <t>aportación para gastosde operación del es de julio</t>
  </si>
  <si>
    <t>Subsidio para pago de aportaciones y deducciones nomina quincenal 1-15 julio 2008</t>
  </si>
  <si>
    <t>Subsidio para pago de nómina mensula 1 - 31 julio 2008</t>
  </si>
  <si>
    <t>Subsidio para pago de nómina quinceal 16-31 julio 2008</t>
  </si>
  <si>
    <t>Subsidi para pago a personal temporal de nómina quincenal del 16 - 31 julio de 2008</t>
  </si>
  <si>
    <t>Subsidio para pago de aportaciones y deducciones de nómina quincenal del 16 al 31 julio 2008</t>
  </si>
  <si>
    <t>Aportación para gastos de operación para el mes de agosto</t>
  </si>
  <si>
    <t>Subsidio para pago de nómina quincenal 1 - 15 agosto 2008</t>
  </si>
  <si>
    <t>Subsidio para pago a personal temporal de nómina quincenal 1 - 15 agosto 2008</t>
  </si>
  <si>
    <t>Subsidio para pago de aportaciones y deducciones de nómina quincenal del 1 - 15 agosto 2008</t>
  </si>
  <si>
    <t>Subsidio para pago a personal temporal de nómina, finiquito 1 - 15 agosto 2008</t>
  </si>
  <si>
    <t>Subsidio para pago de nómina mensual del 1 al 31 agosto del 2008</t>
  </si>
  <si>
    <t>Subsidio para pago de nómina quincenal del 16 al 31 agosto del 2008</t>
  </si>
  <si>
    <t>Subsidio para pago a personal temporal de nómina quincenal del 16 al 31 de agosto del 2008</t>
  </si>
  <si>
    <t>Subsidio para pago de aportaciones y deducciones de nómina quincenal del 16 al 31 de agosto del 2008</t>
  </si>
  <si>
    <t>Subsidio para pago de nómina quincenal del 1 al 15 de septiembre del 2008</t>
  </si>
  <si>
    <t>Subsidio para pago a personal temporal de nómina quincenal del 01 al 15 septiembre del 2008</t>
  </si>
  <si>
    <t>Aportación para gastos de operación para el mes de septiembre del 2008</t>
  </si>
  <si>
    <t>Subsidio para pago de aportaciones y deducciones de nómina quincenal del 1 al 15 sept. 2008</t>
  </si>
  <si>
    <t>Subsidio para pago de nómina mensual del 1 al 30 sept del 2008</t>
  </si>
  <si>
    <t>Subsidio para pago de nómina quinceal del 16 al 30 septiembre del 2008</t>
  </si>
  <si>
    <t>Subsidio para pago a personal temporal de nómina quincenal del 16 al 30 sept. 2008</t>
  </si>
  <si>
    <t>Subsidio para pago de aportaciones y deducciones de nómina quincenal del 16 al 30 de septiembre del 2008</t>
  </si>
  <si>
    <t>RECURSOS ESTATALES RECIBIDOS DURANTE EL TERCER TRIMESTRE 2008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</si>
</sst>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d&quot; de &quot;mmmm&quot; de &quot;yyyy;@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0" fillId="2" borderId="25" xfId="0" applyFont="1" applyFill="1" applyBorder="1" applyAlignment="1">
      <alignment/>
    </xf>
    <xf numFmtId="0" fontId="1" fillId="0" borderId="26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1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right" wrapText="1"/>
    </xf>
    <xf numFmtId="0" fontId="8" fillId="0" borderId="25" xfId="0" applyFont="1" applyBorder="1" applyAlignment="1">
      <alignment horizontal="right"/>
    </xf>
    <xf numFmtId="3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2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4" fontId="0" fillId="0" borderId="28" xfId="17" applyNumberFormat="1" applyFont="1" applyBorder="1" applyAlignment="1">
      <alignment/>
    </xf>
    <xf numFmtId="4" fontId="0" fillId="0" borderId="25" xfId="17" applyNumberFormat="1" applyFont="1" applyBorder="1" applyAlignment="1">
      <alignment/>
    </xf>
    <xf numFmtId="3" fontId="1" fillId="0" borderId="25" xfId="0" applyNumberFormat="1" applyFont="1" applyBorder="1" applyAlignment="1">
      <alignment vertical="center"/>
    </xf>
    <xf numFmtId="4" fontId="0" fillId="0" borderId="25" xfId="0" applyNumberFormat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11" xfId="0" applyFont="1" applyBorder="1" applyAlignment="1">
      <alignment horizontal="centerContinuous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8" fillId="2" borderId="2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vertical="center"/>
    </xf>
    <xf numFmtId="3" fontId="8" fillId="2" borderId="25" xfId="0" applyNumberFormat="1" applyFont="1" applyFill="1" applyBorder="1" applyAlignment="1">
      <alignment vertical="center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vertical="center"/>
    </xf>
    <xf numFmtId="0" fontId="2" fillId="0" borderId="6" xfId="0" applyFont="1" applyBorder="1" applyAlignment="1">
      <alignment/>
    </xf>
    <xf numFmtId="4" fontId="1" fillId="0" borderId="29" xfId="0" applyNumberFormat="1" applyFont="1" applyFill="1" applyBorder="1" applyAlignment="1">
      <alignment horizontal="right" vertical="center"/>
    </xf>
    <xf numFmtId="4" fontId="1" fillId="0" borderId="29" xfId="0" applyNumberFormat="1" applyFont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4" fontId="0" fillId="0" borderId="31" xfId="0" applyNumberFormat="1" applyBorder="1" applyAlignment="1">
      <alignment/>
    </xf>
    <xf numFmtId="10" fontId="0" fillId="0" borderId="25" xfId="0" applyNumberFormat="1" applyFont="1" applyBorder="1" applyAlignment="1">
      <alignment vertical="center"/>
    </xf>
    <xf numFmtId="4" fontId="2" fillId="2" borderId="25" xfId="0" applyNumberFormat="1" applyFont="1" applyFill="1" applyBorder="1" applyAlignment="1">
      <alignment vertical="center"/>
    </xf>
    <xf numFmtId="10" fontId="2" fillId="2" borderId="25" xfId="0" applyNumberFormat="1" applyFont="1" applyFill="1" applyBorder="1" applyAlignment="1">
      <alignment vertical="center"/>
    </xf>
    <xf numFmtId="10" fontId="0" fillId="0" borderId="25" xfId="0" applyNumberFormat="1" applyFont="1" applyBorder="1" applyAlignment="1">
      <alignment vertical="center"/>
    </xf>
    <xf numFmtId="10" fontId="0" fillId="2" borderId="25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" fillId="2" borderId="31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4" fontId="2" fillId="3" borderId="25" xfId="17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27" xfId="0" applyNumberFormat="1" applyFill="1" applyBorder="1" applyAlignment="1">
      <alignment/>
    </xf>
    <xf numFmtId="4" fontId="2" fillId="2" borderId="40" xfId="17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4" borderId="25" xfId="0" applyNumberFormat="1" applyFont="1" applyFill="1" applyBorder="1" applyAlignment="1">
      <alignment/>
    </xf>
    <xf numFmtId="173" fontId="0" fillId="0" borderId="25" xfId="0" applyNumberFormat="1" applyBorder="1" applyAlignment="1">
      <alignment/>
    </xf>
    <xf numFmtId="4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8" fillId="2" borderId="31" xfId="0" applyNumberFormat="1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0" fontId="2" fillId="2" borderId="25" xfId="0" applyNumberFormat="1" applyFont="1" applyFill="1" applyBorder="1" applyAlignment="1">
      <alignment vertical="center"/>
    </xf>
    <xf numFmtId="10" fontId="2" fillId="2" borderId="31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4" fontId="11" fillId="0" borderId="0" xfId="0" applyNumberFormat="1" applyFont="1" applyAlignment="1">
      <alignment/>
    </xf>
    <xf numFmtId="4" fontId="2" fillId="3" borderId="25" xfId="0" applyNumberFormat="1" applyFont="1" applyFill="1" applyBorder="1" applyAlignment="1">
      <alignment vertical="center"/>
    </xf>
    <xf numFmtId="4" fontId="2" fillId="3" borderId="31" xfId="0" applyNumberFormat="1" applyFont="1" applyFill="1" applyBorder="1" applyAlignment="1">
      <alignment vertical="center"/>
    </xf>
    <xf numFmtId="10" fontId="1" fillId="0" borderId="28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4" fontId="0" fillId="0" borderId="26" xfId="0" applyNumberFormat="1" applyBorder="1" applyAlignment="1">
      <alignment/>
    </xf>
    <xf numFmtId="4" fontId="0" fillId="0" borderId="25" xfId="0" applyNumberFormat="1" applyBorder="1" applyAlignment="1">
      <alignment vertical="center"/>
    </xf>
    <xf numFmtId="4" fontId="0" fillId="4" borderId="26" xfId="0" applyNumberFormat="1" applyFont="1" applyFill="1" applyBorder="1" applyAlignment="1">
      <alignment/>
    </xf>
    <xf numFmtId="0" fontId="0" fillId="4" borderId="35" xfId="0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 wrapText="1"/>
    </xf>
    <xf numFmtId="4" fontId="0" fillId="4" borderId="25" xfId="0" applyNumberFormat="1" applyFill="1" applyBorder="1" applyAlignment="1">
      <alignment/>
    </xf>
    <xf numFmtId="4" fontId="0" fillId="4" borderId="25" xfId="0" applyNumberFormat="1" applyFont="1" applyFill="1" applyBorder="1" applyAlignment="1">
      <alignment vertical="center"/>
    </xf>
    <xf numFmtId="10" fontId="0" fillId="4" borderId="25" xfId="0" applyNumberFormat="1" applyFont="1" applyFill="1" applyBorder="1" applyAlignment="1">
      <alignment vertical="center"/>
    </xf>
    <xf numFmtId="4" fontId="0" fillId="4" borderId="25" xfId="0" applyNumberFormat="1" applyFon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Continuous"/>
    </xf>
    <xf numFmtId="173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4" fontId="4" fillId="0" borderId="25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 wrapText="1"/>
    </xf>
    <xf numFmtId="0" fontId="8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104</xdr:row>
      <xdr:rowOff>66675</xdr:rowOff>
    </xdr:from>
    <xdr:ext cx="2333625" cy="476250"/>
    <xdr:sp>
      <xdr:nvSpPr>
        <xdr:cNvPr id="1" name="TextBox 3"/>
        <xdr:cNvSpPr txBox="1">
          <a:spLocks noChangeArrowheads="1"/>
        </xdr:cNvSpPr>
      </xdr:nvSpPr>
      <xdr:spPr>
        <a:xfrm>
          <a:off x="6000750" y="20526375"/>
          <a:ext cx="2333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LIC. RIGOBERTO VERDUGO ARBALLO 
DIRECTOR GENERAL DE ADMINISTRACION Y FINANZAS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IGO%202004\CECOP%20ADMINISTRACION\PRESUPUESTO%202008\EVALUACIONES%202008\EVALUACIONES%202008\SEGUNDO%20TRIMESTRE%202008\FORMATOS%20TRIMESTRALES%20(2DO.%2020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IGO%202004\CECOP%20ADMINISTRACION\PRESUPUESTO%202008\ANTEPROYECTO%20PPTO%202008\SEGUIMIENTO%20DEL%20GASTO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ANEXO 01"/>
      <sheetName val="EVTOP-02"/>
      <sheetName val="N.P.O.P"/>
    </sheetNames>
    <sheetDataSet>
      <sheetData sheetId="0">
        <row r="14">
          <cell r="H14">
            <v>82080351.72</v>
          </cell>
        </row>
        <row r="16">
          <cell r="H16">
            <v>6769325.88</v>
          </cell>
        </row>
        <row r="24">
          <cell r="H24">
            <v>6410660.76</v>
          </cell>
        </row>
        <row r="25">
          <cell r="H25">
            <v>667799.63</v>
          </cell>
        </row>
        <row r="26">
          <cell r="H26">
            <v>1941893.94</v>
          </cell>
        </row>
        <row r="27">
          <cell r="H27">
            <v>0</v>
          </cell>
        </row>
        <row r="28">
          <cell r="H28">
            <v>75205.01000000001</v>
          </cell>
        </row>
        <row r="29">
          <cell r="H29">
            <v>63329971.31999999</v>
          </cell>
        </row>
        <row r="30">
          <cell r="H30">
            <v>2835667.32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 PLAN QUINCENAL 2008"/>
      <sheetName val="ISSSTESON"/>
      <sheetName val="CONCENTRADO"/>
      <sheetName val="CONCENTRADO PPTO 2008"/>
      <sheetName val="SIN PLAN MENSUAL 2008"/>
      <sheetName val="POA 2008"/>
      <sheetName val="EJERCICIO AGO 2007"/>
      <sheetName val="SEGUIMIENTO DEL GASTO ENERO2008"/>
    </sheetNames>
    <sheetDataSet>
      <sheetData sheetId="7">
        <row r="7">
          <cell r="M7">
            <v>311666.18</v>
          </cell>
          <cell r="N7">
            <v>319122.29</v>
          </cell>
          <cell r="O7">
            <v>351170.46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workbookViewId="0" topLeftCell="A1">
      <selection activeCell="G9" sqref="G9"/>
    </sheetView>
  </sheetViews>
  <sheetFormatPr defaultColWidth="11.421875" defaultRowHeight="12.75"/>
  <cols>
    <col min="1" max="1" width="17.7109375" style="0" customWidth="1"/>
    <col min="2" max="8" width="14.7109375" style="0" customWidth="1"/>
    <col min="9" max="9" width="8.28125" style="0" customWidth="1"/>
  </cols>
  <sheetData>
    <row r="1" ht="12.75">
      <c r="I1" s="7" t="s">
        <v>17</v>
      </c>
    </row>
    <row r="2" spans="1:9" ht="12.75">
      <c r="A2" s="193" t="s">
        <v>34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193" t="s">
        <v>14</v>
      </c>
      <c r="B3" s="193"/>
      <c r="C3" s="193"/>
      <c r="D3" s="193"/>
      <c r="E3" s="193"/>
      <c r="F3" s="193"/>
      <c r="G3" s="193"/>
      <c r="H3" s="193"/>
      <c r="I3" s="193"/>
    </row>
    <row r="4" spans="1:9" ht="12.75">
      <c r="A4" s="193" t="s">
        <v>8</v>
      </c>
      <c r="B4" s="193"/>
      <c r="C4" s="193"/>
      <c r="D4" s="193"/>
      <c r="E4" s="193"/>
      <c r="F4" s="193"/>
      <c r="G4" s="193"/>
      <c r="H4" s="193"/>
      <c r="I4" s="193"/>
    </row>
    <row r="5" spans="1:9" ht="9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ht="15.75" customHeight="1" thickBot="1">
      <c r="A6" s="1"/>
      <c r="G6" s="192" t="s">
        <v>153</v>
      </c>
      <c r="H6" s="192"/>
      <c r="I6" s="192"/>
    </row>
    <row r="7" spans="1:9" ht="14.25" thickBot="1" thickTop="1">
      <c r="A7" s="194" t="s">
        <v>54</v>
      </c>
      <c r="B7" s="180"/>
      <c r="C7" s="180"/>
      <c r="D7" s="180"/>
      <c r="E7" s="180"/>
      <c r="F7" s="180"/>
      <c r="G7" s="180"/>
      <c r="H7" s="180"/>
      <c r="I7" s="181"/>
    </row>
    <row r="8" ht="15.75" customHeight="1" thickTop="1"/>
    <row r="9" spans="1:8" ht="12.75">
      <c r="A9" s="2" t="s">
        <v>4</v>
      </c>
      <c r="F9" s="39" t="s">
        <v>33</v>
      </c>
      <c r="G9" s="39"/>
      <c r="H9" s="1"/>
    </row>
    <row r="10" spans="1:9" ht="12.75">
      <c r="A10" s="187" t="s">
        <v>0</v>
      </c>
      <c r="B10" s="189" t="s">
        <v>37</v>
      </c>
      <c r="C10" s="187" t="s">
        <v>7</v>
      </c>
      <c r="D10" s="46" t="s">
        <v>35</v>
      </c>
      <c r="E10" s="47"/>
      <c r="F10" s="48"/>
      <c r="G10" s="48"/>
      <c r="H10" s="49"/>
      <c r="I10" s="187" t="s">
        <v>39</v>
      </c>
    </row>
    <row r="11" spans="1:9" ht="12.75">
      <c r="A11" s="191"/>
      <c r="B11" s="190"/>
      <c r="C11" s="191"/>
      <c r="D11" s="50" t="s">
        <v>160</v>
      </c>
      <c r="E11" s="50" t="s">
        <v>161</v>
      </c>
      <c r="F11" s="51" t="s">
        <v>162</v>
      </c>
      <c r="G11" s="114" t="s">
        <v>47</v>
      </c>
      <c r="H11" s="51" t="s">
        <v>1</v>
      </c>
      <c r="I11" s="191"/>
    </row>
    <row r="12" spans="1:9" ht="26.25" customHeight="1">
      <c r="A12" s="72" t="s">
        <v>36</v>
      </c>
      <c r="B12" s="52"/>
      <c r="C12" s="53"/>
      <c r="D12" s="80">
        <f>5000+21245396.07</f>
        <v>21250396.07</v>
      </c>
      <c r="E12" s="80">
        <f>5000+23670835.25</f>
        <v>23675835.25</v>
      </c>
      <c r="F12" s="111">
        <f>5000+21186426.1</f>
        <v>21191426.1</v>
      </c>
      <c r="G12" s="116">
        <f>SUM(D12:F12)</f>
        <v>66117657.42</v>
      </c>
      <c r="H12" s="113"/>
      <c r="I12" s="162"/>
    </row>
    <row r="13" spans="1:10" ht="16.5" customHeight="1">
      <c r="A13" s="54" t="s">
        <v>48</v>
      </c>
      <c r="B13" s="78">
        <v>0</v>
      </c>
      <c r="C13" s="78">
        <v>0</v>
      </c>
      <c r="D13" s="78">
        <v>0</v>
      </c>
      <c r="E13" s="78">
        <v>0</v>
      </c>
      <c r="F13" s="112">
        <v>0</v>
      </c>
      <c r="G13" s="78">
        <f>SUM(D13:F13)</f>
        <v>0</v>
      </c>
      <c r="H13" s="145">
        <f>G13</f>
        <v>0</v>
      </c>
      <c r="I13" s="55"/>
      <c r="J13" s="64"/>
    </row>
    <row r="14" spans="1:10" ht="16.5" customHeight="1">
      <c r="A14" s="56" t="s">
        <v>49</v>
      </c>
      <c r="B14" s="78">
        <v>199847176</v>
      </c>
      <c r="C14" s="78">
        <f>C34</f>
        <v>210508035</v>
      </c>
      <c r="D14" s="78">
        <f>11776751.4+636736</f>
        <v>12413487.4</v>
      </c>
      <c r="E14" s="78">
        <v>22197898.91</v>
      </c>
      <c r="F14" s="112">
        <f>26712245.98+844487</f>
        <v>27556732.98</v>
      </c>
      <c r="G14" s="78">
        <f>SUM(D14:F14)</f>
        <v>62168119.29000001</v>
      </c>
      <c r="H14" s="145">
        <f>G14+'[1]EVTOP-01'!$H$14</f>
        <v>144248471.01</v>
      </c>
      <c r="I14" s="82">
        <f>H14/B14</f>
        <v>0.721793892198907</v>
      </c>
      <c r="J14" s="64"/>
    </row>
    <row r="15" spans="1:10" ht="16.5" customHeight="1">
      <c r="A15" s="55" t="s">
        <v>2</v>
      </c>
      <c r="B15" s="145"/>
      <c r="C15" s="78"/>
      <c r="D15" s="78"/>
      <c r="E15" s="78"/>
      <c r="F15" s="112">
        <v>0</v>
      </c>
      <c r="G15" s="78">
        <f>SUM(D15:F15)</f>
        <v>0</v>
      </c>
      <c r="H15" s="145">
        <f>G15</f>
        <v>0</v>
      </c>
      <c r="I15" s="82"/>
      <c r="J15" s="64"/>
    </row>
    <row r="16" spans="1:9" ht="16.5" customHeight="1">
      <c r="A16" s="57" t="s">
        <v>6</v>
      </c>
      <c r="B16" s="79"/>
      <c r="C16" s="79"/>
      <c r="D16" s="79">
        <f>156470.1+987768.11</f>
        <v>1144238.21</v>
      </c>
      <c r="E16" s="115">
        <f>120025.73+107609.14+1011647.75</f>
        <v>1239282.62</v>
      </c>
      <c r="F16" s="115">
        <f>137987.32+1011877.39</f>
        <v>1149864.71</v>
      </c>
      <c r="G16" s="79">
        <f>SUM(D16:F16)</f>
        <v>3533385.54</v>
      </c>
      <c r="H16" s="146">
        <f>G16+'[1]EVTOP-01'!$H$16</f>
        <v>10302711.42</v>
      </c>
      <c r="I16" s="160"/>
    </row>
    <row r="17" spans="1:9" ht="8.25" customHeight="1">
      <c r="A17" s="59"/>
      <c r="B17" s="147"/>
      <c r="C17" s="147"/>
      <c r="D17" s="147"/>
      <c r="E17" s="147"/>
      <c r="F17" s="147"/>
      <c r="G17" s="147"/>
      <c r="H17" s="147"/>
      <c r="I17" s="59"/>
    </row>
    <row r="18" spans="1:9" ht="12.75">
      <c r="A18" s="43" t="s">
        <v>3</v>
      </c>
      <c r="B18" s="81">
        <f>SUM(B13:B16)</f>
        <v>199847176</v>
      </c>
      <c r="C18" s="81">
        <f>SUM(C13:C16)</f>
        <v>210508035</v>
      </c>
      <c r="D18" s="81">
        <f>SUM(D12:D16)</f>
        <v>34808121.68</v>
      </c>
      <c r="E18" s="81">
        <f>SUM(E12:E16)</f>
        <v>47113016.779999994</v>
      </c>
      <c r="F18" s="81">
        <f>SUM(F12:F16)</f>
        <v>49898023.79</v>
      </c>
      <c r="G18" s="81">
        <f>SUM(G12:G16)</f>
        <v>131819162.25000001</v>
      </c>
      <c r="H18" s="81">
        <f>SUM(H13:H16)</f>
        <v>154551182.42999998</v>
      </c>
      <c r="I18" s="44"/>
    </row>
    <row r="19" spans="1:9" ht="12" customHeight="1">
      <c r="A19" s="42"/>
      <c r="B19" s="42"/>
      <c r="C19" s="42"/>
      <c r="D19" s="157"/>
      <c r="E19" s="157"/>
      <c r="F19" s="157"/>
      <c r="G19" s="157"/>
      <c r="H19" s="42"/>
      <c r="I19" s="42"/>
    </row>
    <row r="20" spans="1:9" ht="12.75">
      <c r="A20" s="2" t="s">
        <v>43</v>
      </c>
      <c r="B20" s="42"/>
      <c r="C20" s="42"/>
      <c r="D20" s="42"/>
      <c r="E20" s="42"/>
      <c r="F20" s="42" t="s">
        <v>33</v>
      </c>
      <c r="G20" s="42"/>
      <c r="H20" s="42"/>
      <c r="I20" s="42"/>
    </row>
    <row r="21" spans="1:9" ht="12.75">
      <c r="A21" s="187" t="s">
        <v>0</v>
      </c>
      <c r="B21" s="189" t="s">
        <v>37</v>
      </c>
      <c r="C21" s="187" t="s">
        <v>7</v>
      </c>
      <c r="D21" s="46" t="s">
        <v>38</v>
      </c>
      <c r="E21" s="47"/>
      <c r="F21" s="48"/>
      <c r="G21" s="48"/>
      <c r="H21" s="49"/>
      <c r="I21" s="187" t="s">
        <v>40</v>
      </c>
    </row>
    <row r="22" spans="1:9" ht="12.75">
      <c r="A22" s="188"/>
      <c r="B22" s="190"/>
      <c r="C22" s="191"/>
      <c r="D22" s="50" t="str">
        <f>D11</f>
        <v>JULIO</v>
      </c>
      <c r="E22" s="50" t="str">
        <f>E11</f>
        <v>AGOSTO</v>
      </c>
      <c r="F22" s="50" t="str">
        <f>F11</f>
        <v>SEPTIEMBRE</v>
      </c>
      <c r="G22" s="51" t="s">
        <v>47</v>
      </c>
      <c r="H22" s="51" t="s">
        <v>1</v>
      </c>
      <c r="I22" s="191"/>
    </row>
    <row r="23" spans="1:9" ht="16.5" customHeight="1">
      <c r="A23" s="60" t="s">
        <v>5</v>
      </c>
      <c r="B23" s="60"/>
      <c r="C23" s="60"/>
      <c r="D23" s="60"/>
      <c r="E23" s="60"/>
      <c r="F23" s="60"/>
      <c r="G23" s="60"/>
      <c r="H23" s="60"/>
      <c r="I23" s="60"/>
    </row>
    <row r="24" spans="1:9" ht="16.5" customHeight="1">
      <c r="A24" s="55">
        <v>1000</v>
      </c>
      <c r="B24" s="78">
        <v>15608918</v>
      </c>
      <c r="C24" s="78">
        <v>15608918</v>
      </c>
      <c r="D24" s="78">
        <v>1065561.6</v>
      </c>
      <c r="E24" s="78">
        <v>1085761.08</v>
      </c>
      <c r="F24" s="78">
        <v>1101287.2</v>
      </c>
      <c r="G24" s="78">
        <f aca="true" t="shared" si="0" ref="G24:G31">SUM(D24:F24)</f>
        <v>3252609.88</v>
      </c>
      <c r="H24" s="78">
        <f>G24+'[1]EVTOP-01'!$H$24</f>
        <v>9663270.64</v>
      </c>
      <c r="I24" s="82">
        <f>H24/B24</f>
        <v>0.6190865145168936</v>
      </c>
    </row>
    <row r="25" spans="1:9" ht="16.5" customHeight="1">
      <c r="A25" s="55">
        <v>2000</v>
      </c>
      <c r="B25" s="78">
        <v>1274000</v>
      </c>
      <c r="C25" s="78">
        <v>1274000</v>
      </c>
      <c r="D25" s="78">
        <v>95239.33</v>
      </c>
      <c r="E25" s="78">
        <v>134261.33</v>
      </c>
      <c r="F25" s="78">
        <v>174222.04</v>
      </c>
      <c r="G25" s="78">
        <f t="shared" si="0"/>
        <v>403722.69999999995</v>
      </c>
      <c r="H25" s="78">
        <f>G25+'[1]EVTOP-01'!$H$25</f>
        <v>1071522.33</v>
      </c>
      <c r="I25" s="82">
        <f aca="true" t="shared" si="1" ref="I25:I30">H25/B25</f>
        <v>0.8410693328100471</v>
      </c>
    </row>
    <row r="26" spans="1:9" ht="16.5" customHeight="1">
      <c r="A26" s="55">
        <v>3000</v>
      </c>
      <c r="B26" s="78">
        <v>4258525</v>
      </c>
      <c r="C26" s="78">
        <v>4258525</v>
      </c>
      <c r="D26" s="78">
        <v>652343.07</v>
      </c>
      <c r="E26" s="78">
        <v>714176.71</v>
      </c>
      <c r="F26" s="78">
        <v>385064.59</v>
      </c>
      <c r="G26" s="78">
        <f t="shared" si="0"/>
        <v>1751584.3699999999</v>
      </c>
      <c r="H26" s="78">
        <f>G26+'[1]EVTOP-01'!$H$26</f>
        <v>3693478.3099999996</v>
      </c>
      <c r="I26" s="82">
        <f t="shared" si="1"/>
        <v>0.8673139901726535</v>
      </c>
    </row>
    <row r="27" spans="1:9" ht="16.5" customHeight="1">
      <c r="A27" s="55">
        <v>4000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f t="shared" si="0"/>
        <v>0</v>
      </c>
      <c r="H27" s="78">
        <f>G27+'[1]EVTOP-01'!$H$27</f>
        <v>0</v>
      </c>
      <c r="I27" s="82"/>
    </row>
    <row r="28" spans="1:9" ht="16.5" customHeight="1">
      <c r="A28" s="55">
        <v>5000</v>
      </c>
      <c r="B28" s="78">
        <v>600000</v>
      </c>
      <c r="C28" s="78">
        <v>600000</v>
      </c>
      <c r="D28" s="78">
        <v>457111.05</v>
      </c>
      <c r="E28" s="78">
        <v>38672.1</v>
      </c>
      <c r="F28" s="78">
        <v>18651.85</v>
      </c>
      <c r="G28" s="78">
        <f t="shared" si="0"/>
        <v>514434.99999999994</v>
      </c>
      <c r="H28" s="78">
        <f>G28+'[1]EVTOP-01'!$H$28</f>
        <v>589640.01</v>
      </c>
      <c r="I28" s="82">
        <f t="shared" si="1"/>
        <v>0.9827333500000001</v>
      </c>
    </row>
    <row r="29" spans="1:9" ht="16.5" customHeight="1">
      <c r="A29" s="55">
        <v>6000</v>
      </c>
      <c r="B29" s="78">
        <v>172105733</v>
      </c>
      <c r="C29" s="78">
        <v>182766592</v>
      </c>
      <c r="D29" s="78">
        <v>8254977.19</v>
      </c>
      <c r="E29" s="78">
        <v>23864426.25</v>
      </c>
      <c r="F29" s="78">
        <v>17710845.92</v>
      </c>
      <c r="G29" s="78">
        <f t="shared" si="0"/>
        <v>49830249.36</v>
      </c>
      <c r="H29" s="78">
        <f>G29+'[1]EVTOP-01'!$H$29</f>
        <v>113160220.67999999</v>
      </c>
      <c r="I29" s="82">
        <f t="shared" si="1"/>
        <v>0.6575040744284794</v>
      </c>
    </row>
    <row r="30" spans="1:9" ht="16.5" customHeight="1">
      <c r="A30" s="55">
        <v>7000</v>
      </c>
      <c r="B30" s="78">
        <v>6000000</v>
      </c>
      <c r="C30" s="78">
        <v>6000000</v>
      </c>
      <c r="D30" s="78">
        <v>491414.19</v>
      </c>
      <c r="E30" s="78">
        <v>419758.64</v>
      </c>
      <c r="F30" s="78">
        <v>754077.02</v>
      </c>
      <c r="G30" s="78">
        <f t="shared" si="0"/>
        <v>1665249.85</v>
      </c>
      <c r="H30" s="78">
        <f>G30+'[1]EVTOP-01'!$H$30</f>
        <v>4500917.17</v>
      </c>
      <c r="I30" s="82">
        <f t="shared" si="1"/>
        <v>0.7501528616666666</v>
      </c>
    </row>
    <row r="31" spans="1:9" ht="16.5" customHeight="1">
      <c r="A31" s="55">
        <v>8000</v>
      </c>
      <c r="B31" s="78"/>
      <c r="C31" s="78"/>
      <c r="D31" s="78">
        <v>0</v>
      </c>
      <c r="E31" s="78">
        <v>0</v>
      </c>
      <c r="F31" s="78">
        <v>0</v>
      </c>
      <c r="G31" s="78">
        <f t="shared" si="0"/>
        <v>0</v>
      </c>
      <c r="H31" s="78">
        <f>G31</f>
        <v>0</v>
      </c>
      <c r="I31" s="82"/>
    </row>
    <row r="32" spans="1:9" ht="16.5" customHeight="1">
      <c r="A32" s="58">
        <v>9000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160">
        <v>0</v>
      </c>
    </row>
    <row r="33" spans="1:9" ht="9" customHeight="1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43" t="s">
        <v>3</v>
      </c>
      <c r="B34" s="81">
        <f aca="true" t="shared" si="2" ref="B34:H34">SUM(B24:B32)</f>
        <v>199847176</v>
      </c>
      <c r="C34" s="81">
        <f t="shared" si="2"/>
        <v>210508035</v>
      </c>
      <c r="D34" s="81">
        <f t="shared" si="2"/>
        <v>11016646.43</v>
      </c>
      <c r="E34" s="81">
        <f t="shared" si="2"/>
        <v>26257056.11</v>
      </c>
      <c r="F34" s="81">
        <f t="shared" si="2"/>
        <v>20144148.62</v>
      </c>
      <c r="G34" s="81">
        <f t="shared" si="2"/>
        <v>57417851.160000004</v>
      </c>
      <c r="H34" s="81">
        <f t="shared" si="2"/>
        <v>132679049.14</v>
      </c>
      <c r="I34" s="161">
        <f>H34/B34</f>
        <v>0.6639025469141481</v>
      </c>
    </row>
    <row r="35" spans="1:9" ht="10.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2.75">
      <c r="A36" s="44" t="s">
        <v>41</v>
      </c>
      <c r="B36" s="45"/>
      <c r="C36" s="45"/>
      <c r="D36" s="83">
        <f>D18-D34</f>
        <v>23791475.25</v>
      </c>
      <c r="E36" s="83">
        <f>E18-E34</f>
        <v>20855960.669999994</v>
      </c>
      <c r="F36" s="83">
        <f>F18-F34</f>
        <v>29753875.169999998</v>
      </c>
      <c r="G36" s="83">
        <f>G18-G34</f>
        <v>74401311.09</v>
      </c>
      <c r="H36" s="45"/>
      <c r="I36" s="45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2.7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2.75">
      <c r="A40" s="41"/>
      <c r="B40" s="41"/>
      <c r="C40" s="41"/>
      <c r="D40" s="41"/>
      <c r="E40" s="41"/>
      <c r="F40" s="41"/>
      <c r="G40" s="41"/>
      <c r="H40" s="41"/>
      <c r="I40" s="41"/>
    </row>
    <row r="42" spans="1:9" ht="12.75">
      <c r="A42" s="2" t="s">
        <v>42</v>
      </c>
      <c r="B42" s="42"/>
      <c r="C42" s="42"/>
      <c r="D42" s="42"/>
      <c r="E42" s="42"/>
      <c r="F42" s="42" t="s">
        <v>33</v>
      </c>
      <c r="G42" s="42"/>
      <c r="H42" s="42"/>
      <c r="I42" s="42"/>
    </row>
    <row r="43" spans="1:9" ht="12.75">
      <c r="A43" s="187" t="s">
        <v>0</v>
      </c>
      <c r="B43" s="189" t="s">
        <v>37</v>
      </c>
      <c r="C43" s="187" t="s">
        <v>7</v>
      </c>
      <c r="D43" s="46" t="s">
        <v>38</v>
      </c>
      <c r="E43" s="47"/>
      <c r="F43" s="48"/>
      <c r="G43" s="48"/>
      <c r="H43" s="49"/>
      <c r="I43" s="187" t="s">
        <v>40</v>
      </c>
    </row>
    <row r="44" spans="1:9" ht="12.75">
      <c r="A44" s="188"/>
      <c r="B44" s="190"/>
      <c r="C44" s="191"/>
      <c r="D44" s="50" t="s">
        <v>44</v>
      </c>
      <c r="E44" s="50" t="s">
        <v>45</v>
      </c>
      <c r="F44" s="51" t="s">
        <v>46</v>
      </c>
      <c r="G44" s="51" t="s">
        <v>47</v>
      </c>
      <c r="H44" s="51" t="s">
        <v>1</v>
      </c>
      <c r="I44" s="191"/>
    </row>
    <row r="45" spans="1:9" ht="12.75">
      <c r="A45" s="60" t="s">
        <v>5</v>
      </c>
      <c r="B45" s="60"/>
      <c r="C45" s="60"/>
      <c r="D45" s="60"/>
      <c r="E45" s="60"/>
      <c r="F45" s="60"/>
      <c r="G45" s="60"/>
      <c r="H45" s="60"/>
      <c r="I45" s="60"/>
    </row>
    <row r="46" spans="1:10" ht="12.75">
      <c r="A46" s="55">
        <v>1000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f>SUM(D46:F46)</f>
        <v>0</v>
      </c>
      <c r="H46" s="61">
        <f>G46</f>
        <v>0</v>
      </c>
      <c r="I46" s="55"/>
      <c r="J46" s="64"/>
    </row>
    <row r="47" spans="1:10" ht="12.75">
      <c r="A47" s="55">
        <v>2000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f aca="true" t="shared" si="3" ref="G47:G54">SUM(D47:F47)</f>
        <v>0</v>
      </c>
      <c r="H47" s="61">
        <f aca="true" t="shared" si="4" ref="H47:H54">G47</f>
        <v>0</v>
      </c>
      <c r="I47" s="55"/>
      <c r="J47" s="64"/>
    </row>
    <row r="48" spans="1:10" ht="12.75">
      <c r="A48" s="55">
        <v>3000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f t="shared" si="3"/>
        <v>0</v>
      </c>
      <c r="H48" s="61">
        <f t="shared" si="4"/>
        <v>0</v>
      </c>
      <c r="I48" s="55"/>
      <c r="J48" s="64"/>
    </row>
    <row r="49" spans="1:10" ht="12.75">
      <c r="A49" s="55">
        <v>4000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f t="shared" si="3"/>
        <v>0</v>
      </c>
      <c r="H49" s="61">
        <f t="shared" si="4"/>
        <v>0</v>
      </c>
      <c r="I49" s="55"/>
      <c r="J49" s="64"/>
    </row>
    <row r="50" spans="1:10" ht="12.75">
      <c r="A50" s="55">
        <v>5000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f t="shared" si="3"/>
        <v>0</v>
      </c>
      <c r="H50" s="61">
        <f t="shared" si="4"/>
        <v>0</v>
      </c>
      <c r="I50" s="55"/>
      <c r="J50" s="64"/>
    </row>
    <row r="51" spans="1:9" ht="12.75">
      <c r="A51" s="55">
        <v>6000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f t="shared" si="3"/>
        <v>0</v>
      </c>
      <c r="H51" s="61">
        <f t="shared" si="4"/>
        <v>0</v>
      </c>
      <c r="I51" s="55"/>
    </row>
    <row r="52" spans="1:9" ht="12.75">
      <c r="A52" s="55">
        <v>7000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f t="shared" si="3"/>
        <v>0</v>
      </c>
      <c r="H52" s="61">
        <f t="shared" si="4"/>
        <v>0</v>
      </c>
      <c r="I52" s="55"/>
    </row>
    <row r="53" spans="1:9" ht="12.75">
      <c r="A53" s="55">
        <v>8000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f t="shared" si="3"/>
        <v>0</v>
      </c>
      <c r="H53" s="61">
        <f t="shared" si="4"/>
        <v>0</v>
      </c>
      <c r="I53" s="55"/>
    </row>
    <row r="54" spans="1:9" ht="12.75">
      <c r="A54" s="58">
        <v>9000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1">
        <f t="shared" si="3"/>
        <v>0</v>
      </c>
      <c r="H54" s="61">
        <f t="shared" si="4"/>
        <v>0</v>
      </c>
      <c r="I54" s="58"/>
    </row>
    <row r="55" spans="1:9" ht="12.75">
      <c r="A55" s="59"/>
      <c r="B55" s="63"/>
      <c r="C55" s="63"/>
      <c r="D55" s="63"/>
      <c r="E55" s="63"/>
      <c r="F55" s="63"/>
      <c r="G55" s="63"/>
      <c r="H55" s="63"/>
      <c r="I55" s="59"/>
    </row>
    <row r="56" spans="1:9" ht="12.75">
      <c r="A56" s="75" t="s">
        <v>3</v>
      </c>
      <c r="B56" s="76">
        <f>SUM(B46:B54)</f>
        <v>0</v>
      </c>
      <c r="C56" s="76">
        <f aca="true" t="shared" si="5" ref="C56:H56">SUM(C46:C54)</f>
        <v>0</v>
      </c>
      <c r="D56" s="76">
        <f t="shared" si="5"/>
        <v>0</v>
      </c>
      <c r="E56" s="76">
        <f t="shared" si="5"/>
        <v>0</v>
      </c>
      <c r="F56" s="76">
        <f t="shared" si="5"/>
        <v>0</v>
      </c>
      <c r="G56" s="76">
        <f t="shared" si="5"/>
        <v>0</v>
      </c>
      <c r="H56" s="76">
        <f t="shared" si="5"/>
        <v>0</v>
      </c>
      <c r="I56" s="77"/>
    </row>
    <row r="57" spans="1:9" ht="12.75">
      <c r="A57" s="59"/>
      <c r="B57" s="59"/>
      <c r="C57" s="59"/>
      <c r="D57" s="59"/>
      <c r="E57" s="59"/>
      <c r="F57" s="59"/>
      <c r="G57" s="59"/>
      <c r="H57" s="59"/>
      <c r="I57" s="59"/>
    </row>
    <row r="58" spans="1:3" ht="12.75">
      <c r="A58" s="16"/>
      <c r="B58" s="16"/>
      <c r="C58" s="16"/>
    </row>
    <row r="59" spans="1:9" ht="12.75">
      <c r="A59" s="184"/>
      <c r="B59" s="184"/>
      <c r="C59" s="184"/>
      <c r="F59" s="186" t="s">
        <v>134</v>
      </c>
      <c r="G59" s="186"/>
      <c r="H59" s="186"/>
      <c r="I59" s="16"/>
    </row>
    <row r="60" spans="1:9" ht="12.75">
      <c r="A60" s="183"/>
      <c r="B60" s="183"/>
      <c r="C60" s="183"/>
      <c r="F60" s="183" t="s">
        <v>133</v>
      </c>
      <c r="G60" s="183"/>
      <c r="H60" s="183"/>
      <c r="I60" s="40"/>
    </row>
    <row r="61" spans="1:9" ht="27.75" customHeight="1">
      <c r="A61" s="185"/>
      <c r="B61" s="185"/>
      <c r="C61" s="185"/>
      <c r="F61" s="185" t="s">
        <v>150</v>
      </c>
      <c r="G61" s="185"/>
      <c r="H61" s="185"/>
      <c r="I61" s="40"/>
    </row>
  </sheetData>
  <mergeCells count="23">
    <mergeCell ref="A2:I2"/>
    <mergeCell ref="A3:I3"/>
    <mergeCell ref="A4:I4"/>
    <mergeCell ref="B21:B22"/>
    <mergeCell ref="C21:C22"/>
    <mergeCell ref="A10:A11"/>
    <mergeCell ref="I10:I11"/>
    <mergeCell ref="B10:B11"/>
    <mergeCell ref="A7:I7"/>
    <mergeCell ref="A21:A22"/>
    <mergeCell ref="A43:A44"/>
    <mergeCell ref="B43:B44"/>
    <mergeCell ref="C43:C44"/>
    <mergeCell ref="G6:I6"/>
    <mergeCell ref="I43:I44"/>
    <mergeCell ref="C10:C11"/>
    <mergeCell ref="I21:I22"/>
    <mergeCell ref="A60:C60"/>
    <mergeCell ref="A59:C59"/>
    <mergeCell ref="A61:C61"/>
    <mergeCell ref="F59:H59"/>
    <mergeCell ref="F60:H60"/>
    <mergeCell ref="F61:H61"/>
  </mergeCells>
  <printOptions horizontalCentered="1"/>
  <pageMargins left="0.4724409448818898" right="0.4724409448818898" top="0.4724409448818898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F93"/>
  <sheetViews>
    <sheetView workbookViewId="0" topLeftCell="A10">
      <selection activeCell="F13" sqref="F13"/>
    </sheetView>
  </sheetViews>
  <sheetFormatPr defaultColWidth="11.421875" defaultRowHeight="12.75"/>
  <cols>
    <col min="1" max="1" width="2.140625" style="0" customWidth="1"/>
    <col min="2" max="2" width="22.421875" style="0" customWidth="1"/>
    <col min="3" max="3" width="8.28125" style="0" customWidth="1"/>
    <col min="4" max="4" width="42.421875" style="0" customWidth="1"/>
    <col min="5" max="5" width="12.57421875" style="0" customWidth="1"/>
    <col min="6" max="6" width="9.00390625" style="0" customWidth="1"/>
  </cols>
  <sheetData>
    <row r="1" ht="12.75">
      <c r="E1" s="74" t="s">
        <v>53</v>
      </c>
    </row>
    <row r="3" spans="1:5" ht="12.75">
      <c r="A3" s="5" t="s">
        <v>34</v>
      </c>
      <c r="B3" s="5"/>
      <c r="C3" s="5"/>
      <c r="D3" s="5"/>
      <c r="E3" s="5"/>
    </row>
    <row r="4" spans="1:5" ht="12.75">
      <c r="A4" s="5" t="s">
        <v>14</v>
      </c>
      <c r="B4" s="5"/>
      <c r="C4" s="5"/>
      <c r="D4" s="5"/>
      <c r="E4" s="5"/>
    </row>
    <row r="5" spans="1:5" ht="12.75">
      <c r="A5" s="5" t="s">
        <v>8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5" ht="12.75">
      <c r="A7" s="5"/>
      <c r="B7" s="5"/>
      <c r="C7" s="5"/>
      <c r="D7" s="5"/>
      <c r="E7" s="5"/>
    </row>
    <row r="8" spans="1:5" ht="12.75">
      <c r="A8" s="5" t="s">
        <v>205</v>
      </c>
      <c r="B8" s="5"/>
      <c r="C8" s="5"/>
      <c r="D8" s="5"/>
      <c r="E8" s="5"/>
    </row>
    <row r="10" spans="2:6" ht="36">
      <c r="B10" s="143" t="s">
        <v>50</v>
      </c>
      <c r="C10" s="174" t="s">
        <v>51</v>
      </c>
      <c r="D10" s="175" t="s">
        <v>0</v>
      </c>
      <c r="E10" s="143" t="s">
        <v>52</v>
      </c>
      <c r="F10" s="179" t="s">
        <v>26</v>
      </c>
    </row>
    <row r="11" spans="2:6" ht="24.75" customHeight="1">
      <c r="B11" s="176">
        <v>39720</v>
      </c>
      <c r="C11" s="142"/>
      <c r="D11" s="177" t="s">
        <v>165</v>
      </c>
      <c r="E11" s="178">
        <v>4811000</v>
      </c>
      <c r="F11" s="143">
        <v>10909</v>
      </c>
    </row>
    <row r="12" spans="2:6" ht="25.5" customHeight="1">
      <c r="B12" s="176">
        <v>39720</v>
      </c>
      <c r="C12" s="143"/>
      <c r="D12" s="177" t="s">
        <v>166</v>
      </c>
      <c r="E12" s="178">
        <v>4811000</v>
      </c>
      <c r="F12" s="143">
        <v>19129</v>
      </c>
    </row>
    <row r="13" spans="2:6" ht="24.75" customHeight="1">
      <c r="B13" s="176">
        <v>39675</v>
      </c>
      <c r="C13" s="143"/>
      <c r="D13" s="177" t="s">
        <v>167</v>
      </c>
      <c r="E13" s="178">
        <v>4811000</v>
      </c>
      <c r="F13" s="143">
        <v>22625</v>
      </c>
    </row>
    <row r="14" spans="2:6" ht="23.25" customHeight="1">
      <c r="B14" s="176">
        <v>39675</v>
      </c>
      <c r="C14" s="144"/>
      <c r="D14" s="177" t="s">
        <v>168</v>
      </c>
      <c r="E14" s="178">
        <v>4811000</v>
      </c>
      <c r="F14" s="143">
        <v>28932</v>
      </c>
    </row>
    <row r="15" spans="2:6" ht="25.5" customHeight="1">
      <c r="B15" s="176">
        <v>39701</v>
      </c>
      <c r="C15" s="144"/>
      <c r="D15" s="177" t="s">
        <v>169</v>
      </c>
      <c r="E15" s="178">
        <v>4811000</v>
      </c>
      <c r="F15" s="143">
        <v>33334</v>
      </c>
    </row>
    <row r="16" spans="2:6" ht="24">
      <c r="B16" s="176">
        <v>39630</v>
      </c>
      <c r="C16" s="143"/>
      <c r="D16" s="177" t="s">
        <v>170</v>
      </c>
      <c r="E16" s="178">
        <v>11700000</v>
      </c>
      <c r="F16" s="143">
        <v>22619</v>
      </c>
    </row>
    <row r="17" spans="2:6" ht="24">
      <c r="B17" s="176">
        <v>39675</v>
      </c>
      <c r="C17" s="143"/>
      <c r="D17" s="177" t="s">
        <v>171</v>
      </c>
      <c r="E17" s="178">
        <v>11700000</v>
      </c>
      <c r="F17" s="143">
        <v>28936</v>
      </c>
    </row>
    <row r="18" spans="2:6" ht="24">
      <c r="B18" s="176">
        <v>39701</v>
      </c>
      <c r="C18" s="143"/>
      <c r="D18" s="177" t="s">
        <v>172</v>
      </c>
      <c r="E18" s="178">
        <v>11700000</v>
      </c>
      <c r="F18" s="143">
        <v>33336</v>
      </c>
    </row>
    <row r="19" spans="2:6" ht="24">
      <c r="B19" s="176">
        <v>39631</v>
      </c>
      <c r="C19" s="143"/>
      <c r="D19" s="177" t="s">
        <v>173</v>
      </c>
      <c r="E19" s="178">
        <v>236736</v>
      </c>
      <c r="F19" s="143">
        <v>26024</v>
      </c>
    </row>
    <row r="20" spans="2:6" ht="24">
      <c r="B20" s="176">
        <v>39636</v>
      </c>
      <c r="C20" s="143"/>
      <c r="D20" s="177" t="s">
        <v>174</v>
      </c>
      <c r="E20" s="178">
        <f>134392+265608</f>
        <v>400000</v>
      </c>
      <c r="F20" s="143">
        <v>26741</v>
      </c>
    </row>
    <row r="21" spans="2:6" ht="24">
      <c r="B21" s="176">
        <v>39675</v>
      </c>
      <c r="C21" s="143"/>
      <c r="D21" s="177" t="s">
        <v>175</v>
      </c>
      <c r="E21" s="178">
        <f>120000+100000+80000</f>
        <v>300000</v>
      </c>
      <c r="F21" s="143">
        <v>29213</v>
      </c>
    </row>
    <row r="22" spans="2:6" ht="24">
      <c r="B22" s="176">
        <v>39701</v>
      </c>
      <c r="C22" s="143"/>
      <c r="D22" s="177" t="s">
        <v>176</v>
      </c>
      <c r="E22" s="178">
        <f>116389+113128+414970+200000</f>
        <v>844487</v>
      </c>
      <c r="F22" s="143">
        <v>34230</v>
      </c>
    </row>
    <row r="23" spans="2:6" ht="24">
      <c r="B23" s="176">
        <v>39716</v>
      </c>
      <c r="C23" s="143"/>
      <c r="D23" s="177" t="s">
        <v>176</v>
      </c>
      <c r="E23" s="178">
        <f>102979+100000+410029+146000</f>
        <v>759008</v>
      </c>
      <c r="F23" s="143">
        <v>39194</v>
      </c>
    </row>
    <row r="24" spans="2:6" ht="24">
      <c r="B24" s="176">
        <v>39639</v>
      </c>
      <c r="C24" s="143"/>
      <c r="D24" s="177" t="s">
        <v>177</v>
      </c>
      <c r="E24" s="178">
        <v>114873.4</v>
      </c>
      <c r="F24" s="143">
        <v>28011</v>
      </c>
    </row>
    <row r="25" spans="2:6" ht="24.75" customHeight="1">
      <c r="B25" s="176">
        <v>39639</v>
      </c>
      <c r="C25" s="143"/>
      <c r="D25" s="177" t="s">
        <v>178</v>
      </c>
      <c r="E25" s="141">
        <v>54479.5</v>
      </c>
      <c r="F25" s="143">
        <v>28034</v>
      </c>
    </row>
    <row r="26" spans="2:6" ht="24">
      <c r="B26" s="176">
        <v>39639</v>
      </c>
      <c r="C26" s="143"/>
      <c r="D26" s="177" t="s">
        <v>179</v>
      </c>
      <c r="E26" s="141">
        <v>11948.54</v>
      </c>
      <c r="F26" s="143">
        <v>28064</v>
      </c>
    </row>
    <row r="27" spans="2:6" ht="24">
      <c r="B27" s="176">
        <v>39639</v>
      </c>
      <c r="C27" s="143"/>
      <c r="D27" s="177" t="s">
        <v>180</v>
      </c>
      <c r="E27" s="141">
        <v>224483.99</v>
      </c>
      <c r="F27" s="143">
        <v>28486</v>
      </c>
    </row>
    <row r="28" spans="2:6" ht="24">
      <c r="B28" s="176">
        <v>39639</v>
      </c>
      <c r="C28" s="143"/>
      <c r="D28" s="177" t="s">
        <v>181</v>
      </c>
      <c r="E28" s="141">
        <v>70467.93</v>
      </c>
      <c r="F28" s="143">
        <v>28513</v>
      </c>
    </row>
    <row r="29" spans="2:6" ht="12.75">
      <c r="B29" s="176">
        <v>39675</v>
      </c>
      <c r="C29" s="143"/>
      <c r="D29" s="177" t="s">
        <v>182</v>
      </c>
      <c r="E29" s="141">
        <v>511044</v>
      </c>
      <c r="F29" s="143">
        <v>28941</v>
      </c>
    </row>
    <row r="30" spans="2:6" ht="24">
      <c r="B30" s="176">
        <v>39646</v>
      </c>
      <c r="C30" s="143"/>
      <c r="D30" s="177" t="s">
        <v>183</v>
      </c>
      <c r="E30" s="141">
        <v>173345.92</v>
      </c>
      <c r="F30" s="143">
        <v>29835</v>
      </c>
    </row>
    <row r="31" spans="2:6" ht="24">
      <c r="B31" s="176">
        <v>39646</v>
      </c>
      <c r="C31" s="149"/>
      <c r="D31" s="177" t="s">
        <v>184</v>
      </c>
      <c r="E31" s="141">
        <v>101220</v>
      </c>
      <c r="F31" s="143">
        <v>30520</v>
      </c>
    </row>
    <row r="32" spans="2:6" ht="24">
      <c r="B32" s="176">
        <v>39653</v>
      </c>
      <c r="C32" s="149"/>
      <c r="D32" s="177" t="s">
        <v>185</v>
      </c>
      <c r="E32" s="141">
        <v>224483.99</v>
      </c>
      <c r="F32" s="143">
        <v>31205</v>
      </c>
    </row>
    <row r="33" spans="2:6" ht="24">
      <c r="B33" s="176">
        <v>39653</v>
      </c>
      <c r="C33" s="149"/>
      <c r="D33" s="177" t="s">
        <v>186</v>
      </c>
      <c r="E33" s="141">
        <v>76900.63</v>
      </c>
      <c r="F33" s="143">
        <v>31232</v>
      </c>
    </row>
    <row r="34" spans="2:6" ht="24">
      <c r="B34" s="176">
        <v>39653</v>
      </c>
      <c r="C34" s="149"/>
      <c r="D34" s="177" t="s">
        <v>187</v>
      </c>
      <c r="E34" s="141">
        <v>178164.11</v>
      </c>
      <c r="F34" s="143">
        <v>31283</v>
      </c>
    </row>
    <row r="35" spans="2:6" ht="24">
      <c r="B35" s="176">
        <v>39701</v>
      </c>
      <c r="C35" s="149"/>
      <c r="D35" s="177" t="s">
        <v>188</v>
      </c>
      <c r="E35" s="141">
        <v>511044</v>
      </c>
      <c r="F35" s="143">
        <v>33339</v>
      </c>
    </row>
    <row r="36" spans="2:6" ht="24">
      <c r="B36" s="176">
        <v>39672</v>
      </c>
      <c r="C36" s="149"/>
      <c r="D36" s="177" t="s">
        <v>189</v>
      </c>
      <c r="E36" s="141">
        <v>231020.37</v>
      </c>
      <c r="F36" s="143">
        <v>33782</v>
      </c>
    </row>
    <row r="37" spans="2:6" ht="24">
      <c r="B37" s="176">
        <v>39672</v>
      </c>
      <c r="C37" s="149"/>
      <c r="D37" s="177" t="s">
        <v>190</v>
      </c>
      <c r="E37" s="141">
        <v>75639.28</v>
      </c>
      <c r="F37" s="143">
        <v>33809</v>
      </c>
    </row>
    <row r="38" spans="2:6" ht="24">
      <c r="B38" s="176">
        <v>39675</v>
      </c>
      <c r="C38" s="149"/>
      <c r="D38" s="177" t="s">
        <v>191</v>
      </c>
      <c r="E38" s="141">
        <v>182566.55</v>
      </c>
      <c r="F38" s="143">
        <v>34348</v>
      </c>
    </row>
    <row r="39" spans="2:6" ht="24">
      <c r="B39" s="176">
        <v>39679</v>
      </c>
      <c r="C39" s="149"/>
      <c r="D39" s="177" t="s">
        <v>192</v>
      </c>
      <c r="E39" s="141">
        <v>15231.9</v>
      </c>
      <c r="F39" s="143">
        <v>34819</v>
      </c>
    </row>
    <row r="40" spans="2:6" ht="24">
      <c r="B40" s="176">
        <v>39679</v>
      </c>
      <c r="C40" s="149"/>
      <c r="D40" s="177" t="s">
        <v>193</v>
      </c>
      <c r="E40" s="141">
        <v>101220</v>
      </c>
      <c r="F40" s="143">
        <v>35022</v>
      </c>
    </row>
    <row r="41" spans="2:6" ht="24">
      <c r="B41" s="176">
        <v>39686</v>
      </c>
      <c r="C41" s="149"/>
      <c r="D41" s="177" t="s">
        <v>194</v>
      </c>
      <c r="E41" s="141">
        <v>227799.53</v>
      </c>
      <c r="F41" s="143">
        <v>35986</v>
      </c>
    </row>
    <row r="42" spans="2:6" ht="24">
      <c r="B42" s="176">
        <v>39686</v>
      </c>
      <c r="C42" s="149"/>
      <c r="D42" s="177" t="s">
        <v>195</v>
      </c>
      <c r="E42" s="141">
        <v>74361.07</v>
      </c>
      <c r="F42" s="143">
        <v>36013</v>
      </c>
    </row>
    <row r="43" spans="2:6" ht="24.75" customHeight="1">
      <c r="B43" s="176">
        <v>39688</v>
      </c>
      <c r="C43" s="149"/>
      <c r="D43" s="177" t="s">
        <v>196</v>
      </c>
      <c r="E43" s="141">
        <v>178766.14</v>
      </c>
      <c r="F43" s="143">
        <v>36456</v>
      </c>
    </row>
    <row r="44" spans="2:6" ht="24">
      <c r="B44" s="176">
        <v>39700</v>
      </c>
      <c r="C44" s="149"/>
      <c r="D44" s="177" t="s">
        <v>197</v>
      </c>
      <c r="E44" s="141">
        <v>227017.35</v>
      </c>
      <c r="F44" s="143">
        <v>38964</v>
      </c>
    </row>
    <row r="45" spans="2:6" ht="24">
      <c r="B45" s="176">
        <v>39700</v>
      </c>
      <c r="C45" s="149"/>
      <c r="D45" s="177" t="s">
        <v>198</v>
      </c>
      <c r="E45" s="141">
        <v>73738.62</v>
      </c>
      <c r="F45" s="143">
        <v>38992</v>
      </c>
    </row>
    <row r="46" spans="2:6" ht="24">
      <c r="B46" s="176">
        <v>39720</v>
      </c>
      <c r="C46" s="149"/>
      <c r="D46" s="177" t="s">
        <v>199</v>
      </c>
      <c r="E46" s="141">
        <v>511044</v>
      </c>
      <c r="F46" s="143">
        <v>39423</v>
      </c>
    </row>
    <row r="47" spans="2:6" ht="24">
      <c r="B47" s="176">
        <v>39708</v>
      </c>
      <c r="C47" s="149"/>
      <c r="D47" s="177" t="s">
        <v>200</v>
      </c>
      <c r="E47" s="141">
        <v>180170.77</v>
      </c>
      <c r="F47" s="143">
        <v>39625</v>
      </c>
    </row>
    <row r="48" spans="2:6" ht="24">
      <c r="B48" s="176">
        <v>39709</v>
      </c>
      <c r="C48" s="149"/>
      <c r="D48" s="177" t="s">
        <v>201</v>
      </c>
      <c r="E48" s="141">
        <v>101220</v>
      </c>
      <c r="F48" s="143">
        <v>40165</v>
      </c>
    </row>
    <row r="49" spans="2:6" ht="24">
      <c r="B49" s="176">
        <v>39716</v>
      </c>
      <c r="C49" s="149"/>
      <c r="D49" s="177" t="s">
        <v>202</v>
      </c>
      <c r="E49" s="141">
        <v>238600.48</v>
      </c>
      <c r="F49" s="143">
        <v>41305</v>
      </c>
    </row>
    <row r="50" spans="2:6" ht="24">
      <c r="B50" s="176">
        <v>39716</v>
      </c>
      <c r="C50" s="149"/>
      <c r="D50" s="177" t="s">
        <v>203</v>
      </c>
      <c r="E50" s="141">
        <v>73738.62</v>
      </c>
      <c r="F50" s="143">
        <v>41333</v>
      </c>
    </row>
    <row r="51" spans="2:6" ht="36">
      <c r="B51" s="176">
        <v>39720</v>
      </c>
      <c r="C51" s="149"/>
      <c r="D51" s="177" t="s">
        <v>204</v>
      </c>
      <c r="E51" s="141">
        <v>183131.75</v>
      </c>
      <c r="F51" s="143">
        <v>41842</v>
      </c>
    </row>
    <row r="52" spans="2:6" ht="12.75">
      <c r="B52" s="176"/>
      <c r="C52" s="149"/>
      <c r="D52" s="177"/>
      <c r="E52" s="141"/>
      <c r="F52" s="143"/>
    </row>
    <row r="53" spans="2:6" ht="12.75">
      <c r="B53" s="176"/>
      <c r="C53" s="149"/>
      <c r="D53" s="177"/>
      <c r="E53" s="141"/>
      <c r="F53" s="143"/>
    </row>
    <row r="54" spans="2:6" ht="12.75">
      <c r="B54" s="176"/>
      <c r="C54" s="149"/>
      <c r="D54" s="177"/>
      <c r="E54" s="141"/>
      <c r="F54" s="143"/>
    </row>
    <row r="55" spans="2:6" ht="12.75">
      <c r="B55" s="176"/>
      <c r="C55" s="149"/>
      <c r="D55" s="177"/>
      <c r="E55" s="141"/>
      <c r="F55" s="143"/>
    </row>
    <row r="56" spans="2:6" ht="12.75">
      <c r="B56" s="176"/>
      <c r="C56" s="149"/>
      <c r="D56" s="177"/>
      <c r="E56" s="141"/>
      <c r="F56" s="143"/>
    </row>
    <row r="57" spans="2:6" ht="12.75">
      <c r="B57" s="140"/>
      <c r="C57" s="101"/>
      <c r="D57" s="156"/>
      <c r="E57" s="141"/>
      <c r="F57" s="143"/>
    </row>
    <row r="58" spans="2:6" ht="12.75">
      <c r="B58" s="140"/>
      <c r="C58" s="101"/>
      <c r="D58" s="156"/>
      <c r="E58" s="141"/>
      <c r="F58" s="143"/>
    </row>
    <row r="59" spans="2:6" ht="12.75">
      <c r="B59" s="140"/>
      <c r="C59" s="101"/>
      <c r="D59" s="156"/>
      <c r="E59" s="141"/>
      <c r="F59" s="143"/>
    </row>
    <row r="60" spans="2:6" ht="12.75">
      <c r="B60" s="140"/>
      <c r="C60" s="101"/>
      <c r="D60" s="156"/>
      <c r="E60" s="141"/>
      <c r="F60" s="143"/>
    </row>
    <row r="61" spans="2:6" ht="12.75">
      <c r="B61" s="140"/>
      <c r="C61" s="101"/>
      <c r="D61" s="156"/>
      <c r="E61" s="141"/>
      <c r="F61" s="143"/>
    </row>
    <row r="62" spans="2:6" ht="12.75">
      <c r="B62" s="140"/>
      <c r="C62" s="101"/>
      <c r="D62" s="156"/>
      <c r="E62" s="141"/>
      <c r="F62" s="143"/>
    </row>
    <row r="63" spans="2:6" ht="12.75">
      <c r="B63" s="140"/>
      <c r="C63" s="101"/>
      <c r="D63" s="156"/>
      <c r="E63" s="141"/>
      <c r="F63" s="143"/>
    </row>
    <row r="64" ht="12.75">
      <c r="F64" s="39"/>
    </row>
    <row r="65" ht="12.75">
      <c r="F65" s="39"/>
    </row>
    <row r="66" ht="12.75">
      <c r="F66" s="39"/>
    </row>
    <row r="67" ht="12.75">
      <c r="F67" s="39"/>
    </row>
    <row r="68" ht="12.75">
      <c r="F68" s="39"/>
    </row>
    <row r="69" ht="12.75">
      <c r="F69" s="39"/>
    </row>
    <row r="70" ht="12.75">
      <c r="F70" s="39"/>
    </row>
    <row r="71" ht="12.75">
      <c r="F71" s="39"/>
    </row>
    <row r="72" ht="12.75">
      <c r="F72" s="39"/>
    </row>
    <row r="73" ht="12.75">
      <c r="F73" s="39"/>
    </row>
    <row r="74" ht="12.75">
      <c r="F74" s="39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</sheetData>
  <printOptions horizontalCentered="1"/>
  <pageMargins left="0.4724409448818898" right="0.4724409448818898" top="0.4724409448818898" bottom="0.5905511811023623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R155"/>
  <sheetViews>
    <sheetView showGridLines="0" workbookViewId="0" topLeftCell="A34">
      <selection activeCell="C4" sqref="C4"/>
    </sheetView>
  </sheetViews>
  <sheetFormatPr defaultColWidth="11.421875" defaultRowHeight="12.75"/>
  <cols>
    <col min="1" max="1" width="13.00390625" style="0" customWidth="1"/>
    <col min="2" max="2" width="34.57421875" style="0" customWidth="1"/>
    <col min="3" max="5" width="14.7109375" style="0" customWidth="1"/>
    <col min="6" max="6" width="14.7109375" style="0" hidden="1" customWidth="1"/>
    <col min="7" max="7" width="14.7109375" style="0" customWidth="1"/>
    <col min="8" max="8" width="9.00390625" style="0" customWidth="1"/>
    <col min="9" max="9" width="14.7109375" style="0" customWidth="1"/>
    <col min="10" max="10" width="12.7109375" style="0" bestFit="1" customWidth="1"/>
    <col min="11" max="12" width="11.7109375" style="0" bestFit="1" customWidth="1"/>
    <col min="13" max="18" width="12.7109375" style="0" bestFit="1" customWidth="1"/>
  </cols>
  <sheetData>
    <row r="1" spans="1:9" ht="15">
      <c r="A1" s="66"/>
      <c r="B1" s="66"/>
      <c r="C1" s="66"/>
      <c r="D1" s="66"/>
      <c r="E1" s="66"/>
      <c r="F1" s="66"/>
      <c r="G1" s="66"/>
      <c r="H1" s="66"/>
      <c r="I1" s="67" t="s">
        <v>9</v>
      </c>
    </row>
    <row r="2" spans="1:9" ht="15">
      <c r="A2" s="68" t="s">
        <v>34</v>
      </c>
      <c r="B2" s="68"/>
      <c r="C2" s="68"/>
      <c r="D2" s="68"/>
      <c r="E2" s="68"/>
      <c r="F2" s="68"/>
      <c r="G2" s="68"/>
      <c r="H2" s="68"/>
      <c r="I2" s="68"/>
    </row>
    <row r="3" spans="1:9" ht="15">
      <c r="A3" s="68" t="s">
        <v>15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4"/>
      <c r="B4" s="5"/>
      <c r="C4" s="5"/>
      <c r="D4" s="5"/>
      <c r="E4" s="5"/>
      <c r="F4" s="5"/>
      <c r="G4" s="5"/>
      <c r="H4" s="5"/>
      <c r="I4" s="5"/>
    </row>
    <row r="5" spans="1:9" ht="15.75">
      <c r="A5" s="4"/>
      <c r="B5" s="5"/>
      <c r="C5" s="5"/>
      <c r="D5" s="6"/>
      <c r="E5" s="6"/>
      <c r="F5" s="6"/>
      <c r="G5" s="182" t="s">
        <v>164</v>
      </c>
      <c r="H5" s="195"/>
      <c r="I5" s="195"/>
    </row>
    <row r="6" spans="1:9" ht="6" customHeight="1" thickBot="1">
      <c r="A6" s="1"/>
      <c r="I6" s="7"/>
    </row>
    <row r="7" spans="1:9" s="11" customFormat="1" ht="30" customHeight="1" thickBot="1" thickTop="1">
      <c r="A7" s="8" t="s">
        <v>130</v>
      </c>
      <c r="B7" s="9"/>
      <c r="C7" s="9"/>
      <c r="D7" s="9"/>
      <c r="E7" s="9"/>
      <c r="F7" s="9"/>
      <c r="G7" s="9"/>
      <c r="H7" s="9"/>
      <c r="I7" s="10"/>
    </row>
    <row r="8" spans="1:9" ht="14.25" thickBot="1" thickTop="1">
      <c r="A8" s="1"/>
      <c r="B8" s="12"/>
      <c r="C8" s="12"/>
      <c r="D8" s="12"/>
      <c r="E8" s="12" t="s">
        <v>33</v>
      </c>
      <c r="F8" s="12"/>
      <c r="G8" s="12"/>
      <c r="H8" s="12"/>
      <c r="I8" s="12"/>
    </row>
    <row r="9" spans="1:9" ht="18.75" customHeight="1" thickTop="1">
      <c r="A9" s="199" t="s">
        <v>10</v>
      </c>
      <c r="B9" s="95"/>
      <c r="C9" s="201" t="s">
        <v>12</v>
      </c>
      <c r="D9" s="201" t="s">
        <v>16</v>
      </c>
      <c r="E9" s="201" t="s">
        <v>18</v>
      </c>
      <c r="F9" s="152"/>
      <c r="G9" s="198" t="s">
        <v>19</v>
      </c>
      <c r="H9" s="198"/>
      <c r="I9" s="196" t="s">
        <v>13</v>
      </c>
    </row>
    <row r="10" spans="1:18" s="13" customFormat="1" ht="30" customHeight="1" thickBot="1">
      <c r="A10" s="200"/>
      <c r="B10" s="96" t="s">
        <v>11</v>
      </c>
      <c r="C10" s="202"/>
      <c r="D10" s="202"/>
      <c r="E10" s="203"/>
      <c r="F10" s="155"/>
      <c r="G10" s="97" t="s">
        <v>20</v>
      </c>
      <c r="H10" s="98" t="s">
        <v>21</v>
      </c>
      <c r="I10" s="197"/>
      <c r="J10" s="13" t="s">
        <v>44</v>
      </c>
      <c r="K10" s="13" t="s">
        <v>45</v>
      </c>
      <c r="L10" s="13" t="s">
        <v>46</v>
      </c>
      <c r="M10" s="13" t="s">
        <v>154</v>
      </c>
      <c r="N10" s="13" t="s">
        <v>155</v>
      </c>
      <c r="O10" s="13" t="s">
        <v>156</v>
      </c>
      <c r="P10" s="13" t="s">
        <v>160</v>
      </c>
      <c r="Q10" s="13" t="s">
        <v>161</v>
      </c>
      <c r="R10" s="13" t="s">
        <v>162</v>
      </c>
    </row>
    <row r="11" spans="1:18" s="11" customFormat="1" ht="15" customHeight="1" thickTop="1">
      <c r="A11" s="84">
        <v>1101</v>
      </c>
      <c r="B11" s="85" t="s">
        <v>55</v>
      </c>
      <c r="C11" s="89">
        <v>4263065.32</v>
      </c>
      <c r="D11" s="89">
        <f>4263065.32-1074019.69-400000</f>
        <v>2789045.6300000004</v>
      </c>
      <c r="E11" s="130">
        <f>SUM(P11:R11)</f>
        <v>981958.9299999999</v>
      </c>
      <c r="F11" s="130"/>
      <c r="G11" s="130">
        <f>SUM(J11:U11)</f>
        <v>2088003.2</v>
      </c>
      <c r="H11" s="120">
        <f>G11/C11</f>
        <v>0.48978916419699614</v>
      </c>
      <c r="I11" s="130">
        <f>D11-G11</f>
        <v>701042.4300000004</v>
      </c>
      <c r="J11" s="92">
        <v>188469.58</v>
      </c>
      <c r="K11" s="92">
        <v>188469.58</v>
      </c>
      <c r="L11" s="163">
        <v>184930.55</v>
      </c>
      <c r="M11" s="164">
        <v>181391.52</v>
      </c>
      <c r="N11" s="164">
        <v>181391.52</v>
      </c>
      <c r="O11" s="164">
        <v>181391.52</v>
      </c>
      <c r="P11" s="164">
        <f>'[2]SEGUIMIENTO DEL GASTO ENERO2008'!$M$7</f>
        <v>311666.18</v>
      </c>
      <c r="Q11" s="164">
        <f>'[2]SEGUIMIENTO DEL GASTO ENERO2008'!$N$7</f>
        <v>319122.29</v>
      </c>
      <c r="R11" s="164">
        <f>'[2]SEGUIMIENTO DEL GASTO ENERO2008'!$O$7</f>
        <v>351170.46</v>
      </c>
    </row>
    <row r="12" spans="1:18" s="11" customFormat="1" ht="15" customHeight="1">
      <c r="A12" s="86">
        <v>1104</v>
      </c>
      <c r="B12" s="87" t="s">
        <v>56</v>
      </c>
      <c r="C12" s="90"/>
      <c r="D12" s="90"/>
      <c r="E12" s="130">
        <f aca="true" t="shared" si="0" ref="E12:E38">SUM(P12:R12)</f>
        <v>0</v>
      </c>
      <c r="F12" s="130"/>
      <c r="G12" s="130">
        <f aca="true" t="shared" si="1" ref="G12:G38">SUM(J12:U12)</f>
        <v>0</v>
      </c>
      <c r="H12" s="120" t="s">
        <v>147</v>
      </c>
      <c r="I12" s="130">
        <f aca="true" t="shared" si="2" ref="I12:I38">D12-G12</f>
        <v>0</v>
      </c>
      <c r="J12" s="92">
        <v>0</v>
      </c>
      <c r="K12" s="92">
        <v>0</v>
      </c>
      <c r="L12" s="163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</row>
    <row r="13" spans="1:18" s="11" customFormat="1" ht="15" customHeight="1">
      <c r="A13" s="86">
        <v>1206</v>
      </c>
      <c r="B13" s="87" t="s">
        <v>135</v>
      </c>
      <c r="C13" s="90">
        <v>4073007.71</v>
      </c>
      <c r="D13" s="90">
        <f>2807229.28-200000</f>
        <v>2607229.28</v>
      </c>
      <c r="E13" s="130">
        <f t="shared" si="0"/>
        <v>623221.51</v>
      </c>
      <c r="F13" s="130"/>
      <c r="G13" s="130">
        <f t="shared" si="1"/>
        <v>1754708.48</v>
      </c>
      <c r="H13" s="120">
        <f>G13/C13</f>
        <v>0.4308139352871493</v>
      </c>
      <c r="I13" s="130">
        <f t="shared" si="2"/>
        <v>852520.7999999998</v>
      </c>
      <c r="J13" s="92">
        <v>192205.36</v>
      </c>
      <c r="K13" s="92">
        <v>191008.91</v>
      </c>
      <c r="L13" s="163">
        <v>190827.76</v>
      </c>
      <c r="M13" s="164">
        <v>181347.04</v>
      </c>
      <c r="N13" s="164">
        <v>185814.98</v>
      </c>
      <c r="O13" s="164">
        <v>190282.92</v>
      </c>
      <c r="P13" s="164">
        <v>202436.93</v>
      </c>
      <c r="Q13" s="164">
        <v>205784.47</v>
      </c>
      <c r="R13" s="164">
        <v>215000.11</v>
      </c>
    </row>
    <row r="14" spans="1:18" s="11" customFormat="1" ht="15" customHeight="1">
      <c r="A14" s="86">
        <v>1301</v>
      </c>
      <c r="B14" s="87" t="s">
        <v>57</v>
      </c>
      <c r="C14" s="90">
        <v>267529.1</v>
      </c>
      <c r="D14" s="90">
        <f>267529.1-63385.73</f>
        <v>204143.36999999997</v>
      </c>
      <c r="E14" s="130">
        <f t="shared" si="0"/>
        <v>16653.989999999998</v>
      </c>
      <c r="F14" s="130"/>
      <c r="G14" s="130">
        <f t="shared" si="1"/>
        <v>63745.21</v>
      </c>
      <c r="H14" s="120">
        <f>G14/C14</f>
        <v>0.23827392982669923</v>
      </c>
      <c r="I14" s="130">
        <f t="shared" si="2"/>
        <v>140398.15999999997</v>
      </c>
      <c r="J14" s="92">
        <v>7530.98</v>
      </c>
      <c r="K14" s="92">
        <v>7530.98</v>
      </c>
      <c r="L14" s="163">
        <v>7842.84</v>
      </c>
      <c r="M14" s="164">
        <v>8062.14</v>
      </c>
      <c r="N14" s="164">
        <v>8062.14</v>
      </c>
      <c r="O14" s="164">
        <v>8062.14</v>
      </c>
      <c r="P14" s="164">
        <v>5643.34</v>
      </c>
      <c r="Q14" s="164">
        <v>5206.75</v>
      </c>
      <c r="R14" s="164">
        <v>5803.9</v>
      </c>
    </row>
    <row r="15" spans="1:18" s="11" customFormat="1" ht="15" customHeight="1">
      <c r="A15" s="86">
        <v>1305</v>
      </c>
      <c r="B15" s="87" t="s">
        <v>141</v>
      </c>
      <c r="C15" s="90">
        <v>0</v>
      </c>
      <c r="D15" s="90">
        <v>0</v>
      </c>
      <c r="E15" s="130">
        <f t="shared" si="0"/>
        <v>0</v>
      </c>
      <c r="F15" s="130"/>
      <c r="G15" s="130">
        <f t="shared" si="1"/>
        <v>0</v>
      </c>
      <c r="H15" s="120" t="e">
        <f>G15/D15</f>
        <v>#DIV/0!</v>
      </c>
      <c r="I15" s="130">
        <f t="shared" si="2"/>
        <v>0</v>
      </c>
      <c r="J15" s="92">
        <v>0</v>
      </c>
      <c r="K15" s="92">
        <v>0</v>
      </c>
      <c r="L15" s="163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</row>
    <row r="16" spans="1:18" s="11" customFormat="1" ht="15" customHeight="1">
      <c r="A16" s="86">
        <v>1306</v>
      </c>
      <c r="B16" s="87" t="s">
        <v>58</v>
      </c>
      <c r="C16" s="90">
        <v>440158.67</v>
      </c>
      <c r="D16" s="90">
        <f>440158.67</f>
        <v>440158.67</v>
      </c>
      <c r="E16" s="130">
        <f t="shared" si="0"/>
        <v>7632.21</v>
      </c>
      <c r="F16" s="130"/>
      <c r="G16" s="130">
        <f t="shared" si="1"/>
        <v>7632.21</v>
      </c>
      <c r="H16" s="120">
        <f>G16/C16</f>
        <v>0.01733967889352265</v>
      </c>
      <c r="I16" s="130">
        <f t="shared" si="2"/>
        <v>432526.45999999996</v>
      </c>
      <c r="J16" s="92">
        <v>0</v>
      </c>
      <c r="K16" s="92">
        <v>0</v>
      </c>
      <c r="L16" s="163">
        <v>0</v>
      </c>
      <c r="M16" s="164">
        <v>0</v>
      </c>
      <c r="N16" s="164">
        <v>0</v>
      </c>
      <c r="O16" s="164">
        <v>0</v>
      </c>
      <c r="P16" s="164">
        <v>7632.21</v>
      </c>
      <c r="Q16" s="164">
        <v>0</v>
      </c>
      <c r="R16" s="164">
        <v>0</v>
      </c>
    </row>
    <row r="17" spans="1:18" s="11" customFormat="1" ht="15" customHeight="1">
      <c r="A17" s="86">
        <v>1307</v>
      </c>
      <c r="B17" s="87" t="s">
        <v>59</v>
      </c>
      <c r="C17" s="90">
        <v>1100396.67</v>
      </c>
      <c r="D17" s="90">
        <v>1100396.67</v>
      </c>
      <c r="E17" s="130">
        <f t="shared" si="0"/>
        <v>0</v>
      </c>
      <c r="F17" s="130"/>
      <c r="G17" s="130">
        <f t="shared" si="1"/>
        <v>0</v>
      </c>
      <c r="H17" s="120">
        <f>G17/C17</f>
        <v>0</v>
      </c>
      <c r="I17" s="130">
        <f t="shared" si="2"/>
        <v>1100396.67</v>
      </c>
      <c r="J17" s="92">
        <v>0</v>
      </c>
      <c r="K17" s="92">
        <v>0</v>
      </c>
      <c r="L17" s="163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</row>
    <row r="18" spans="1:18" s="11" customFormat="1" ht="15" customHeight="1">
      <c r="A18" s="86">
        <v>1308</v>
      </c>
      <c r="B18" s="87" t="s">
        <v>60</v>
      </c>
      <c r="C18" s="90">
        <v>0</v>
      </c>
      <c r="D18" s="90">
        <v>0</v>
      </c>
      <c r="E18" s="130">
        <f t="shared" si="0"/>
        <v>0</v>
      </c>
      <c r="F18" s="130"/>
      <c r="G18" s="130">
        <f t="shared" si="1"/>
        <v>0</v>
      </c>
      <c r="H18" s="120" t="s">
        <v>147</v>
      </c>
      <c r="I18" s="130">
        <f t="shared" si="2"/>
        <v>0</v>
      </c>
      <c r="J18" s="92">
        <v>0</v>
      </c>
      <c r="K18" s="92">
        <v>0</v>
      </c>
      <c r="L18" s="163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</row>
    <row r="19" spans="1:18" s="11" customFormat="1" ht="15" customHeight="1">
      <c r="A19" s="86">
        <v>1310</v>
      </c>
      <c r="B19" s="87" t="s">
        <v>61</v>
      </c>
      <c r="C19" s="90">
        <v>2500368.04</v>
      </c>
      <c r="D19" s="90">
        <f>2500368.04-100000</f>
        <v>2400368.04</v>
      </c>
      <c r="E19" s="130">
        <f t="shared" si="0"/>
        <v>311460</v>
      </c>
      <c r="F19" s="130"/>
      <c r="G19" s="130">
        <f t="shared" si="1"/>
        <v>938141.94</v>
      </c>
      <c r="H19" s="120">
        <f aca="true" t="shared" si="3" ref="H19:H35">G19/C19</f>
        <v>0.3752015403300387</v>
      </c>
      <c r="I19" s="130">
        <f t="shared" si="2"/>
        <v>1462226.1</v>
      </c>
      <c r="J19" s="92">
        <v>104320</v>
      </c>
      <c r="K19" s="92">
        <v>104320</v>
      </c>
      <c r="L19" s="163">
        <v>104320</v>
      </c>
      <c r="M19" s="164">
        <v>104320</v>
      </c>
      <c r="N19" s="164">
        <v>104320</v>
      </c>
      <c r="O19" s="164">
        <v>105081.94</v>
      </c>
      <c r="P19" s="164">
        <v>101220</v>
      </c>
      <c r="Q19" s="164">
        <v>105120</v>
      </c>
      <c r="R19" s="164">
        <v>105120</v>
      </c>
    </row>
    <row r="20" spans="1:18" s="11" customFormat="1" ht="15" customHeight="1">
      <c r="A20" s="86">
        <v>1323</v>
      </c>
      <c r="B20" s="87" t="s">
        <v>62</v>
      </c>
      <c r="C20" s="90">
        <v>110039.67</v>
      </c>
      <c r="D20" s="90">
        <v>110039.67</v>
      </c>
      <c r="E20" s="130">
        <f t="shared" si="0"/>
        <v>0</v>
      </c>
      <c r="F20" s="130"/>
      <c r="G20" s="130">
        <f t="shared" si="1"/>
        <v>0</v>
      </c>
      <c r="H20" s="120">
        <f t="shared" si="3"/>
        <v>0</v>
      </c>
      <c r="I20" s="130">
        <f t="shared" si="2"/>
        <v>110039.67</v>
      </c>
      <c r="J20" s="92">
        <v>0</v>
      </c>
      <c r="K20" s="92">
        <v>0</v>
      </c>
      <c r="L20" s="163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</row>
    <row r="21" spans="1:18" s="11" customFormat="1" ht="15" customHeight="1">
      <c r="A21" s="86">
        <v>1324</v>
      </c>
      <c r="B21" s="87" t="s">
        <v>63</v>
      </c>
      <c r="C21" s="90">
        <v>110039.67</v>
      </c>
      <c r="D21" s="90">
        <v>110039.67</v>
      </c>
      <c r="E21" s="130">
        <f t="shared" si="0"/>
        <v>0</v>
      </c>
      <c r="F21" s="130"/>
      <c r="G21" s="130">
        <f t="shared" si="1"/>
        <v>0</v>
      </c>
      <c r="H21" s="120">
        <f t="shared" si="3"/>
        <v>0</v>
      </c>
      <c r="I21" s="130">
        <f t="shared" si="2"/>
        <v>110039.67</v>
      </c>
      <c r="J21" s="92">
        <v>0</v>
      </c>
      <c r="K21" s="92">
        <v>0</v>
      </c>
      <c r="L21" s="163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</row>
    <row r="22" spans="1:18" s="11" customFormat="1" ht="15" customHeight="1">
      <c r="A22" s="86">
        <v>1327</v>
      </c>
      <c r="B22" s="87" t="s">
        <v>64</v>
      </c>
      <c r="C22" s="90">
        <v>74175</v>
      </c>
      <c r="D22" s="90">
        <f>156312.5+154824.38</f>
        <v>311136.88</v>
      </c>
      <c r="E22" s="130">
        <f t="shared" si="0"/>
        <v>154824.38</v>
      </c>
      <c r="F22" s="130"/>
      <c r="G22" s="130">
        <f t="shared" si="1"/>
        <v>311136.88</v>
      </c>
      <c r="H22" s="120">
        <f t="shared" si="3"/>
        <v>4.194632692955848</v>
      </c>
      <c r="I22" s="130">
        <f t="shared" si="2"/>
        <v>0</v>
      </c>
      <c r="J22" s="92">
        <v>26650</v>
      </c>
      <c r="K22" s="92">
        <v>26650</v>
      </c>
      <c r="L22" s="163">
        <v>26137.5</v>
      </c>
      <c r="M22" s="164">
        <v>25625</v>
      </c>
      <c r="N22" s="164">
        <v>25625</v>
      </c>
      <c r="O22" s="164">
        <v>25625</v>
      </c>
      <c r="P22" s="164">
        <v>50789.42</v>
      </c>
      <c r="Q22" s="164">
        <v>52017.48</v>
      </c>
      <c r="R22" s="164">
        <v>52017.48</v>
      </c>
    </row>
    <row r="23" spans="1:18" s="11" customFormat="1" ht="15" customHeight="1">
      <c r="A23" s="86">
        <v>1344</v>
      </c>
      <c r="B23" s="87" t="s">
        <v>142</v>
      </c>
      <c r="C23" s="90">
        <v>0</v>
      </c>
      <c r="D23" s="90">
        <v>0</v>
      </c>
      <c r="E23" s="130">
        <f t="shared" si="0"/>
        <v>0</v>
      </c>
      <c r="F23" s="130"/>
      <c r="G23" s="130">
        <f t="shared" si="1"/>
        <v>0</v>
      </c>
      <c r="H23" s="120"/>
      <c r="I23" s="130">
        <f t="shared" si="2"/>
        <v>0</v>
      </c>
      <c r="J23" s="92">
        <v>0</v>
      </c>
      <c r="K23" s="92">
        <v>0</v>
      </c>
      <c r="L23" s="163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</row>
    <row r="24" spans="1:18" s="11" customFormat="1" ht="15" customHeight="1">
      <c r="A24" s="86">
        <v>1348</v>
      </c>
      <c r="B24" s="87" t="s">
        <v>143</v>
      </c>
      <c r="C24" s="90">
        <v>0</v>
      </c>
      <c r="D24" s="90">
        <v>0</v>
      </c>
      <c r="E24" s="130">
        <f t="shared" si="0"/>
        <v>0</v>
      </c>
      <c r="F24" s="130"/>
      <c r="G24" s="130">
        <f t="shared" si="1"/>
        <v>0</v>
      </c>
      <c r="H24" s="120"/>
      <c r="I24" s="130">
        <f t="shared" si="2"/>
        <v>0</v>
      </c>
      <c r="J24" s="92">
        <v>0</v>
      </c>
      <c r="K24" s="92">
        <v>0</v>
      </c>
      <c r="L24" s="163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</row>
    <row r="25" spans="1:18" s="11" customFormat="1" ht="15" customHeight="1">
      <c r="A25" s="86">
        <v>1350</v>
      </c>
      <c r="B25" s="87" t="s">
        <v>146</v>
      </c>
      <c r="C25" s="90">
        <v>0</v>
      </c>
      <c r="D25" s="90">
        <f>1636429.88+376324.77</f>
        <v>2012754.65</v>
      </c>
      <c r="E25" s="130">
        <f t="shared" si="0"/>
        <v>376324.77</v>
      </c>
      <c r="F25" s="130"/>
      <c r="G25" s="130">
        <f t="shared" si="1"/>
        <v>2012754.65</v>
      </c>
      <c r="H25" s="120"/>
      <c r="I25" s="130">
        <f t="shared" si="2"/>
        <v>0</v>
      </c>
      <c r="J25" s="92">
        <v>367738.76</v>
      </c>
      <c r="K25" s="92">
        <v>253243.9</v>
      </c>
      <c r="L25" s="163">
        <v>251953.19</v>
      </c>
      <c r="M25" s="164">
        <v>250496.7</v>
      </c>
      <c r="N25" s="164">
        <v>250496.7</v>
      </c>
      <c r="O25" s="164">
        <v>262500.63</v>
      </c>
      <c r="P25" s="164">
        <v>131034.46</v>
      </c>
      <c r="Q25" s="164">
        <v>133823.93</v>
      </c>
      <c r="R25" s="164">
        <v>111466.38</v>
      </c>
    </row>
    <row r="26" spans="1:18" s="11" customFormat="1" ht="15" customHeight="1">
      <c r="A26" s="86">
        <v>1351</v>
      </c>
      <c r="B26" s="87" t="s">
        <v>149</v>
      </c>
      <c r="C26" s="90">
        <v>0</v>
      </c>
      <c r="D26" s="90">
        <f>383864.7+232236.58</f>
        <v>616101.28</v>
      </c>
      <c r="E26" s="130">
        <f t="shared" si="0"/>
        <v>232236.58</v>
      </c>
      <c r="F26" s="130"/>
      <c r="G26" s="130">
        <f t="shared" si="1"/>
        <v>616101.28</v>
      </c>
      <c r="H26" s="120"/>
      <c r="I26" s="130">
        <f t="shared" si="2"/>
        <v>0</v>
      </c>
      <c r="J26" s="92">
        <v>65810.82</v>
      </c>
      <c r="K26" s="92">
        <v>65810.82</v>
      </c>
      <c r="L26" s="163">
        <v>64199.7</v>
      </c>
      <c r="M26" s="164">
        <v>62681.12</v>
      </c>
      <c r="N26" s="164">
        <v>62681.12</v>
      </c>
      <c r="O26" s="164">
        <v>62681.12</v>
      </c>
      <c r="P26" s="164">
        <v>76184.14</v>
      </c>
      <c r="Q26" s="164">
        <v>78026.22</v>
      </c>
      <c r="R26" s="164">
        <v>78026.22</v>
      </c>
    </row>
    <row r="27" spans="1:18" s="11" customFormat="1" ht="15" customHeight="1">
      <c r="A27" s="86">
        <v>1353</v>
      </c>
      <c r="B27" s="87" t="s">
        <v>157</v>
      </c>
      <c r="C27" s="90"/>
      <c r="D27" s="90">
        <v>237366.04</v>
      </c>
      <c r="E27" s="130">
        <f t="shared" si="0"/>
        <v>0</v>
      </c>
      <c r="F27" s="130"/>
      <c r="G27" s="130">
        <f t="shared" si="1"/>
        <v>237366.03999999998</v>
      </c>
      <c r="H27" s="120"/>
      <c r="I27" s="130">
        <f t="shared" si="2"/>
        <v>0</v>
      </c>
      <c r="J27" s="92">
        <v>0</v>
      </c>
      <c r="K27" s="92">
        <v>0</v>
      </c>
      <c r="L27" s="163">
        <v>0</v>
      </c>
      <c r="M27" s="164">
        <v>0</v>
      </c>
      <c r="N27" s="164">
        <v>198884.09</v>
      </c>
      <c r="O27" s="164">
        <v>38481.95</v>
      </c>
      <c r="P27" s="164">
        <v>0</v>
      </c>
      <c r="Q27" s="164">
        <v>0</v>
      </c>
      <c r="R27" s="164">
        <v>0</v>
      </c>
    </row>
    <row r="28" spans="1:18" s="11" customFormat="1" ht="15" customHeight="1">
      <c r="A28" s="86">
        <v>1401</v>
      </c>
      <c r="B28" s="87" t="s">
        <v>65</v>
      </c>
      <c r="C28" s="90">
        <v>697930.3</v>
      </c>
      <c r="D28" s="90">
        <v>697930.3</v>
      </c>
      <c r="E28" s="130">
        <f t="shared" si="0"/>
        <v>143183.37</v>
      </c>
      <c r="F28" s="130"/>
      <c r="G28" s="130">
        <f t="shared" si="1"/>
        <v>426891.27999999997</v>
      </c>
      <c r="H28" s="120">
        <f t="shared" si="3"/>
        <v>0.6116531693780882</v>
      </c>
      <c r="I28" s="130">
        <f t="shared" si="2"/>
        <v>271039.0200000001</v>
      </c>
      <c r="J28" s="92">
        <v>48075.68</v>
      </c>
      <c r="K28" s="92">
        <v>48075.68</v>
      </c>
      <c r="L28" s="163">
        <v>47527.05</v>
      </c>
      <c r="M28" s="164">
        <v>46099.56</v>
      </c>
      <c r="N28" s="164">
        <v>46510.58</v>
      </c>
      <c r="O28" s="164">
        <v>47419.36</v>
      </c>
      <c r="P28" s="164">
        <v>46777.38</v>
      </c>
      <c r="Q28" s="164">
        <v>48700.16</v>
      </c>
      <c r="R28" s="164">
        <v>47705.83</v>
      </c>
    </row>
    <row r="29" spans="1:18" s="11" customFormat="1" ht="15" customHeight="1">
      <c r="A29" s="86">
        <v>1402</v>
      </c>
      <c r="B29" s="87" t="s">
        <v>66</v>
      </c>
      <c r="C29" s="90">
        <v>328437.79</v>
      </c>
      <c r="D29" s="90">
        <v>328437.79</v>
      </c>
      <c r="E29" s="130">
        <f t="shared" si="0"/>
        <v>67379.73000000001</v>
      </c>
      <c r="F29" s="130"/>
      <c r="G29" s="130">
        <f t="shared" si="1"/>
        <v>200889.27000000002</v>
      </c>
      <c r="H29" s="120">
        <f t="shared" si="3"/>
        <v>0.6116509004642859</v>
      </c>
      <c r="I29" s="130">
        <f t="shared" si="2"/>
        <v>127548.51999999996</v>
      </c>
      <c r="J29" s="92">
        <v>22623.84</v>
      </c>
      <c r="K29" s="92">
        <v>22623.84</v>
      </c>
      <c r="L29" s="163">
        <v>22365.66</v>
      </c>
      <c r="M29" s="164">
        <v>21693.9</v>
      </c>
      <c r="N29" s="164">
        <v>21887.32</v>
      </c>
      <c r="O29" s="164">
        <v>22314.98</v>
      </c>
      <c r="P29" s="164">
        <v>22012.66</v>
      </c>
      <c r="Q29" s="164">
        <v>22917.5</v>
      </c>
      <c r="R29" s="164">
        <v>22449.57</v>
      </c>
    </row>
    <row r="30" spans="1:18" s="11" customFormat="1" ht="15" customHeight="1">
      <c r="A30" s="86">
        <v>1403</v>
      </c>
      <c r="B30" s="87" t="s">
        <v>67</v>
      </c>
      <c r="C30" s="90">
        <v>129.6</v>
      </c>
      <c r="D30" s="90">
        <v>129.6</v>
      </c>
      <c r="E30" s="130">
        <f t="shared" si="0"/>
        <v>24.9</v>
      </c>
      <c r="F30" s="130"/>
      <c r="G30" s="130">
        <f t="shared" si="1"/>
        <v>74.30000000000001</v>
      </c>
      <c r="H30" s="120">
        <f t="shared" si="3"/>
        <v>0.5733024691358026</v>
      </c>
      <c r="I30" s="130">
        <f t="shared" si="2"/>
        <v>55.29999999999998</v>
      </c>
      <c r="J30" s="92">
        <v>8.4</v>
      </c>
      <c r="K30" s="92">
        <v>8.4</v>
      </c>
      <c r="L30" s="163">
        <v>8.3</v>
      </c>
      <c r="M30" s="164">
        <v>8</v>
      </c>
      <c r="N30" s="164">
        <v>8.1</v>
      </c>
      <c r="O30" s="164">
        <v>8.2</v>
      </c>
      <c r="P30" s="164">
        <v>8.1</v>
      </c>
      <c r="Q30" s="164">
        <v>8.4</v>
      </c>
      <c r="R30" s="164">
        <v>8.4</v>
      </c>
    </row>
    <row r="31" spans="1:18" s="11" customFormat="1" ht="15" customHeight="1">
      <c r="A31" s="86">
        <v>1404</v>
      </c>
      <c r="B31" s="87" t="s">
        <v>68</v>
      </c>
      <c r="C31" s="90">
        <v>1451.52</v>
      </c>
      <c r="D31" s="90">
        <v>1451.52</v>
      </c>
      <c r="E31" s="130">
        <f t="shared" si="0"/>
        <v>286.35</v>
      </c>
      <c r="F31" s="130"/>
      <c r="G31" s="130">
        <f t="shared" si="1"/>
        <v>853.1899999999999</v>
      </c>
      <c r="H31" s="120">
        <f t="shared" si="3"/>
        <v>0.587790729717813</v>
      </c>
      <c r="I31" s="130">
        <f t="shared" si="2"/>
        <v>598.33</v>
      </c>
      <c r="J31" s="92">
        <v>95.34</v>
      </c>
      <c r="K31" s="92">
        <v>96.6</v>
      </c>
      <c r="L31" s="163">
        <v>95.45</v>
      </c>
      <c r="M31" s="164">
        <v>92</v>
      </c>
      <c r="N31" s="164">
        <v>93.15</v>
      </c>
      <c r="O31" s="164">
        <v>94.3</v>
      </c>
      <c r="P31" s="164">
        <v>93.15</v>
      </c>
      <c r="Q31" s="164">
        <v>96.6</v>
      </c>
      <c r="R31" s="164">
        <v>96.6</v>
      </c>
    </row>
    <row r="32" spans="1:18" s="11" customFormat="1" ht="15" customHeight="1">
      <c r="A32" s="86">
        <v>1405</v>
      </c>
      <c r="B32" s="87" t="s">
        <v>69</v>
      </c>
      <c r="C32" s="90">
        <v>1231641.71</v>
      </c>
      <c r="D32" s="90">
        <v>1231641.71</v>
      </c>
      <c r="E32" s="130">
        <f t="shared" si="0"/>
        <v>253203.78999999998</v>
      </c>
      <c r="F32" s="130"/>
      <c r="G32" s="130">
        <f t="shared" si="1"/>
        <v>753865.1900000001</v>
      </c>
      <c r="H32" s="120">
        <f t="shared" si="3"/>
        <v>0.6120815687542769</v>
      </c>
      <c r="I32" s="130">
        <f t="shared" si="2"/>
        <v>477776.5199999999</v>
      </c>
      <c r="J32" s="92">
        <v>84839.54</v>
      </c>
      <c r="K32" s="92">
        <v>84839.54</v>
      </c>
      <c r="L32" s="163">
        <v>83871.39</v>
      </c>
      <c r="M32" s="164">
        <v>81352.28</v>
      </c>
      <c r="N32" s="164">
        <v>82077.61</v>
      </c>
      <c r="O32" s="164">
        <v>83681.04</v>
      </c>
      <c r="P32" s="164">
        <v>82548.62</v>
      </c>
      <c r="Q32" s="164">
        <v>86292.66</v>
      </c>
      <c r="R32" s="164">
        <v>84362.51</v>
      </c>
    </row>
    <row r="33" spans="1:18" s="11" customFormat="1" ht="15" customHeight="1">
      <c r="A33" s="86">
        <v>1406</v>
      </c>
      <c r="B33" s="87" t="s">
        <v>70</v>
      </c>
      <c r="C33" s="90">
        <v>41054.72</v>
      </c>
      <c r="D33" s="90">
        <v>41054.72</v>
      </c>
      <c r="E33" s="130">
        <f t="shared" si="0"/>
        <v>8421.16</v>
      </c>
      <c r="F33" s="130"/>
      <c r="G33" s="130">
        <f t="shared" si="1"/>
        <v>25110.329999999994</v>
      </c>
      <c r="H33" s="120">
        <f t="shared" si="3"/>
        <v>0.6116307698603228</v>
      </c>
      <c r="I33" s="130">
        <f t="shared" si="2"/>
        <v>15944.390000000007</v>
      </c>
      <c r="J33" s="92">
        <v>2828.08</v>
      </c>
      <c r="K33" s="92">
        <v>2828.08</v>
      </c>
      <c r="L33" s="163">
        <v>2795.79</v>
      </c>
      <c r="M33" s="164">
        <v>2711.8</v>
      </c>
      <c r="N33" s="164">
        <v>2735.98</v>
      </c>
      <c r="O33" s="164">
        <v>2789.44</v>
      </c>
      <c r="P33" s="164">
        <v>2751.17</v>
      </c>
      <c r="Q33" s="164">
        <v>2864.24</v>
      </c>
      <c r="R33" s="164">
        <v>2805.75</v>
      </c>
    </row>
    <row r="34" spans="1:18" s="11" customFormat="1" ht="15" customHeight="1">
      <c r="A34" s="86">
        <v>1407</v>
      </c>
      <c r="B34" s="87" t="s">
        <v>71</v>
      </c>
      <c r="C34" s="90">
        <v>41054.72</v>
      </c>
      <c r="D34" s="90">
        <v>41054.72</v>
      </c>
      <c r="E34" s="130">
        <f t="shared" si="0"/>
        <v>8421.16</v>
      </c>
      <c r="F34" s="130"/>
      <c r="G34" s="130">
        <f t="shared" si="1"/>
        <v>25110.329999999994</v>
      </c>
      <c r="H34" s="120">
        <f t="shared" si="3"/>
        <v>0.6116307698603228</v>
      </c>
      <c r="I34" s="130">
        <f t="shared" si="2"/>
        <v>15944.390000000007</v>
      </c>
      <c r="J34" s="92">
        <v>2828.08</v>
      </c>
      <c r="K34" s="92">
        <v>2828.08</v>
      </c>
      <c r="L34" s="163">
        <v>2795.79</v>
      </c>
      <c r="M34" s="164">
        <v>2711.8</v>
      </c>
      <c r="N34" s="164">
        <v>2735.98</v>
      </c>
      <c r="O34" s="164">
        <v>2789.44</v>
      </c>
      <c r="P34" s="164">
        <v>2751.17</v>
      </c>
      <c r="Q34" s="164">
        <v>2864.24</v>
      </c>
      <c r="R34" s="164">
        <v>2805.75</v>
      </c>
    </row>
    <row r="35" spans="1:18" s="11" customFormat="1" ht="15" customHeight="1">
      <c r="A35" s="86">
        <v>1408</v>
      </c>
      <c r="B35" s="87" t="s">
        <v>72</v>
      </c>
      <c r="C35" s="90">
        <v>328437.79</v>
      </c>
      <c r="D35" s="90">
        <v>328437.79</v>
      </c>
      <c r="E35" s="130">
        <f t="shared" si="0"/>
        <v>67377.05</v>
      </c>
      <c r="F35" s="130"/>
      <c r="G35" s="130">
        <f t="shared" si="1"/>
        <v>200886.86</v>
      </c>
      <c r="H35" s="120">
        <f t="shared" si="3"/>
        <v>0.6116435626972158</v>
      </c>
      <c r="I35" s="130">
        <f t="shared" si="2"/>
        <v>127550.93</v>
      </c>
      <c r="J35" s="92">
        <v>22623.88</v>
      </c>
      <c r="K35" s="92">
        <v>22623.88</v>
      </c>
      <c r="L35" s="163">
        <v>22365.7</v>
      </c>
      <c r="M35" s="164">
        <v>21693.94</v>
      </c>
      <c r="N35" s="164">
        <v>21887.37</v>
      </c>
      <c r="O35" s="164">
        <v>22315.04</v>
      </c>
      <c r="P35" s="164">
        <v>22012.67</v>
      </c>
      <c r="Q35" s="164">
        <v>22916.14</v>
      </c>
      <c r="R35" s="164">
        <v>22448.24</v>
      </c>
    </row>
    <row r="36" spans="1:18" s="11" customFormat="1" ht="15" customHeight="1">
      <c r="A36" s="86">
        <v>1502</v>
      </c>
      <c r="B36" s="87" t="s">
        <v>73</v>
      </c>
      <c r="C36" s="90">
        <v>0</v>
      </c>
      <c r="D36" s="90">
        <v>0</v>
      </c>
      <c r="E36" s="130">
        <f t="shared" si="0"/>
        <v>0</v>
      </c>
      <c r="F36" s="130"/>
      <c r="G36" s="130">
        <f t="shared" si="1"/>
        <v>0</v>
      </c>
      <c r="H36" s="120" t="s">
        <v>147</v>
      </c>
      <c r="I36" s="130">
        <f t="shared" si="2"/>
        <v>0</v>
      </c>
      <c r="J36" s="92">
        <v>0</v>
      </c>
      <c r="K36" s="92">
        <v>0</v>
      </c>
      <c r="L36" s="163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</row>
    <row r="37" spans="1:18" s="11" customFormat="1" ht="15" customHeight="1">
      <c r="A37" s="86">
        <v>1801</v>
      </c>
      <c r="B37" s="87" t="s">
        <v>74</v>
      </c>
      <c r="C37" s="90">
        <v>0</v>
      </c>
      <c r="D37" s="90">
        <v>0</v>
      </c>
      <c r="E37" s="130">
        <f t="shared" si="0"/>
        <v>0</v>
      </c>
      <c r="F37" s="130"/>
      <c r="G37" s="130">
        <f t="shared" si="1"/>
        <v>0</v>
      </c>
      <c r="H37" s="120" t="s">
        <v>147</v>
      </c>
      <c r="I37" s="130">
        <f t="shared" si="2"/>
        <v>0</v>
      </c>
      <c r="J37" s="92">
        <v>0</v>
      </c>
      <c r="K37" s="92">
        <v>0</v>
      </c>
      <c r="L37" s="163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</row>
    <row r="38" spans="1:18" s="11" customFormat="1" ht="15" customHeight="1">
      <c r="A38" s="86">
        <v>3302</v>
      </c>
      <c r="B38" s="88" t="s">
        <v>75</v>
      </c>
      <c r="C38" s="90"/>
      <c r="D38" s="90"/>
      <c r="E38" s="130">
        <f t="shared" si="0"/>
        <v>0</v>
      </c>
      <c r="F38" s="130"/>
      <c r="G38" s="130">
        <f t="shared" si="1"/>
        <v>0</v>
      </c>
      <c r="H38" s="120" t="s">
        <v>147</v>
      </c>
      <c r="I38" s="130">
        <f t="shared" si="2"/>
        <v>0</v>
      </c>
      <c r="J38" s="11">
        <v>0</v>
      </c>
      <c r="K38" s="11">
        <v>0</v>
      </c>
      <c r="L38" s="11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</row>
    <row r="39" spans="1:18" s="11" customFormat="1" ht="15" customHeight="1">
      <c r="A39" s="69"/>
      <c r="B39" s="104" t="s">
        <v>76</v>
      </c>
      <c r="C39" s="105">
        <f>SUM(C11:C38)</f>
        <v>15608918</v>
      </c>
      <c r="D39" s="105">
        <f>SUM(D11:D38)</f>
        <v>15608918</v>
      </c>
      <c r="E39" s="121">
        <f>SUM(E11:E38)</f>
        <v>3252609.8800000004</v>
      </c>
      <c r="F39" s="121"/>
      <c r="G39" s="121">
        <f>SUM(G11:G38)</f>
        <v>9663270.639999997</v>
      </c>
      <c r="H39" s="122">
        <f>G39/C39</f>
        <v>0.6190865145168933</v>
      </c>
      <c r="I39" s="121">
        <f aca="true" t="shared" si="4" ref="I39:I54">D39-G39</f>
        <v>5945647.360000003</v>
      </c>
      <c r="J39" s="158">
        <f aca="true" t="shared" si="5" ref="J39:O39">SUM(J11:J38)</f>
        <v>1136648.34</v>
      </c>
      <c r="K39" s="158">
        <f t="shared" si="5"/>
        <v>1020958.2899999999</v>
      </c>
      <c r="L39" s="158">
        <f t="shared" si="5"/>
        <v>1012036.6700000002</v>
      </c>
      <c r="M39" s="158">
        <f t="shared" si="5"/>
        <v>990286.8000000002</v>
      </c>
      <c r="N39" s="158">
        <f t="shared" si="5"/>
        <v>1195211.6400000004</v>
      </c>
      <c r="O39" s="158">
        <f t="shared" si="5"/>
        <v>1055519.0199999998</v>
      </c>
      <c r="P39" s="158">
        <f>SUM(P11:P38)</f>
        <v>1065561.6</v>
      </c>
      <c r="Q39" s="158">
        <f>SUM(Q11:Q38)</f>
        <v>1085761.0799999998</v>
      </c>
      <c r="R39" s="158">
        <f>SUM(R11:R38)</f>
        <v>1101287.2</v>
      </c>
    </row>
    <row r="40" spans="1:18" s="11" customFormat="1" ht="15" customHeight="1">
      <c r="A40" s="86">
        <v>2101</v>
      </c>
      <c r="B40" s="87" t="s">
        <v>77</v>
      </c>
      <c r="C40" s="92">
        <v>350000</v>
      </c>
      <c r="D40" s="92">
        <f>350000+42544.47</f>
        <v>392544.47</v>
      </c>
      <c r="E40" s="130">
        <f aca="true" t="shared" si="6" ref="E40:E54">SUM(P40:R40)</f>
        <v>146914.37</v>
      </c>
      <c r="F40" s="130"/>
      <c r="G40" s="130">
        <f aca="true" t="shared" si="7" ref="G40:G54">SUM(J40:U40)</f>
        <v>392544.47000000003</v>
      </c>
      <c r="H40" s="123">
        <f>G40/C40</f>
        <v>1.1215556285714288</v>
      </c>
      <c r="I40" s="131">
        <f t="shared" si="4"/>
        <v>0</v>
      </c>
      <c r="J40" s="92">
        <v>50052.46</v>
      </c>
      <c r="K40" s="92">
        <v>50579.06</v>
      </c>
      <c r="L40" s="92">
        <v>31820.9</v>
      </c>
      <c r="M40" s="164">
        <v>39282.89</v>
      </c>
      <c r="N40" s="164">
        <v>23680.37</v>
      </c>
      <c r="O40" s="164">
        <v>50214.42</v>
      </c>
      <c r="P40" s="164">
        <v>46998.96</v>
      </c>
      <c r="Q40" s="164">
        <v>36450.65</v>
      </c>
      <c r="R40" s="164">
        <v>63464.76</v>
      </c>
    </row>
    <row r="41" spans="1:18" s="11" customFormat="1" ht="15" customHeight="1">
      <c r="A41" s="86">
        <v>2102</v>
      </c>
      <c r="B41" s="87" t="s">
        <v>78</v>
      </c>
      <c r="C41" s="92">
        <v>16500</v>
      </c>
      <c r="D41" s="92">
        <v>16500</v>
      </c>
      <c r="E41" s="130">
        <f t="shared" si="6"/>
        <v>2690</v>
      </c>
      <c r="F41" s="130"/>
      <c r="G41" s="130">
        <f t="shared" si="7"/>
        <v>8765.21</v>
      </c>
      <c r="H41" s="123">
        <f aca="true" t="shared" si="8" ref="H41:H81">G41/C41</f>
        <v>0.5312248484848484</v>
      </c>
      <c r="I41" s="131">
        <f t="shared" si="4"/>
        <v>7734.790000000001</v>
      </c>
      <c r="J41" s="92">
        <v>207.45</v>
      </c>
      <c r="K41" s="92">
        <v>1150</v>
      </c>
      <c r="L41" s="92">
        <v>1437.5</v>
      </c>
      <c r="M41" s="164">
        <v>1762.26</v>
      </c>
      <c r="N41" s="164">
        <v>368</v>
      </c>
      <c r="O41" s="164">
        <v>1150</v>
      </c>
      <c r="P41" s="164">
        <v>1265</v>
      </c>
      <c r="Q41" s="164">
        <v>160</v>
      </c>
      <c r="R41" s="164">
        <v>1265</v>
      </c>
    </row>
    <row r="42" spans="1:18" s="11" customFormat="1" ht="15" customHeight="1">
      <c r="A42" s="86">
        <v>2104</v>
      </c>
      <c r="B42" s="87" t="s">
        <v>79</v>
      </c>
      <c r="C42" s="92">
        <v>40000</v>
      </c>
      <c r="D42" s="92">
        <f>40000-10479.31</f>
        <v>29520.690000000002</v>
      </c>
      <c r="E42" s="130">
        <f t="shared" si="6"/>
        <v>0</v>
      </c>
      <c r="F42" s="130"/>
      <c r="G42" s="130">
        <f t="shared" si="7"/>
        <v>9452.89</v>
      </c>
      <c r="H42" s="123">
        <f t="shared" si="8"/>
        <v>0.23632224999999998</v>
      </c>
      <c r="I42" s="131">
        <f t="shared" si="4"/>
        <v>20067.800000000003</v>
      </c>
      <c r="J42" s="92">
        <v>0</v>
      </c>
      <c r="K42" s="92">
        <v>9452.89</v>
      </c>
      <c r="L42" s="92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</row>
    <row r="43" spans="1:18" s="11" customFormat="1" ht="15" customHeight="1">
      <c r="A43" s="86">
        <v>2105</v>
      </c>
      <c r="B43" s="87" t="s">
        <v>80</v>
      </c>
      <c r="C43" s="92">
        <v>20000</v>
      </c>
      <c r="D43" s="92">
        <f>20000-20000</f>
        <v>0</v>
      </c>
      <c r="E43" s="130">
        <f t="shared" si="6"/>
        <v>0</v>
      </c>
      <c r="F43" s="130"/>
      <c r="G43" s="130">
        <f t="shared" si="7"/>
        <v>0</v>
      </c>
      <c r="H43" s="123">
        <f t="shared" si="8"/>
        <v>0</v>
      </c>
      <c r="I43" s="131">
        <f t="shared" si="4"/>
        <v>0</v>
      </c>
      <c r="J43" s="92">
        <v>0</v>
      </c>
      <c r="K43" s="92">
        <v>0</v>
      </c>
      <c r="L43" s="92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</row>
    <row r="44" spans="1:18" s="11" customFormat="1" ht="15" customHeight="1">
      <c r="A44" s="86">
        <v>2106</v>
      </c>
      <c r="B44" s="87" t="s">
        <v>81</v>
      </c>
      <c r="C44" s="92">
        <v>15000</v>
      </c>
      <c r="D44" s="92">
        <f>5576.5-5576.5</f>
        <v>0</v>
      </c>
      <c r="E44" s="130">
        <f t="shared" si="6"/>
        <v>0</v>
      </c>
      <c r="F44" s="130"/>
      <c r="G44" s="130">
        <f t="shared" si="7"/>
        <v>0</v>
      </c>
      <c r="H44" s="123">
        <f t="shared" si="8"/>
        <v>0</v>
      </c>
      <c r="I44" s="131">
        <f t="shared" si="4"/>
        <v>0</v>
      </c>
      <c r="J44" s="92">
        <v>0</v>
      </c>
      <c r="K44" s="92">
        <v>0</v>
      </c>
      <c r="L44" s="92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</row>
    <row r="45" spans="1:18" s="11" customFormat="1" ht="25.5">
      <c r="A45" s="93">
        <v>2201</v>
      </c>
      <c r="B45" s="94" t="s">
        <v>82</v>
      </c>
      <c r="C45" s="92">
        <v>80000</v>
      </c>
      <c r="D45" s="92">
        <v>80000</v>
      </c>
      <c r="E45" s="130">
        <f t="shared" si="6"/>
        <v>31309.29</v>
      </c>
      <c r="F45" s="130"/>
      <c r="G45" s="130">
        <f t="shared" si="7"/>
        <v>51086.09</v>
      </c>
      <c r="H45" s="123">
        <f t="shared" si="8"/>
        <v>0.6385761249999999</v>
      </c>
      <c r="I45" s="131">
        <f t="shared" si="4"/>
        <v>28913.910000000003</v>
      </c>
      <c r="J45" s="92">
        <v>3409.37</v>
      </c>
      <c r="K45" s="92">
        <v>5687.5</v>
      </c>
      <c r="L45" s="92">
        <v>2591.65</v>
      </c>
      <c r="M45" s="164">
        <v>2648.05</v>
      </c>
      <c r="N45" s="164">
        <v>1398</v>
      </c>
      <c r="O45" s="164">
        <v>4042.23</v>
      </c>
      <c r="P45" s="164">
        <v>4542.67</v>
      </c>
      <c r="Q45" s="164">
        <v>9444.89</v>
      </c>
      <c r="R45" s="164">
        <v>17321.73</v>
      </c>
    </row>
    <row r="46" spans="1:18" s="11" customFormat="1" ht="23.25" customHeight="1">
      <c r="A46" s="93">
        <v>2206</v>
      </c>
      <c r="B46" s="94" t="s">
        <v>83</v>
      </c>
      <c r="C46" s="92">
        <v>5500</v>
      </c>
      <c r="D46" s="92">
        <v>5500</v>
      </c>
      <c r="E46" s="130">
        <f t="shared" si="6"/>
        <v>2161.8</v>
      </c>
      <c r="F46" s="130"/>
      <c r="G46" s="130">
        <f t="shared" si="7"/>
        <v>3868.13</v>
      </c>
      <c r="H46" s="123">
        <f t="shared" si="8"/>
        <v>0.7032963636363636</v>
      </c>
      <c r="I46" s="131">
        <f t="shared" si="4"/>
        <v>1631.87</v>
      </c>
      <c r="J46" s="92">
        <v>517.93</v>
      </c>
      <c r="K46" s="92">
        <v>210</v>
      </c>
      <c r="L46" s="92">
        <v>0</v>
      </c>
      <c r="M46" s="164">
        <v>380.4</v>
      </c>
      <c r="N46" s="164">
        <v>299</v>
      </c>
      <c r="O46" s="164">
        <v>299</v>
      </c>
      <c r="P46" s="164">
        <v>2161.8</v>
      </c>
      <c r="Q46" s="164">
        <v>0</v>
      </c>
      <c r="R46" s="164">
        <v>0</v>
      </c>
    </row>
    <row r="47" spans="1:18" s="11" customFormat="1" ht="15" customHeight="1">
      <c r="A47" s="93">
        <v>2207</v>
      </c>
      <c r="B47" s="94" t="s">
        <v>84</v>
      </c>
      <c r="C47" s="92">
        <v>11000</v>
      </c>
      <c r="D47" s="92">
        <v>27000</v>
      </c>
      <c r="E47" s="130">
        <f t="shared" si="6"/>
        <v>5849</v>
      </c>
      <c r="F47" s="130"/>
      <c r="G47" s="130">
        <f t="shared" si="7"/>
        <v>19236.61</v>
      </c>
      <c r="H47" s="123">
        <f t="shared" si="8"/>
        <v>1.7487827272727274</v>
      </c>
      <c r="I47" s="131">
        <f t="shared" si="4"/>
        <v>7763.389999999999</v>
      </c>
      <c r="J47" s="92">
        <v>2999.6</v>
      </c>
      <c r="K47" s="92">
        <v>3085</v>
      </c>
      <c r="L47" s="92">
        <v>0</v>
      </c>
      <c r="M47" s="164">
        <v>3488</v>
      </c>
      <c r="N47" s="164">
        <v>0</v>
      </c>
      <c r="O47" s="164">
        <v>3815.01</v>
      </c>
      <c r="P47" s="164">
        <v>3649</v>
      </c>
      <c r="Q47" s="164">
        <v>2200</v>
      </c>
      <c r="R47" s="164">
        <v>0</v>
      </c>
    </row>
    <row r="48" spans="1:18" s="173" customFormat="1" ht="25.5">
      <c r="A48" s="166">
        <v>2302</v>
      </c>
      <c r="B48" s="167" t="s">
        <v>85</v>
      </c>
      <c r="C48" s="168">
        <v>12500</v>
      </c>
      <c r="D48" s="168">
        <f>12500+4549.1</f>
        <v>17049.1</v>
      </c>
      <c r="E48" s="169">
        <f t="shared" si="6"/>
        <v>6177.65</v>
      </c>
      <c r="F48" s="169"/>
      <c r="G48" s="169">
        <f t="shared" si="7"/>
        <v>17049.1</v>
      </c>
      <c r="H48" s="170">
        <f t="shared" si="8"/>
        <v>1.3639279999999998</v>
      </c>
      <c r="I48" s="171">
        <f t="shared" si="4"/>
        <v>0</v>
      </c>
      <c r="J48" s="168">
        <v>682.5</v>
      </c>
      <c r="K48" s="168">
        <f>1418.18+1450.26</f>
        <v>2868.44</v>
      </c>
      <c r="L48" s="168">
        <v>0</v>
      </c>
      <c r="M48" s="172">
        <v>4749.39</v>
      </c>
      <c r="N48" s="172">
        <v>0</v>
      </c>
      <c r="O48" s="172">
        <v>2571.12</v>
      </c>
      <c r="P48" s="172">
        <v>2589</v>
      </c>
      <c r="Q48" s="172">
        <v>678.9</v>
      </c>
      <c r="R48" s="172">
        <f>210.75+2699</f>
        <v>2909.75</v>
      </c>
    </row>
    <row r="49" spans="1:18" s="11" customFormat="1" ht="24" customHeight="1">
      <c r="A49" s="93">
        <v>2303</v>
      </c>
      <c r="B49" s="94" t="s">
        <v>86</v>
      </c>
      <c r="C49" s="92">
        <v>72000</v>
      </c>
      <c r="D49" s="92">
        <f>46000-12706</f>
        <v>33294</v>
      </c>
      <c r="E49" s="130">
        <f t="shared" si="6"/>
        <v>1061</v>
      </c>
      <c r="F49" s="130"/>
      <c r="G49" s="130">
        <f t="shared" si="7"/>
        <v>33294</v>
      </c>
      <c r="H49" s="123">
        <f t="shared" si="8"/>
        <v>0.46241666666666664</v>
      </c>
      <c r="I49" s="131">
        <f t="shared" si="4"/>
        <v>0</v>
      </c>
      <c r="J49" s="92">
        <v>0</v>
      </c>
      <c r="K49" s="92">
        <v>32233</v>
      </c>
      <c r="L49" s="92">
        <v>0</v>
      </c>
      <c r="M49" s="164">
        <v>0</v>
      </c>
      <c r="N49" s="164">
        <v>0</v>
      </c>
      <c r="O49" s="164">
        <v>0</v>
      </c>
      <c r="P49" s="164">
        <v>1061</v>
      </c>
      <c r="Q49" s="164">
        <v>0</v>
      </c>
      <c r="R49" s="164">
        <v>0</v>
      </c>
    </row>
    <row r="50" spans="1:18" s="11" customFormat="1" ht="15" customHeight="1">
      <c r="A50" s="93">
        <v>2404</v>
      </c>
      <c r="B50" s="94" t="s">
        <v>87</v>
      </c>
      <c r="C50" s="92">
        <v>0</v>
      </c>
      <c r="D50" s="92">
        <v>0</v>
      </c>
      <c r="E50" s="130">
        <f t="shared" si="6"/>
        <v>0</v>
      </c>
      <c r="F50" s="130"/>
      <c r="G50" s="130">
        <f t="shared" si="7"/>
        <v>0</v>
      </c>
      <c r="H50" s="123">
        <v>0</v>
      </c>
      <c r="I50" s="131">
        <f t="shared" si="4"/>
        <v>0</v>
      </c>
      <c r="J50" s="92">
        <v>0</v>
      </c>
      <c r="K50" s="92">
        <v>0</v>
      </c>
      <c r="L50" s="92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</row>
    <row r="51" spans="1:18" s="11" customFormat="1" ht="15" customHeight="1">
      <c r="A51" s="93">
        <v>2503</v>
      </c>
      <c r="B51" s="94" t="s">
        <v>138</v>
      </c>
      <c r="C51" s="92">
        <v>1500</v>
      </c>
      <c r="D51" s="92">
        <f>1500+1668.24</f>
        <v>3168.24</v>
      </c>
      <c r="E51" s="130">
        <f t="shared" si="6"/>
        <v>2761.26</v>
      </c>
      <c r="F51" s="130"/>
      <c r="G51" s="130">
        <f t="shared" si="7"/>
        <v>3168.2400000000002</v>
      </c>
      <c r="H51" s="123">
        <f t="shared" si="8"/>
        <v>2.1121600000000003</v>
      </c>
      <c r="I51" s="131">
        <f t="shared" si="4"/>
        <v>0</v>
      </c>
      <c r="J51" s="92">
        <v>217.08</v>
      </c>
      <c r="K51" s="92">
        <v>0</v>
      </c>
      <c r="L51" s="92">
        <v>0</v>
      </c>
      <c r="M51" s="164">
        <v>189.9</v>
      </c>
      <c r="N51" s="164">
        <v>0</v>
      </c>
      <c r="O51" s="164">
        <v>0</v>
      </c>
      <c r="P51" s="164">
        <v>2761.26</v>
      </c>
      <c r="Q51" s="164">
        <v>0</v>
      </c>
      <c r="R51" s="164">
        <v>0</v>
      </c>
    </row>
    <row r="52" spans="1:18" s="11" customFormat="1" ht="15" customHeight="1">
      <c r="A52" s="86">
        <v>2601</v>
      </c>
      <c r="B52" s="87" t="s">
        <v>88</v>
      </c>
      <c r="C52" s="92">
        <v>650000</v>
      </c>
      <c r="D52" s="92">
        <v>650000</v>
      </c>
      <c r="E52" s="130">
        <f t="shared" si="6"/>
        <v>204798.33000000002</v>
      </c>
      <c r="F52" s="130"/>
      <c r="G52" s="130">
        <f t="shared" si="7"/>
        <v>513634.09</v>
      </c>
      <c r="H52" s="123">
        <f t="shared" si="8"/>
        <v>0.7902062923076923</v>
      </c>
      <c r="I52" s="131">
        <f t="shared" si="4"/>
        <v>136365.90999999997</v>
      </c>
      <c r="J52" s="92">
        <v>36361.88</v>
      </c>
      <c r="K52" s="92">
        <v>42559.06</v>
      </c>
      <c r="L52" s="92">
        <v>44249.66</v>
      </c>
      <c r="M52" s="164">
        <v>58517.91</v>
      </c>
      <c r="N52" s="164">
        <v>54177.26</v>
      </c>
      <c r="O52" s="164">
        <v>72969.99</v>
      </c>
      <c r="P52" s="164">
        <v>30210.64</v>
      </c>
      <c r="Q52" s="164">
        <v>85326.89</v>
      </c>
      <c r="R52" s="164">
        <v>89260.8</v>
      </c>
    </row>
    <row r="53" spans="1:18" s="11" customFormat="1" ht="15" customHeight="1">
      <c r="A53" s="86">
        <v>2602</v>
      </c>
      <c r="B53" s="87" t="s">
        <v>144</v>
      </c>
      <c r="C53" s="92">
        <v>0</v>
      </c>
      <c r="D53" s="92">
        <v>0</v>
      </c>
      <c r="E53" s="130">
        <f t="shared" si="6"/>
        <v>0</v>
      </c>
      <c r="F53" s="130"/>
      <c r="G53" s="130">
        <f t="shared" si="7"/>
        <v>0</v>
      </c>
      <c r="H53" s="123"/>
      <c r="I53" s="131">
        <f t="shared" si="4"/>
        <v>0</v>
      </c>
      <c r="J53" s="92">
        <v>0</v>
      </c>
      <c r="K53" s="92">
        <v>0</v>
      </c>
      <c r="L53" s="92">
        <v>0</v>
      </c>
      <c r="M53" s="164">
        <v>0</v>
      </c>
      <c r="N53" s="164">
        <v>0</v>
      </c>
      <c r="O53" s="164">
        <v>0</v>
      </c>
      <c r="P53" s="164">
        <v>0</v>
      </c>
      <c r="Q53" s="164">
        <v>0</v>
      </c>
      <c r="R53" s="164">
        <v>0</v>
      </c>
    </row>
    <row r="54" spans="1:18" s="11" customFormat="1" ht="15" customHeight="1">
      <c r="A54" s="86">
        <v>2701</v>
      </c>
      <c r="B54" s="87" t="s">
        <v>89</v>
      </c>
      <c r="C54" s="92">
        <v>0</v>
      </c>
      <c r="D54" s="92">
        <v>19423.5</v>
      </c>
      <c r="E54" s="130">
        <f t="shared" si="6"/>
        <v>0</v>
      </c>
      <c r="F54" s="130"/>
      <c r="G54" s="130">
        <f t="shared" si="7"/>
        <v>19423.5</v>
      </c>
      <c r="H54" s="123"/>
      <c r="I54" s="131">
        <f t="shared" si="4"/>
        <v>0</v>
      </c>
      <c r="J54" s="92">
        <v>0</v>
      </c>
      <c r="K54" s="92">
        <v>0</v>
      </c>
      <c r="L54" s="92">
        <v>0</v>
      </c>
      <c r="M54" s="164">
        <v>19423.5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</row>
    <row r="55" spans="1:18" s="11" customFormat="1" ht="15" customHeight="1">
      <c r="A55" s="69"/>
      <c r="B55" s="107" t="s">
        <v>90</v>
      </c>
      <c r="C55" s="106">
        <f aca="true" t="shared" si="9" ref="C55:I55">SUM(C40:C54)</f>
        <v>1274000</v>
      </c>
      <c r="D55" s="106">
        <f t="shared" si="9"/>
        <v>1274000</v>
      </c>
      <c r="E55" s="121">
        <f t="shared" si="9"/>
        <v>403722.7</v>
      </c>
      <c r="F55" s="121"/>
      <c r="G55" s="121">
        <f t="shared" si="9"/>
        <v>1071522.33</v>
      </c>
      <c r="H55" s="153">
        <f>G55/D55</f>
        <v>0.8410693328100471</v>
      </c>
      <c r="I55" s="121">
        <f t="shared" si="9"/>
        <v>202477.66999999998</v>
      </c>
      <c r="J55" s="158">
        <f aca="true" t="shared" si="10" ref="J55:O55">SUM(J40:J54)</f>
        <v>94448.26999999999</v>
      </c>
      <c r="K55" s="158">
        <f t="shared" si="10"/>
        <v>147824.95</v>
      </c>
      <c r="L55" s="158">
        <f t="shared" si="10"/>
        <v>80099.71</v>
      </c>
      <c r="M55" s="158">
        <f t="shared" si="10"/>
        <v>130442.30000000002</v>
      </c>
      <c r="N55" s="158">
        <f t="shared" si="10"/>
        <v>79922.63</v>
      </c>
      <c r="O55" s="158">
        <f t="shared" si="10"/>
        <v>135061.77000000002</v>
      </c>
      <c r="P55" s="158">
        <f>SUM(P40:P54)</f>
        <v>95239.33</v>
      </c>
      <c r="Q55" s="158">
        <f>SUM(Q40:Q54)</f>
        <v>134261.33000000002</v>
      </c>
      <c r="R55" s="158">
        <f>SUM(R40:R54)</f>
        <v>174222.04</v>
      </c>
    </row>
    <row r="56" spans="1:18" s="11" customFormat="1" ht="15" customHeight="1">
      <c r="A56" s="86">
        <v>3101</v>
      </c>
      <c r="B56" s="87" t="s">
        <v>91</v>
      </c>
      <c r="C56" s="92">
        <v>15000</v>
      </c>
      <c r="D56" s="89">
        <f aca="true" t="shared" si="11" ref="D56:D79">C56</f>
        <v>15000</v>
      </c>
      <c r="E56" s="130">
        <f aca="true" t="shared" si="12" ref="E56:E81">SUM(P56:R56)</f>
        <v>2607.36</v>
      </c>
      <c r="F56" s="130"/>
      <c r="G56" s="130">
        <f aca="true" t="shared" si="13" ref="G56:G81">SUM(J56:U56)</f>
        <v>9874.25</v>
      </c>
      <c r="H56" s="123">
        <f t="shared" si="8"/>
        <v>0.6582833333333333</v>
      </c>
      <c r="I56" s="131">
        <f aca="true" t="shared" si="14" ref="I56:I80">D56-G56</f>
        <v>5125.75</v>
      </c>
      <c r="J56" s="92">
        <v>768.78</v>
      </c>
      <c r="K56" s="92">
        <v>2802.38</v>
      </c>
      <c r="L56" s="92">
        <v>0</v>
      </c>
      <c r="M56" s="164">
        <v>469.8</v>
      </c>
      <c r="N56" s="164">
        <v>1002.99</v>
      </c>
      <c r="O56" s="164">
        <v>2222.94</v>
      </c>
      <c r="P56" s="164">
        <v>0</v>
      </c>
      <c r="Q56" s="164">
        <v>1027.48</v>
      </c>
      <c r="R56" s="164">
        <v>1579.88</v>
      </c>
    </row>
    <row r="57" spans="1:18" s="11" customFormat="1" ht="15" customHeight="1">
      <c r="A57" s="86">
        <v>3103</v>
      </c>
      <c r="B57" s="87" t="s">
        <v>92</v>
      </c>
      <c r="C57" s="92">
        <v>350000</v>
      </c>
      <c r="D57" s="89">
        <f t="shared" si="11"/>
        <v>350000</v>
      </c>
      <c r="E57" s="130">
        <f t="shared" si="12"/>
        <v>108170.09</v>
      </c>
      <c r="F57" s="130"/>
      <c r="G57" s="130">
        <f t="shared" si="13"/>
        <v>255629.93</v>
      </c>
      <c r="H57" s="123">
        <f t="shared" si="8"/>
        <v>0.7303712285714286</v>
      </c>
      <c r="I57" s="131">
        <f t="shared" si="14"/>
        <v>94370.07</v>
      </c>
      <c r="J57" s="92">
        <v>20841.25</v>
      </c>
      <c r="K57" s="92">
        <v>28120.57</v>
      </c>
      <c r="L57" s="92">
        <v>5655</v>
      </c>
      <c r="M57" s="164">
        <v>28302.13</v>
      </c>
      <c r="N57" s="164">
        <v>5071</v>
      </c>
      <c r="O57" s="164">
        <v>59469.89</v>
      </c>
      <c r="P57" s="164">
        <v>37418.63</v>
      </c>
      <c r="Q57" s="164">
        <v>58848.62</v>
      </c>
      <c r="R57" s="164">
        <v>11902.84</v>
      </c>
    </row>
    <row r="58" spans="1:18" s="11" customFormat="1" ht="15" customHeight="1">
      <c r="A58" s="86">
        <v>3104</v>
      </c>
      <c r="B58" s="87" t="s">
        <v>93</v>
      </c>
      <c r="C58" s="92">
        <v>170000</v>
      </c>
      <c r="D58" s="89">
        <f t="shared" si="11"/>
        <v>170000</v>
      </c>
      <c r="E58" s="130">
        <f t="shared" si="12"/>
        <v>71951</v>
      </c>
      <c r="F58" s="130"/>
      <c r="G58" s="130">
        <f t="shared" si="13"/>
        <v>110607.28</v>
      </c>
      <c r="H58" s="123">
        <f t="shared" si="8"/>
        <v>0.6506310588235295</v>
      </c>
      <c r="I58" s="131">
        <f t="shared" si="14"/>
        <v>59392.72</v>
      </c>
      <c r="J58" s="92">
        <v>4418</v>
      </c>
      <c r="K58" s="92">
        <v>5101</v>
      </c>
      <c r="L58" s="92">
        <v>4683.28</v>
      </c>
      <c r="M58" s="164">
        <v>10204</v>
      </c>
      <c r="N58" s="164">
        <v>14250</v>
      </c>
      <c r="O58" s="164">
        <v>0</v>
      </c>
      <c r="P58" s="164">
        <v>25201</v>
      </c>
      <c r="Q58" s="164">
        <v>46750</v>
      </c>
      <c r="R58" s="164">
        <v>0</v>
      </c>
    </row>
    <row r="59" spans="1:18" s="11" customFormat="1" ht="15" customHeight="1">
      <c r="A59" s="86">
        <v>3106</v>
      </c>
      <c r="B59" s="87" t="s">
        <v>94</v>
      </c>
      <c r="C59" s="92">
        <v>10000</v>
      </c>
      <c r="D59" s="89">
        <f t="shared" si="11"/>
        <v>10000</v>
      </c>
      <c r="E59" s="130">
        <f t="shared" si="12"/>
        <v>2407</v>
      </c>
      <c r="F59" s="130"/>
      <c r="G59" s="130">
        <f t="shared" si="13"/>
        <v>7953</v>
      </c>
      <c r="H59" s="123">
        <f t="shared" si="8"/>
        <v>0.7953</v>
      </c>
      <c r="I59" s="131">
        <f t="shared" si="14"/>
        <v>2047</v>
      </c>
      <c r="J59" s="92">
        <v>607</v>
      </c>
      <c r="K59" s="92">
        <v>1245</v>
      </c>
      <c r="L59" s="92">
        <v>874</v>
      </c>
      <c r="M59" s="164">
        <v>754</v>
      </c>
      <c r="N59" s="164">
        <v>881</v>
      </c>
      <c r="O59" s="164">
        <v>1185</v>
      </c>
      <c r="P59" s="164">
        <v>939</v>
      </c>
      <c r="Q59" s="164">
        <v>626</v>
      </c>
      <c r="R59" s="164">
        <v>842</v>
      </c>
    </row>
    <row r="60" spans="1:18" s="11" customFormat="1" ht="15" customHeight="1">
      <c r="A60" s="86">
        <v>3201</v>
      </c>
      <c r="B60" s="87" t="s">
        <v>95</v>
      </c>
      <c r="C60" s="92">
        <v>100000</v>
      </c>
      <c r="D60" s="89">
        <f t="shared" si="11"/>
        <v>100000</v>
      </c>
      <c r="E60" s="130">
        <f t="shared" si="12"/>
        <v>22864.85</v>
      </c>
      <c r="F60" s="130"/>
      <c r="G60" s="130">
        <f t="shared" si="13"/>
        <v>63270.35</v>
      </c>
      <c r="H60" s="123">
        <f t="shared" si="8"/>
        <v>0.6327035</v>
      </c>
      <c r="I60" s="131">
        <f t="shared" si="14"/>
        <v>36729.65</v>
      </c>
      <c r="J60" s="92">
        <v>0</v>
      </c>
      <c r="K60" s="92">
        <v>12523.5</v>
      </c>
      <c r="L60" s="92">
        <v>9096.75</v>
      </c>
      <c r="M60" s="164">
        <v>6261.75</v>
      </c>
      <c r="N60" s="164">
        <v>6261.75</v>
      </c>
      <c r="O60" s="164">
        <v>6261.75</v>
      </c>
      <c r="P60" s="164">
        <v>6261.75</v>
      </c>
      <c r="Q60" s="164">
        <v>10341.35</v>
      </c>
      <c r="R60" s="164">
        <v>6261.75</v>
      </c>
    </row>
    <row r="61" spans="1:18" s="11" customFormat="1" ht="15" customHeight="1">
      <c r="A61" s="86">
        <v>3202</v>
      </c>
      <c r="B61" s="87" t="s">
        <v>96</v>
      </c>
      <c r="C61" s="92">
        <v>65000</v>
      </c>
      <c r="D61" s="89">
        <f t="shared" si="11"/>
        <v>65000</v>
      </c>
      <c r="E61" s="130">
        <f t="shared" si="12"/>
        <v>10504.37</v>
      </c>
      <c r="F61" s="130"/>
      <c r="G61" s="130">
        <f t="shared" si="13"/>
        <v>50247.770000000004</v>
      </c>
      <c r="H61" s="123">
        <f t="shared" si="8"/>
        <v>0.7730426153846155</v>
      </c>
      <c r="I61" s="131">
        <f t="shared" si="14"/>
        <v>14752.229999999996</v>
      </c>
      <c r="J61" s="92">
        <v>5809.67</v>
      </c>
      <c r="K61" s="92">
        <v>0</v>
      </c>
      <c r="L61" s="92">
        <v>20644.37</v>
      </c>
      <c r="M61" s="164">
        <v>5721.63</v>
      </c>
      <c r="N61" s="164">
        <v>4298.98</v>
      </c>
      <c r="O61" s="164">
        <v>3268.75</v>
      </c>
      <c r="P61" s="164">
        <v>7768.76</v>
      </c>
      <c r="Q61" s="164">
        <v>0</v>
      </c>
      <c r="R61" s="164">
        <v>2735.61</v>
      </c>
    </row>
    <row r="62" spans="1:18" s="11" customFormat="1" ht="15" customHeight="1">
      <c r="A62" s="86">
        <v>3203</v>
      </c>
      <c r="B62" s="87" t="s">
        <v>97</v>
      </c>
      <c r="C62" s="92">
        <v>20000</v>
      </c>
      <c r="D62" s="89">
        <f t="shared" si="11"/>
        <v>20000</v>
      </c>
      <c r="E62" s="130">
        <f t="shared" si="12"/>
        <v>9892.54</v>
      </c>
      <c r="F62" s="130"/>
      <c r="G62" s="130">
        <f t="shared" si="13"/>
        <v>19226.33</v>
      </c>
      <c r="H62" s="123">
        <f t="shared" si="8"/>
        <v>0.9613165000000001</v>
      </c>
      <c r="I62" s="131">
        <f t="shared" si="14"/>
        <v>773.6699999999983</v>
      </c>
      <c r="J62" s="92">
        <v>0</v>
      </c>
      <c r="K62" s="92">
        <v>0</v>
      </c>
      <c r="L62" s="92">
        <v>0</v>
      </c>
      <c r="M62" s="164">
        <v>7953.79</v>
      </c>
      <c r="N62" s="164">
        <v>0</v>
      </c>
      <c r="O62" s="164">
        <v>1380</v>
      </c>
      <c r="P62" s="164">
        <v>0</v>
      </c>
      <c r="Q62" s="164">
        <v>9892.54</v>
      </c>
      <c r="R62" s="164">
        <v>0</v>
      </c>
    </row>
    <row r="63" spans="1:18" s="11" customFormat="1" ht="15" customHeight="1">
      <c r="A63" s="86">
        <v>3301</v>
      </c>
      <c r="B63" s="87" t="s">
        <v>98</v>
      </c>
      <c r="C63" s="92">
        <v>959525</v>
      </c>
      <c r="D63" s="89">
        <f t="shared" si="11"/>
        <v>959525</v>
      </c>
      <c r="E63" s="130">
        <f t="shared" si="12"/>
        <v>443735.16</v>
      </c>
      <c r="F63" s="130"/>
      <c r="G63" s="130">
        <f t="shared" si="13"/>
        <v>864832.56</v>
      </c>
      <c r="H63" s="123">
        <f t="shared" si="8"/>
        <v>0.9013132122664861</v>
      </c>
      <c r="I63" s="131">
        <f t="shared" si="14"/>
        <v>94692.43999999994</v>
      </c>
      <c r="J63" s="92">
        <v>44450.22</v>
      </c>
      <c r="K63" s="92">
        <v>81020.22</v>
      </c>
      <c r="L63" s="92">
        <v>46388.8</v>
      </c>
      <c r="M63" s="164">
        <v>60418.8</v>
      </c>
      <c r="N63" s="164">
        <v>120279.26</v>
      </c>
      <c r="O63" s="164">
        <v>68540.1</v>
      </c>
      <c r="P63" s="164">
        <v>162908.18</v>
      </c>
      <c r="Q63" s="164">
        <v>168888.18</v>
      </c>
      <c r="R63" s="164">
        <v>111938.8</v>
      </c>
    </row>
    <row r="64" spans="1:18" s="11" customFormat="1" ht="15" customHeight="1">
      <c r="A64" s="86">
        <v>3303</v>
      </c>
      <c r="B64" s="87" t="s">
        <v>139</v>
      </c>
      <c r="C64" s="92">
        <v>0</v>
      </c>
      <c r="D64" s="89">
        <v>0</v>
      </c>
      <c r="E64" s="130">
        <f t="shared" si="12"/>
        <v>0</v>
      </c>
      <c r="F64" s="130"/>
      <c r="G64" s="130">
        <f t="shared" si="13"/>
        <v>0</v>
      </c>
      <c r="H64" s="123">
        <v>0</v>
      </c>
      <c r="I64" s="131">
        <f t="shared" si="14"/>
        <v>0</v>
      </c>
      <c r="J64" s="92">
        <v>0</v>
      </c>
      <c r="K64" s="92">
        <v>0</v>
      </c>
      <c r="L64" s="92">
        <v>0</v>
      </c>
      <c r="M64" s="164">
        <v>0</v>
      </c>
      <c r="N64" s="164">
        <v>0</v>
      </c>
      <c r="O64" s="164">
        <v>0</v>
      </c>
      <c r="P64" s="164">
        <v>0</v>
      </c>
      <c r="Q64" s="164">
        <v>0</v>
      </c>
      <c r="R64" s="164">
        <v>0</v>
      </c>
    </row>
    <row r="65" spans="1:18" s="11" customFormat="1" ht="15" customHeight="1">
      <c r="A65" s="86">
        <v>3402</v>
      </c>
      <c r="B65" s="87" t="s">
        <v>99</v>
      </c>
      <c r="C65" s="92">
        <v>55000</v>
      </c>
      <c r="D65" s="89">
        <f t="shared" si="11"/>
        <v>55000</v>
      </c>
      <c r="E65" s="130">
        <f t="shared" si="12"/>
        <v>26240.530000000002</v>
      </c>
      <c r="F65" s="130"/>
      <c r="G65" s="130">
        <f t="shared" si="13"/>
        <v>44482.62</v>
      </c>
      <c r="H65" s="123">
        <f t="shared" si="8"/>
        <v>0.8087749090909091</v>
      </c>
      <c r="I65" s="131">
        <f t="shared" si="14"/>
        <v>10517.379999999997</v>
      </c>
      <c r="J65" s="92">
        <v>1261.25</v>
      </c>
      <c r="K65" s="92">
        <v>7492.19</v>
      </c>
      <c r="L65" s="92">
        <v>0</v>
      </c>
      <c r="M65" s="164">
        <v>3207.35</v>
      </c>
      <c r="N65" s="164">
        <v>3183.2</v>
      </c>
      <c r="O65" s="164">
        <v>3098.1</v>
      </c>
      <c r="P65" s="164">
        <v>17464.99</v>
      </c>
      <c r="Q65" s="164">
        <v>4749.79</v>
      </c>
      <c r="R65" s="164">
        <v>4025.75</v>
      </c>
    </row>
    <row r="66" spans="1:18" s="11" customFormat="1" ht="15" customHeight="1">
      <c r="A66" s="86">
        <v>3403</v>
      </c>
      <c r="B66" s="87" t="s">
        <v>100</v>
      </c>
      <c r="C66" s="92">
        <v>320000</v>
      </c>
      <c r="D66" s="89">
        <f>320000+128065.03</f>
        <v>448065.03</v>
      </c>
      <c r="E66" s="130">
        <f t="shared" si="12"/>
        <v>318541.12</v>
      </c>
      <c r="F66" s="130"/>
      <c r="G66" s="130">
        <f t="shared" si="13"/>
        <v>448065.03</v>
      </c>
      <c r="H66" s="123">
        <f t="shared" si="8"/>
        <v>1.40020321875</v>
      </c>
      <c r="I66" s="131">
        <f t="shared" si="14"/>
        <v>0</v>
      </c>
      <c r="J66" s="92">
        <v>0</v>
      </c>
      <c r="K66" s="92">
        <v>76527.12</v>
      </c>
      <c r="L66" s="92">
        <v>2296.55</v>
      </c>
      <c r="M66" s="164">
        <v>49180.12</v>
      </c>
      <c r="N66" s="164">
        <v>230</v>
      </c>
      <c r="O66" s="164">
        <v>1290.12</v>
      </c>
      <c r="P66" s="164">
        <v>197693.22</v>
      </c>
      <c r="Q66" s="164">
        <v>120847.9</v>
      </c>
      <c r="R66" s="164">
        <v>0</v>
      </c>
    </row>
    <row r="67" spans="1:18" s="11" customFormat="1" ht="15" customHeight="1">
      <c r="A67" s="86">
        <v>3406</v>
      </c>
      <c r="B67" s="87" t="s">
        <v>101</v>
      </c>
      <c r="C67" s="92">
        <v>20000</v>
      </c>
      <c r="D67" s="89">
        <v>0</v>
      </c>
      <c r="E67" s="130">
        <f t="shared" si="12"/>
        <v>0</v>
      </c>
      <c r="F67" s="130"/>
      <c r="G67" s="130">
        <f t="shared" si="13"/>
        <v>0</v>
      </c>
      <c r="H67" s="123">
        <f t="shared" si="8"/>
        <v>0</v>
      </c>
      <c r="I67" s="131">
        <f t="shared" si="14"/>
        <v>0</v>
      </c>
      <c r="J67" s="92">
        <v>0</v>
      </c>
      <c r="K67" s="92">
        <v>0</v>
      </c>
      <c r="L67" s="92">
        <v>0</v>
      </c>
      <c r="M67" s="164">
        <v>0</v>
      </c>
      <c r="N67" s="164">
        <v>0</v>
      </c>
      <c r="O67" s="164">
        <v>0</v>
      </c>
      <c r="P67" s="164">
        <v>0</v>
      </c>
      <c r="Q67" s="164">
        <v>0</v>
      </c>
      <c r="R67" s="164">
        <v>0</v>
      </c>
    </row>
    <row r="68" spans="1:18" s="11" customFormat="1" ht="15" customHeight="1">
      <c r="A68" s="86">
        <v>3407</v>
      </c>
      <c r="B68" s="87" t="s">
        <v>102</v>
      </c>
      <c r="C68" s="92">
        <v>155000</v>
      </c>
      <c r="D68" s="89">
        <f t="shared" si="11"/>
        <v>155000</v>
      </c>
      <c r="E68" s="130">
        <f t="shared" si="12"/>
        <v>49459.200000000004</v>
      </c>
      <c r="F68" s="130"/>
      <c r="G68" s="130">
        <f t="shared" si="13"/>
        <v>148377.59999999998</v>
      </c>
      <c r="H68" s="123">
        <f t="shared" si="8"/>
        <v>0.9572748387096772</v>
      </c>
      <c r="I68" s="131">
        <f t="shared" si="14"/>
        <v>6622.400000000023</v>
      </c>
      <c r="J68" s="92">
        <v>16486.4</v>
      </c>
      <c r="K68" s="92">
        <v>16486.4</v>
      </c>
      <c r="L68" s="92">
        <v>16486.4</v>
      </c>
      <c r="M68" s="164">
        <v>16486.4</v>
      </c>
      <c r="N68" s="164">
        <v>16486.4</v>
      </c>
      <c r="O68" s="164">
        <v>16486.4</v>
      </c>
      <c r="P68" s="164">
        <v>8243.2</v>
      </c>
      <c r="Q68" s="164">
        <v>24729.6</v>
      </c>
      <c r="R68" s="164">
        <v>16486.4</v>
      </c>
    </row>
    <row r="69" spans="1:18" s="11" customFormat="1" ht="15" customHeight="1">
      <c r="A69" s="86">
        <v>3501</v>
      </c>
      <c r="B69" s="87" t="s">
        <v>103</v>
      </c>
      <c r="C69" s="92">
        <v>60000</v>
      </c>
      <c r="D69" s="89">
        <f>60000-30000</f>
        <v>30000</v>
      </c>
      <c r="E69" s="130">
        <f t="shared" si="12"/>
        <v>906</v>
      </c>
      <c r="F69" s="130"/>
      <c r="G69" s="130">
        <f t="shared" si="13"/>
        <v>8875.5</v>
      </c>
      <c r="H69" s="123">
        <f t="shared" si="8"/>
        <v>0.147925</v>
      </c>
      <c r="I69" s="131">
        <f t="shared" si="14"/>
        <v>21124.5</v>
      </c>
      <c r="J69" s="92">
        <v>0</v>
      </c>
      <c r="K69" s="92">
        <v>368</v>
      </c>
      <c r="L69" s="92">
        <v>2196.5</v>
      </c>
      <c r="M69" s="164">
        <v>0</v>
      </c>
      <c r="N69" s="164">
        <v>0</v>
      </c>
      <c r="O69" s="164">
        <v>5405</v>
      </c>
      <c r="P69" s="164">
        <v>400</v>
      </c>
      <c r="Q69" s="164">
        <v>506</v>
      </c>
      <c r="R69" s="164">
        <v>0</v>
      </c>
    </row>
    <row r="70" spans="1:18" s="11" customFormat="1" ht="15" customHeight="1">
      <c r="A70" s="86">
        <v>3502</v>
      </c>
      <c r="B70" s="87" t="s">
        <v>104</v>
      </c>
      <c r="C70" s="92">
        <v>75000</v>
      </c>
      <c r="D70" s="89">
        <f>75000-10000</f>
        <v>65000</v>
      </c>
      <c r="E70" s="130">
        <f t="shared" si="12"/>
        <v>25159.69</v>
      </c>
      <c r="F70" s="130"/>
      <c r="G70" s="130">
        <f t="shared" si="13"/>
        <v>48172.99</v>
      </c>
      <c r="H70" s="123">
        <f t="shared" si="8"/>
        <v>0.6423065333333333</v>
      </c>
      <c r="I70" s="131">
        <f t="shared" si="14"/>
        <v>16827.010000000002</v>
      </c>
      <c r="J70" s="92">
        <v>0</v>
      </c>
      <c r="K70" s="92">
        <v>4579.24</v>
      </c>
      <c r="L70" s="92">
        <v>1509.89</v>
      </c>
      <c r="M70" s="164">
        <v>4865.37</v>
      </c>
      <c r="N70" s="164">
        <v>3108.58</v>
      </c>
      <c r="O70" s="164">
        <v>8950.22</v>
      </c>
      <c r="P70" s="164">
        <v>8429.5</v>
      </c>
      <c r="Q70" s="164">
        <v>12537.88</v>
      </c>
      <c r="R70" s="164">
        <v>4192.31</v>
      </c>
    </row>
    <row r="71" spans="1:18" s="11" customFormat="1" ht="15" customHeight="1">
      <c r="A71" s="86">
        <v>3503</v>
      </c>
      <c r="B71" s="87" t="s">
        <v>105</v>
      </c>
      <c r="C71" s="92">
        <v>275000</v>
      </c>
      <c r="D71" s="89">
        <f>275000-50000</f>
        <v>225000</v>
      </c>
      <c r="E71" s="130">
        <f t="shared" si="12"/>
        <v>116131.51000000001</v>
      </c>
      <c r="F71" s="130"/>
      <c r="G71" s="130">
        <f t="shared" si="13"/>
        <v>182947.01</v>
      </c>
      <c r="H71" s="123">
        <f t="shared" si="8"/>
        <v>0.6652618545454546</v>
      </c>
      <c r="I71" s="131">
        <f t="shared" si="14"/>
        <v>42052.98999999999</v>
      </c>
      <c r="J71" s="92">
        <v>0</v>
      </c>
      <c r="K71" s="92">
        <v>1426</v>
      </c>
      <c r="L71" s="92">
        <v>25810.6</v>
      </c>
      <c r="M71" s="164">
        <v>23892.4</v>
      </c>
      <c r="N71" s="164">
        <v>839.5</v>
      </c>
      <c r="O71" s="164">
        <v>14847</v>
      </c>
      <c r="P71" s="164">
        <v>0</v>
      </c>
      <c r="Q71" s="164">
        <v>52542.47</v>
      </c>
      <c r="R71" s="164">
        <v>63589.04</v>
      </c>
    </row>
    <row r="72" spans="1:18" s="11" customFormat="1" ht="15" customHeight="1">
      <c r="A72" s="86">
        <v>3504</v>
      </c>
      <c r="B72" s="87" t="s">
        <v>106</v>
      </c>
      <c r="C72" s="92">
        <v>140000</v>
      </c>
      <c r="D72" s="89">
        <f t="shared" si="11"/>
        <v>140000</v>
      </c>
      <c r="E72" s="130">
        <f t="shared" si="12"/>
        <v>32100</v>
      </c>
      <c r="F72" s="130"/>
      <c r="G72" s="130">
        <f t="shared" si="13"/>
        <v>96024</v>
      </c>
      <c r="H72" s="123">
        <f t="shared" si="8"/>
        <v>0.6858857142857143</v>
      </c>
      <c r="I72" s="131">
        <f t="shared" si="14"/>
        <v>43976</v>
      </c>
      <c r="J72" s="92">
        <v>10700</v>
      </c>
      <c r="K72" s="92">
        <v>10700</v>
      </c>
      <c r="L72" s="92">
        <v>10700</v>
      </c>
      <c r="M72" s="164">
        <v>10700</v>
      </c>
      <c r="N72" s="164">
        <v>10424</v>
      </c>
      <c r="O72" s="164">
        <v>10700</v>
      </c>
      <c r="P72" s="164">
        <v>10700</v>
      </c>
      <c r="Q72" s="164">
        <v>10700</v>
      </c>
      <c r="R72" s="164">
        <v>10700</v>
      </c>
    </row>
    <row r="73" spans="1:18" s="11" customFormat="1" ht="15" customHeight="1">
      <c r="A73" s="86">
        <v>3505</v>
      </c>
      <c r="B73" s="87" t="s">
        <v>107</v>
      </c>
      <c r="C73" s="92">
        <v>300000</v>
      </c>
      <c r="D73" s="89">
        <f t="shared" si="11"/>
        <v>300000</v>
      </c>
      <c r="E73" s="130">
        <f t="shared" si="12"/>
        <v>77530.24</v>
      </c>
      <c r="F73" s="130"/>
      <c r="G73" s="130">
        <f t="shared" si="13"/>
        <v>272074.45</v>
      </c>
      <c r="H73" s="123">
        <f t="shared" si="8"/>
        <v>0.9069148333333333</v>
      </c>
      <c r="I73" s="131">
        <f t="shared" si="14"/>
        <v>27925.54999999999</v>
      </c>
      <c r="J73" s="92">
        <v>39807.86</v>
      </c>
      <c r="K73" s="92">
        <v>34633.13</v>
      </c>
      <c r="L73" s="92">
        <v>39304.95</v>
      </c>
      <c r="M73" s="164">
        <v>33470.65</v>
      </c>
      <c r="N73" s="164">
        <v>9512.52</v>
      </c>
      <c r="O73" s="164">
        <v>37815.1</v>
      </c>
      <c r="P73" s="164">
        <v>43648.42</v>
      </c>
      <c r="Q73" s="164">
        <v>23910.9</v>
      </c>
      <c r="R73" s="164">
        <v>9970.92</v>
      </c>
    </row>
    <row r="74" spans="1:18" s="11" customFormat="1" ht="15" customHeight="1">
      <c r="A74" s="86">
        <v>3514</v>
      </c>
      <c r="B74" s="87" t="s">
        <v>140</v>
      </c>
      <c r="C74" s="92">
        <v>35000</v>
      </c>
      <c r="D74" s="89">
        <f>35000-15000</f>
        <v>20000</v>
      </c>
      <c r="E74" s="130">
        <f t="shared" si="12"/>
        <v>0</v>
      </c>
      <c r="F74" s="130"/>
      <c r="G74" s="130">
        <f t="shared" si="13"/>
        <v>10952.6</v>
      </c>
      <c r="H74" s="123">
        <f t="shared" si="8"/>
        <v>0.3129314285714286</v>
      </c>
      <c r="I74" s="131">
        <f t="shared" si="14"/>
        <v>9047.4</v>
      </c>
      <c r="J74" s="92">
        <v>10952.6</v>
      </c>
      <c r="K74" s="92">
        <v>0</v>
      </c>
      <c r="L74" s="92">
        <v>0</v>
      </c>
      <c r="M74" s="164">
        <v>0</v>
      </c>
      <c r="N74" s="164">
        <v>0</v>
      </c>
      <c r="O74" s="164">
        <v>0</v>
      </c>
      <c r="P74" s="164">
        <v>0</v>
      </c>
      <c r="Q74" s="164">
        <v>0</v>
      </c>
      <c r="R74" s="164">
        <v>0</v>
      </c>
    </row>
    <row r="75" spans="1:18" s="11" customFormat="1" ht="15" customHeight="1">
      <c r="A75" s="86">
        <v>3601</v>
      </c>
      <c r="B75" s="87" t="s">
        <v>145</v>
      </c>
      <c r="C75" s="92">
        <v>115000</v>
      </c>
      <c r="D75" s="89">
        <f>115000-10000</f>
        <v>105000</v>
      </c>
      <c r="E75" s="130">
        <f t="shared" si="12"/>
        <v>30000.83</v>
      </c>
      <c r="F75" s="130"/>
      <c r="G75" s="130">
        <f t="shared" si="13"/>
        <v>91424.23</v>
      </c>
      <c r="H75" s="123">
        <f t="shared" si="8"/>
        <v>0.794993304347826</v>
      </c>
      <c r="I75" s="131">
        <f t="shared" si="14"/>
        <v>13575.770000000004</v>
      </c>
      <c r="J75" s="92">
        <v>7800</v>
      </c>
      <c r="K75" s="92">
        <v>0</v>
      </c>
      <c r="L75" s="92">
        <v>15600</v>
      </c>
      <c r="M75" s="164">
        <v>7800</v>
      </c>
      <c r="N75" s="164">
        <v>22423.4</v>
      </c>
      <c r="O75" s="164">
        <v>7800</v>
      </c>
      <c r="P75" s="164">
        <v>14400.83</v>
      </c>
      <c r="Q75" s="164">
        <v>7800</v>
      </c>
      <c r="R75" s="164">
        <v>7800</v>
      </c>
    </row>
    <row r="76" spans="1:18" s="11" customFormat="1" ht="15" customHeight="1">
      <c r="A76" s="86">
        <v>3602</v>
      </c>
      <c r="B76" s="87" t="s">
        <v>108</v>
      </c>
      <c r="C76" s="92">
        <v>40000</v>
      </c>
      <c r="D76" s="89">
        <f>30772.84+17734.16</f>
        <v>48507</v>
      </c>
      <c r="E76" s="130">
        <f t="shared" si="12"/>
        <v>38180</v>
      </c>
      <c r="F76" s="130"/>
      <c r="G76" s="130">
        <f t="shared" si="13"/>
        <v>48507</v>
      </c>
      <c r="H76" s="123">
        <f t="shared" si="8"/>
        <v>1.212675</v>
      </c>
      <c r="I76" s="131">
        <f t="shared" si="14"/>
        <v>0</v>
      </c>
      <c r="J76" s="92">
        <v>0</v>
      </c>
      <c r="K76" s="92">
        <v>10327</v>
      </c>
      <c r="L76" s="92">
        <v>0</v>
      </c>
      <c r="M76" s="164">
        <v>0</v>
      </c>
      <c r="N76" s="164">
        <v>0</v>
      </c>
      <c r="O76" s="164">
        <v>0</v>
      </c>
      <c r="P76" s="164">
        <v>0</v>
      </c>
      <c r="Q76" s="164">
        <v>38180</v>
      </c>
      <c r="R76" s="164">
        <v>0</v>
      </c>
    </row>
    <row r="77" spans="1:18" s="11" customFormat="1" ht="15" customHeight="1">
      <c r="A77" s="86">
        <v>3701</v>
      </c>
      <c r="B77" s="87" t="s">
        <v>109</v>
      </c>
      <c r="C77" s="92">
        <v>60000</v>
      </c>
      <c r="D77" s="89">
        <f>60000-25000</f>
        <v>35000</v>
      </c>
      <c r="E77" s="130">
        <f t="shared" si="12"/>
        <v>2388</v>
      </c>
      <c r="F77" s="130"/>
      <c r="G77" s="130">
        <f t="shared" si="13"/>
        <v>17064.21</v>
      </c>
      <c r="H77" s="123">
        <f t="shared" si="8"/>
        <v>0.2844035</v>
      </c>
      <c r="I77" s="131">
        <f t="shared" si="14"/>
        <v>17935.79</v>
      </c>
      <c r="J77" s="92">
        <v>2341</v>
      </c>
      <c r="K77" s="92">
        <v>722</v>
      </c>
      <c r="L77" s="92">
        <v>545</v>
      </c>
      <c r="M77" s="164">
        <v>2304</v>
      </c>
      <c r="N77" s="164">
        <v>7272.21</v>
      </c>
      <c r="O77" s="164">
        <v>1492</v>
      </c>
      <c r="P77" s="164">
        <v>59</v>
      </c>
      <c r="Q77" s="164">
        <v>996</v>
      </c>
      <c r="R77" s="164">
        <v>1333</v>
      </c>
    </row>
    <row r="78" spans="1:18" s="11" customFormat="1" ht="15" customHeight="1">
      <c r="A78" s="86">
        <v>3702</v>
      </c>
      <c r="B78" s="87" t="s">
        <v>110</v>
      </c>
      <c r="C78" s="92">
        <v>800000</v>
      </c>
      <c r="D78" s="89">
        <f t="shared" si="11"/>
        <v>800000</v>
      </c>
      <c r="E78" s="130">
        <f t="shared" si="12"/>
        <v>330800</v>
      </c>
      <c r="F78" s="130"/>
      <c r="G78" s="130">
        <f t="shared" si="13"/>
        <v>778420.01</v>
      </c>
      <c r="H78" s="123">
        <f t="shared" si="8"/>
        <v>0.9730250125000001</v>
      </c>
      <c r="I78" s="131">
        <f t="shared" si="14"/>
        <v>21579.98999999999</v>
      </c>
      <c r="J78" s="92">
        <v>54070</v>
      </c>
      <c r="K78" s="92">
        <v>41640</v>
      </c>
      <c r="L78" s="92">
        <v>61860</v>
      </c>
      <c r="M78" s="164">
        <v>106070.01</v>
      </c>
      <c r="N78" s="164">
        <v>90930</v>
      </c>
      <c r="O78" s="164">
        <v>93050</v>
      </c>
      <c r="P78" s="164">
        <v>108250</v>
      </c>
      <c r="Q78" s="164">
        <v>96920</v>
      </c>
      <c r="R78" s="164">
        <v>125630</v>
      </c>
    </row>
    <row r="79" spans="1:18" s="11" customFormat="1" ht="15" customHeight="1">
      <c r="A79" s="86">
        <v>3801</v>
      </c>
      <c r="B79" s="87" t="s">
        <v>111</v>
      </c>
      <c r="C79" s="92">
        <v>50000</v>
      </c>
      <c r="D79" s="89">
        <f t="shared" si="11"/>
        <v>50000</v>
      </c>
      <c r="E79" s="130">
        <f t="shared" si="12"/>
        <v>4576</v>
      </c>
      <c r="F79" s="130"/>
      <c r="G79" s="130">
        <f t="shared" si="13"/>
        <v>44783.55</v>
      </c>
      <c r="H79" s="123">
        <f t="shared" si="8"/>
        <v>0.8956710000000001</v>
      </c>
      <c r="I79" s="131">
        <f t="shared" si="14"/>
        <v>5216.449999999997</v>
      </c>
      <c r="J79" s="92">
        <v>0</v>
      </c>
      <c r="K79" s="92">
        <v>10625.2</v>
      </c>
      <c r="L79" s="92">
        <v>13107.55</v>
      </c>
      <c r="M79" s="164">
        <v>5145.7</v>
      </c>
      <c r="N79" s="164">
        <v>0</v>
      </c>
      <c r="O79" s="164">
        <v>11329.1</v>
      </c>
      <c r="P79" s="164">
        <v>0</v>
      </c>
      <c r="Q79" s="164">
        <v>2700</v>
      </c>
      <c r="R79" s="164">
        <v>1876</v>
      </c>
    </row>
    <row r="80" spans="1:18" s="11" customFormat="1" ht="15" customHeight="1">
      <c r="A80" s="86">
        <v>3903</v>
      </c>
      <c r="B80" s="87" t="s">
        <v>112</v>
      </c>
      <c r="C80" s="92">
        <v>35000</v>
      </c>
      <c r="D80" s="89">
        <f>44227.16+27438.88</f>
        <v>71666.04000000001</v>
      </c>
      <c r="E80" s="130">
        <f t="shared" si="12"/>
        <v>27438.88</v>
      </c>
      <c r="F80" s="130"/>
      <c r="G80" s="130">
        <f t="shared" si="13"/>
        <v>71666.04</v>
      </c>
      <c r="H80" s="123">
        <f t="shared" si="8"/>
        <v>2.047601142857143</v>
      </c>
      <c r="I80" s="131">
        <f t="shared" si="14"/>
        <v>0</v>
      </c>
      <c r="J80" s="92">
        <v>2665.79</v>
      </c>
      <c r="K80" s="92">
        <v>2654.05</v>
      </c>
      <c r="L80" s="92">
        <v>12731.32</v>
      </c>
      <c r="M80" s="164">
        <v>3285.71</v>
      </c>
      <c r="N80" s="164">
        <v>11969.66</v>
      </c>
      <c r="O80" s="164">
        <v>10920.63</v>
      </c>
      <c r="P80" s="164">
        <v>2556.59</v>
      </c>
      <c r="Q80" s="164">
        <v>20682</v>
      </c>
      <c r="R80" s="164">
        <v>4200.29</v>
      </c>
    </row>
    <row r="81" spans="1:18" s="11" customFormat="1" ht="15" customHeight="1">
      <c r="A81" s="117">
        <v>3910</v>
      </c>
      <c r="B81" s="118" t="s">
        <v>136</v>
      </c>
      <c r="C81" s="119">
        <v>34000</v>
      </c>
      <c r="D81" s="89">
        <f>34000-13238.07</f>
        <v>20761.93</v>
      </c>
      <c r="E81" s="130">
        <f t="shared" si="12"/>
        <v>0</v>
      </c>
      <c r="F81" s="130"/>
      <c r="G81" s="130">
        <f t="shared" si="13"/>
        <v>0</v>
      </c>
      <c r="H81" s="123">
        <f t="shared" si="8"/>
        <v>0</v>
      </c>
      <c r="I81" s="131">
        <f>D81-G81</f>
        <v>20761.93</v>
      </c>
      <c r="J81" s="92">
        <v>0</v>
      </c>
      <c r="K81" s="92">
        <v>0</v>
      </c>
      <c r="L81" s="92">
        <v>0</v>
      </c>
      <c r="M81" s="164">
        <v>0</v>
      </c>
      <c r="N81" s="164">
        <v>0</v>
      </c>
      <c r="O81" s="164">
        <v>0</v>
      </c>
      <c r="P81" s="164">
        <v>0</v>
      </c>
      <c r="Q81" s="164">
        <v>0</v>
      </c>
      <c r="R81" s="164">
        <v>0</v>
      </c>
    </row>
    <row r="82" spans="1:18" s="11" customFormat="1" ht="15" customHeight="1">
      <c r="A82" s="69"/>
      <c r="B82" s="108" t="s">
        <v>113</v>
      </c>
      <c r="C82" s="109">
        <f>SUM(C56:C81)</f>
        <v>4258525</v>
      </c>
      <c r="D82" s="109">
        <f>SUM(D56:D81)</f>
        <v>4258525</v>
      </c>
      <c r="E82" s="148">
        <f>SUM(E56:E81)</f>
        <v>1751584.3699999999</v>
      </c>
      <c r="F82" s="148"/>
      <c r="G82" s="148">
        <f>SUM(G56:G81)</f>
        <v>3693478.3100000005</v>
      </c>
      <c r="H82" s="154">
        <f aca="true" t="shared" si="15" ref="H82:H88">G82/C82</f>
        <v>0.8673139901726538</v>
      </c>
      <c r="I82" s="132">
        <f aca="true" t="shared" si="16" ref="I82:O82">SUM(I56:I81)</f>
        <v>565046.69</v>
      </c>
      <c r="J82" s="159">
        <f t="shared" si="16"/>
        <v>222979.82</v>
      </c>
      <c r="K82" s="159">
        <f t="shared" si="16"/>
        <v>348992.99999999994</v>
      </c>
      <c r="L82" s="159">
        <f t="shared" si="16"/>
        <v>289490.95999999996</v>
      </c>
      <c r="M82" s="159">
        <f t="shared" si="16"/>
        <v>386493.61</v>
      </c>
      <c r="N82" s="159">
        <f t="shared" si="16"/>
        <v>328424.4499999999</v>
      </c>
      <c r="O82" s="159">
        <f t="shared" si="16"/>
        <v>365512.1</v>
      </c>
      <c r="P82" s="159">
        <f>SUM(P56:P81)</f>
        <v>652343.07</v>
      </c>
      <c r="Q82" s="159">
        <f>SUM(Q56:Q81)</f>
        <v>714176.71</v>
      </c>
      <c r="R82" s="159">
        <f>SUM(R56:R81)</f>
        <v>385064.59</v>
      </c>
    </row>
    <row r="83" spans="1:18" s="11" customFormat="1" ht="15" customHeight="1">
      <c r="A83" s="100">
        <v>5101</v>
      </c>
      <c r="B83" s="91" t="s">
        <v>114</v>
      </c>
      <c r="C83" s="91">
        <v>75000</v>
      </c>
      <c r="D83" s="89">
        <f>75000+10903.26</f>
        <v>85903.26</v>
      </c>
      <c r="E83" s="130">
        <f>SUM(P83:R83)</f>
        <v>21998.25</v>
      </c>
      <c r="F83" s="130"/>
      <c r="G83" s="130">
        <f>SUM(J83:U83)</f>
        <v>85903.26000000001</v>
      </c>
      <c r="H83" s="123">
        <f t="shared" si="15"/>
        <v>1.1453768000000002</v>
      </c>
      <c r="I83" s="131">
        <f>D83-G83</f>
        <v>0</v>
      </c>
      <c r="J83" s="92">
        <v>20010</v>
      </c>
      <c r="K83" s="92">
        <v>29554.5</v>
      </c>
      <c r="L83" s="92">
        <v>0</v>
      </c>
      <c r="M83" s="164">
        <v>8245.5</v>
      </c>
      <c r="N83" s="164">
        <v>0</v>
      </c>
      <c r="O83" s="164">
        <v>6095.01</v>
      </c>
      <c r="P83" s="164">
        <v>0</v>
      </c>
      <c r="Q83" s="164">
        <v>21998.25</v>
      </c>
      <c r="R83" s="164">
        <v>0</v>
      </c>
    </row>
    <row r="84" spans="1:18" s="11" customFormat="1" ht="15" customHeight="1">
      <c r="A84" s="100">
        <v>5102</v>
      </c>
      <c r="B84" s="91" t="s">
        <v>115</v>
      </c>
      <c r="C84" s="91">
        <v>50000</v>
      </c>
      <c r="D84" s="89">
        <f>50000-39640.01</f>
        <v>10359.989999999998</v>
      </c>
      <c r="E84" s="130">
        <f>SUM(P84:R84)</f>
        <v>0</v>
      </c>
      <c r="F84" s="130"/>
      <c r="G84" s="130">
        <f>SUM(J84:U84)</f>
        <v>0</v>
      </c>
      <c r="H84" s="123">
        <f t="shared" si="15"/>
        <v>0</v>
      </c>
      <c r="I84" s="131">
        <f>D84-G84</f>
        <v>10359.989999999998</v>
      </c>
      <c r="J84" s="92">
        <v>0</v>
      </c>
      <c r="K84" s="92">
        <v>0</v>
      </c>
      <c r="L84" s="92">
        <v>0</v>
      </c>
      <c r="M84" s="164">
        <v>0</v>
      </c>
      <c r="N84" s="164">
        <v>0</v>
      </c>
      <c r="O84" s="164">
        <v>0</v>
      </c>
      <c r="P84" s="164">
        <v>0</v>
      </c>
      <c r="Q84" s="164">
        <v>0</v>
      </c>
      <c r="R84" s="164">
        <v>0</v>
      </c>
    </row>
    <row r="85" spans="1:18" s="11" customFormat="1" ht="15" customHeight="1">
      <c r="A85" s="100">
        <v>5205</v>
      </c>
      <c r="B85" s="91" t="s">
        <v>137</v>
      </c>
      <c r="C85" s="91">
        <v>15000</v>
      </c>
      <c r="D85" s="89">
        <f>15000+138</f>
        <v>15138</v>
      </c>
      <c r="E85" s="130">
        <f>SUM(P85:R85)</f>
        <v>15138</v>
      </c>
      <c r="F85" s="130"/>
      <c r="G85" s="130">
        <f>SUM(J85:U85)</f>
        <v>15138</v>
      </c>
      <c r="H85" s="123">
        <f t="shared" si="15"/>
        <v>1.0092</v>
      </c>
      <c r="I85" s="131">
        <f>D85-G85</f>
        <v>0</v>
      </c>
      <c r="J85" s="92">
        <v>0</v>
      </c>
      <c r="K85" s="92">
        <v>0</v>
      </c>
      <c r="L85" s="92">
        <v>0</v>
      </c>
      <c r="M85" s="164">
        <v>0</v>
      </c>
      <c r="N85" s="164">
        <v>0</v>
      </c>
      <c r="O85" s="164">
        <v>0</v>
      </c>
      <c r="P85" s="164">
        <v>13160</v>
      </c>
      <c r="Q85" s="164">
        <v>0</v>
      </c>
      <c r="R85" s="164">
        <v>1978</v>
      </c>
    </row>
    <row r="86" spans="1:18" s="11" customFormat="1" ht="15" customHeight="1">
      <c r="A86" s="100">
        <v>5206</v>
      </c>
      <c r="B86" s="91" t="s">
        <v>116</v>
      </c>
      <c r="C86" s="91">
        <v>60000</v>
      </c>
      <c r="D86" s="89">
        <f>60000+52098.75</f>
        <v>112098.75</v>
      </c>
      <c r="E86" s="130">
        <f>SUM(P86:R86)</f>
        <v>100798.75</v>
      </c>
      <c r="F86" s="130"/>
      <c r="G86" s="130">
        <f>SUM(J86:U86)</f>
        <v>112098.75</v>
      </c>
      <c r="H86" s="123">
        <f t="shared" si="15"/>
        <v>1.8683125</v>
      </c>
      <c r="I86" s="131">
        <f>D86-G86</f>
        <v>0</v>
      </c>
      <c r="J86" s="92">
        <v>0</v>
      </c>
      <c r="K86" s="92">
        <v>0</v>
      </c>
      <c r="L86" s="92">
        <v>0</v>
      </c>
      <c r="M86" s="164">
        <v>11300</v>
      </c>
      <c r="N86" s="164">
        <v>0</v>
      </c>
      <c r="O86" s="164">
        <v>0</v>
      </c>
      <c r="P86" s="164">
        <v>67451.05</v>
      </c>
      <c r="Q86" s="164">
        <v>16673.85</v>
      </c>
      <c r="R86" s="164">
        <v>16673.85</v>
      </c>
    </row>
    <row r="87" spans="1:18" s="11" customFormat="1" ht="15" customHeight="1">
      <c r="A87" s="100">
        <v>5301</v>
      </c>
      <c r="B87" s="91" t="s">
        <v>117</v>
      </c>
      <c r="C87" s="91">
        <v>400000</v>
      </c>
      <c r="D87" s="89">
        <f>400000-23500</f>
        <v>376500</v>
      </c>
      <c r="E87" s="130">
        <f>SUM(P87:R87)</f>
        <v>376500</v>
      </c>
      <c r="F87" s="130"/>
      <c r="G87" s="130">
        <f>SUM(J87:U87)</f>
        <v>376500</v>
      </c>
      <c r="H87" s="123">
        <f t="shared" si="15"/>
        <v>0.94125</v>
      </c>
      <c r="I87" s="131">
        <f>D87-G87</f>
        <v>0</v>
      </c>
      <c r="J87" s="92">
        <v>0</v>
      </c>
      <c r="K87" s="92">
        <v>0</v>
      </c>
      <c r="L87" s="92">
        <v>0</v>
      </c>
      <c r="M87" s="164">
        <v>0</v>
      </c>
      <c r="N87" s="164">
        <v>0</v>
      </c>
      <c r="O87" s="164">
        <v>0</v>
      </c>
      <c r="P87" s="164">
        <v>376500</v>
      </c>
      <c r="Q87" s="164">
        <v>0</v>
      </c>
      <c r="R87" s="164">
        <v>0</v>
      </c>
    </row>
    <row r="88" spans="1:18" s="11" customFormat="1" ht="15" customHeight="1">
      <c r="A88" s="69"/>
      <c r="B88" s="106" t="s">
        <v>118</v>
      </c>
      <c r="C88" s="106">
        <f aca="true" t="shared" si="17" ref="C88:I88">SUM(C83:C87)</f>
        <v>600000</v>
      </c>
      <c r="D88" s="106">
        <f t="shared" si="17"/>
        <v>600000</v>
      </c>
      <c r="E88" s="121">
        <f t="shared" si="17"/>
        <v>514435</v>
      </c>
      <c r="F88" s="121"/>
      <c r="G88" s="121">
        <f t="shared" si="17"/>
        <v>589640.01</v>
      </c>
      <c r="H88" s="154">
        <f t="shared" si="15"/>
        <v>0.9827333500000001</v>
      </c>
      <c r="I88" s="121">
        <f t="shared" si="17"/>
        <v>10359.989999999998</v>
      </c>
      <c r="J88" s="158">
        <f aca="true" t="shared" si="18" ref="J88:O88">SUM(J83:J87)</f>
        <v>20010</v>
      </c>
      <c r="K88" s="158">
        <f t="shared" si="18"/>
        <v>29554.5</v>
      </c>
      <c r="L88" s="158">
        <f t="shared" si="18"/>
        <v>0</v>
      </c>
      <c r="M88" s="158">
        <f t="shared" si="18"/>
        <v>19545.5</v>
      </c>
      <c r="N88" s="158">
        <f t="shared" si="18"/>
        <v>0</v>
      </c>
      <c r="O88" s="158">
        <f t="shared" si="18"/>
        <v>6095.01</v>
      </c>
      <c r="P88" s="158">
        <f>SUM(P83:P87)</f>
        <v>457111.05</v>
      </c>
      <c r="Q88" s="158">
        <f>SUM(Q83:Q87)</f>
        <v>38672.1</v>
      </c>
      <c r="R88" s="158">
        <f>SUM(R83:R87)</f>
        <v>18651.85</v>
      </c>
    </row>
    <row r="89" spans="1:18" s="11" customFormat="1" ht="15" customHeight="1">
      <c r="A89" s="86">
        <v>8101</v>
      </c>
      <c r="B89" s="149" t="s">
        <v>119</v>
      </c>
      <c r="C89" s="92">
        <v>0</v>
      </c>
      <c r="D89" s="89">
        <f>C89</f>
        <v>0</v>
      </c>
      <c r="E89" s="130">
        <f>SUM(P89:R89)</f>
        <v>0</v>
      </c>
      <c r="F89" s="130"/>
      <c r="G89" s="130">
        <f>SUM(J89:U89)</f>
        <v>0</v>
      </c>
      <c r="H89" s="123">
        <v>0</v>
      </c>
      <c r="I89" s="131">
        <f>D89-G89</f>
        <v>0</v>
      </c>
      <c r="J89" s="92">
        <v>0</v>
      </c>
      <c r="K89" s="92">
        <v>0</v>
      </c>
      <c r="L89" s="92">
        <v>0</v>
      </c>
      <c r="M89" s="164">
        <v>0</v>
      </c>
      <c r="N89" s="164">
        <v>0</v>
      </c>
      <c r="O89" s="164">
        <v>0</v>
      </c>
      <c r="P89" s="164">
        <v>0</v>
      </c>
      <c r="Q89" s="164">
        <v>0</v>
      </c>
      <c r="R89" s="164">
        <v>0</v>
      </c>
    </row>
    <row r="90" spans="1:18" s="11" customFormat="1" ht="15" customHeight="1">
      <c r="A90" s="86">
        <v>8102</v>
      </c>
      <c r="B90" s="149" t="s">
        <v>120</v>
      </c>
      <c r="C90" s="92">
        <v>0</v>
      </c>
      <c r="D90" s="89">
        <f>C90</f>
        <v>0</v>
      </c>
      <c r="E90" s="130">
        <f>SUM(P90:R90)</f>
        <v>0</v>
      </c>
      <c r="F90" s="130"/>
      <c r="G90" s="130">
        <f>SUM(J90:U90)</f>
        <v>0</v>
      </c>
      <c r="H90" s="123">
        <v>0</v>
      </c>
      <c r="I90" s="131">
        <f>D90-G90</f>
        <v>0</v>
      </c>
      <c r="J90" s="136"/>
      <c r="K90" s="136"/>
      <c r="L90" s="136"/>
      <c r="M90" s="164">
        <v>0</v>
      </c>
      <c r="N90" s="164">
        <v>0</v>
      </c>
      <c r="O90" s="164">
        <v>0</v>
      </c>
      <c r="P90" s="164">
        <v>0</v>
      </c>
      <c r="Q90" s="164">
        <v>0</v>
      </c>
      <c r="R90" s="164">
        <v>0</v>
      </c>
    </row>
    <row r="91" spans="1:18" s="11" customFormat="1" ht="15" customHeight="1">
      <c r="A91" s="69"/>
      <c r="B91" s="107" t="s">
        <v>121</v>
      </c>
      <c r="C91" s="106">
        <f>SUM(C89:C90)</f>
        <v>0</v>
      </c>
      <c r="D91" s="106">
        <f>SUM(D89:D90)</f>
        <v>0</v>
      </c>
      <c r="E91" s="121">
        <f>SUM(E89:E90)</f>
        <v>0</v>
      </c>
      <c r="F91" s="121"/>
      <c r="G91" s="121">
        <f>SUM(G89:G90)</f>
        <v>0</v>
      </c>
      <c r="H91" s="124">
        <v>0</v>
      </c>
      <c r="I91" s="121">
        <f>SUM(I89:I90)</f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134">
        <v>0</v>
      </c>
    </row>
    <row r="92" spans="1:18" s="11" customFormat="1" ht="15" customHeight="1">
      <c r="A92" s="86">
        <v>6101</v>
      </c>
      <c r="B92" s="150" t="s">
        <v>122</v>
      </c>
      <c r="C92" s="92">
        <v>126100000</v>
      </c>
      <c r="D92" s="89">
        <f aca="true" t="shared" si="19" ref="D92:D99">C92</f>
        <v>126100000</v>
      </c>
      <c r="E92" s="130">
        <f aca="true" t="shared" si="20" ref="E92:E99">SUM(P92:R92)</f>
        <v>39299524.69</v>
      </c>
      <c r="F92" s="130"/>
      <c r="G92" s="130">
        <f aca="true" t="shared" si="21" ref="G92:G99">SUM(J92:U92)</f>
        <v>87928502.35</v>
      </c>
      <c r="H92" s="123">
        <f>G92/C92</f>
        <v>0.6972918505154638</v>
      </c>
      <c r="I92" s="131">
        <f aca="true" t="shared" si="22" ref="I92:I101">D92-G92</f>
        <v>38171497.650000006</v>
      </c>
      <c r="J92" s="92">
        <v>9256025.94</v>
      </c>
      <c r="K92" s="92">
        <v>2130969.61</v>
      </c>
      <c r="L92" s="163">
        <v>59970</v>
      </c>
      <c r="M92" s="164">
        <v>11066596.46</v>
      </c>
      <c r="N92" s="164">
        <v>12329019.46</v>
      </c>
      <c r="O92" s="164">
        <v>13786396.19</v>
      </c>
      <c r="P92" s="164">
        <v>7014689.5</v>
      </c>
      <c r="Q92" s="164">
        <v>20524700.95</v>
      </c>
      <c r="R92" s="164">
        <v>11760134.24</v>
      </c>
    </row>
    <row r="93" spans="1:18" s="11" customFormat="1" ht="15" customHeight="1">
      <c r="A93" s="86">
        <v>6102</v>
      </c>
      <c r="B93" s="150" t="s">
        <v>123</v>
      </c>
      <c r="C93" s="92">
        <v>0</v>
      </c>
      <c r="D93" s="89">
        <v>10660859</v>
      </c>
      <c r="E93" s="130">
        <f t="shared" si="20"/>
        <v>3125127.7800000003</v>
      </c>
      <c r="F93" s="130"/>
      <c r="G93" s="130">
        <f t="shared" si="21"/>
        <v>10942421.809999999</v>
      </c>
      <c r="H93" s="123">
        <v>0</v>
      </c>
      <c r="I93" s="131">
        <f t="shared" si="22"/>
        <v>-281562.80999999866</v>
      </c>
      <c r="J93" s="92">
        <v>0</v>
      </c>
      <c r="K93" s="92">
        <v>0</v>
      </c>
      <c r="L93" s="163">
        <v>6588658.64</v>
      </c>
      <c r="M93" s="164">
        <v>66293</v>
      </c>
      <c r="N93" s="164">
        <v>159970</v>
      </c>
      <c r="O93" s="164">
        <v>1002372.39</v>
      </c>
      <c r="P93" s="164">
        <v>145500</v>
      </c>
      <c r="Q93" s="164">
        <v>925086</v>
      </c>
      <c r="R93" s="164">
        <v>2054541.78</v>
      </c>
    </row>
    <row r="94" spans="1:18" s="11" customFormat="1" ht="15" customHeight="1">
      <c r="A94" s="86">
        <v>6103</v>
      </c>
      <c r="B94" s="150" t="s">
        <v>125</v>
      </c>
      <c r="C94" s="92">
        <v>0</v>
      </c>
      <c r="D94" s="89">
        <v>175317.92</v>
      </c>
      <c r="E94" s="130">
        <f t="shared" si="20"/>
        <v>58950</v>
      </c>
      <c r="F94" s="130"/>
      <c r="G94" s="130">
        <f t="shared" si="21"/>
        <v>234267.92</v>
      </c>
      <c r="H94" s="123">
        <v>0</v>
      </c>
      <c r="I94" s="131">
        <f t="shared" si="22"/>
        <v>-58950</v>
      </c>
      <c r="J94" s="92">
        <v>0</v>
      </c>
      <c r="K94" s="92">
        <v>0</v>
      </c>
      <c r="L94" s="163">
        <v>157463.91</v>
      </c>
      <c r="M94" s="164">
        <v>1988.79</v>
      </c>
      <c r="N94" s="164">
        <v>0</v>
      </c>
      <c r="O94" s="164">
        <v>15865.22</v>
      </c>
      <c r="P94" s="164">
        <v>4365</v>
      </c>
      <c r="Q94" s="164">
        <v>11650</v>
      </c>
      <c r="R94" s="164">
        <v>42935</v>
      </c>
    </row>
    <row r="95" spans="1:18" s="11" customFormat="1" ht="15" customHeight="1">
      <c r="A95" s="86">
        <v>6104</v>
      </c>
      <c r="B95" s="150" t="s">
        <v>124</v>
      </c>
      <c r="C95" s="92">
        <v>36105733</v>
      </c>
      <c r="D95" s="89">
        <f t="shared" si="19"/>
        <v>36105733</v>
      </c>
      <c r="E95" s="130">
        <f t="shared" si="20"/>
        <v>3954236.5</v>
      </c>
      <c r="F95" s="130"/>
      <c r="G95" s="130">
        <f t="shared" si="21"/>
        <v>5752384.55</v>
      </c>
      <c r="H95" s="123">
        <f>G95/C95</f>
        <v>0.15932053089740622</v>
      </c>
      <c r="I95" s="131">
        <f t="shared" si="22"/>
        <v>30353348.45</v>
      </c>
      <c r="J95" s="92">
        <v>2300</v>
      </c>
      <c r="K95" s="92">
        <v>2300</v>
      </c>
      <c r="L95" s="163">
        <v>0</v>
      </c>
      <c r="M95" s="164">
        <v>18427.13</v>
      </c>
      <c r="N95" s="164">
        <v>790095.36</v>
      </c>
      <c r="O95" s="164">
        <v>985025.56</v>
      </c>
      <c r="P95" s="164">
        <v>0</v>
      </c>
      <c r="Q95" s="164">
        <v>1071879</v>
      </c>
      <c r="R95" s="164">
        <v>2882357.5</v>
      </c>
    </row>
    <row r="96" spans="1:18" s="11" customFormat="1" ht="15" customHeight="1">
      <c r="A96" s="86">
        <v>6105</v>
      </c>
      <c r="B96" s="150" t="s">
        <v>158</v>
      </c>
      <c r="C96" s="92"/>
      <c r="D96" s="89">
        <f t="shared" si="19"/>
        <v>0</v>
      </c>
      <c r="E96" s="130">
        <f t="shared" si="20"/>
        <v>52954.1</v>
      </c>
      <c r="F96" s="130"/>
      <c r="G96" s="130">
        <f t="shared" si="21"/>
        <v>89123.79000000001</v>
      </c>
      <c r="H96" s="123">
        <v>0</v>
      </c>
      <c r="I96" s="131"/>
      <c r="J96" s="92">
        <v>0</v>
      </c>
      <c r="K96" s="92">
        <v>0</v>
      </c>
      <c r="L96" s="163">
        <v>0</v>
      </c>
      <c r="M96" s="164">
        <v>0</v>
      </c>
      <c r="N96" s="164">
        <v>7146.13</v>
      </c>
      <c r="O96" s="164">
        <v>29023.56</v>
      </c>
      <c r="P96" s="164">
        <v>0</v>
      </c>
      <c r="Q96" s="164">
        <v>19651.83</v>
      </c>
      <c r="R96" s="164">
        <v>33302.27</v>
      </c>
    </row>
    <row r="97" spans="1:18" s="11" customFormat="1" ht="15" customHeight="1">
      <c r="A97" s="86">
        <v>6107</v>
      </c>
      <c r="B97" s="150" t="s">
        <v>148</v>
      </c>
      <c r="C97" s="92">
        <v>6000000</v>
      </c>
      <c r="D97" s="89">
        <f t="shared" si="19"/>
        <v>6000000</v>
      </c>
      <c r="E97" s="130">
        <f t="shared" si="20"/>
        <v>1164502.64</v>
      </c>
      <c r="F97" s="130"/>
      <c r="G97" s="130">
        <f t="shared" si="21"/>
        <v>4666069.0200000005</v>
      </c>
      <c r="H97" s="123">
        <f>G97/C97</f>
        <v>0.7776781700000001</v>
      </c>
      <c r="I97" s="131">
        <f t="shared" si="22"/>
        <v>1333930.9799999995</v>
      </c>
      <c r="J97" s="92">
        <v>416648.49</v>
      </c>
      <c r="K97" s="92">
        <v>573010.46</v>
      </c>
      <c r="L97" s="163">
        <v>837836.09</v>
      </c>
      <c r="M97" s="164">
        <v>546094.2</v>
      </c>
      <c r="N97" s="164">
        <v>511878.98</v>
      </c>
      <c r="O97" s="164">
        <v>616098.16</v>
      </c>
      <c r="P97" s="164">
        <v>210440.63</v>
      </c>
      <c r="Q97" s="164">
        <v>615739.71</v>
      </c>
      <c r="R97" s="164">
        <v>338322.3</v>
      </c>
    </row>
    <row r="98" spans="1:18" s="11" customFormat="1" ht="15" customHeight="1">
      <c r="A98" s="73">
        <v>6108</v>
      </c>
      <c r="B98" s="150" t="s">
        <v>125</v>
      </c>
      <c r="C98" s="92">
        <v>3900000</v>
      </c>
      <c r="D98" s="89">
        <f t="shared" si="19"/>
        <v>3900000</v>
      </c>
      <c r="E98" s="130">
        <f t="shared" si="20"/>
        <v>2174953.65</v>
      </c>
      <c r="F98" s="130"/>
      <c r="G98" s="130">
        <f t="shared" si="21"/>
        <v>3547451.24</v>
      </c>
      <c r="H98" s="123">
        <f>G98/C98</f>
        <v>0.9096028820512821</v>
      </c>
      <c r="I98" s="131">
        <f t="shared" si="22"/>
        <v>352548.7599999998</v>
      </c>
      <c r="J98" s="139">
        <v>241797.13</v>
      </c>
      <c r="K98" s="139">
        <v>51901.81</v>
      </c>
      <c r="L98" s="165">
        <v>0</v>
      </c>
      <c r="M98" s="164">
        <v>331995.01</v>
      </c>
      <c r="N98" s="164">
        <v>371669.64</v>
      </c>
      <c r="O98" s="164">
        <v>375134</v>
      </c>
      <c r="P98" s="164">
        <v>879982.06</v>
      </c>
      <c r="Q98" s="164">
        <v>695718.76</v>
      </c>
      <c r="R98" s="164">
        <v>599252.83</v>
      </c>
    </row>
    <row r="99" spans="1:18" s="11" customFormat="1" ht="15" customHeight="1">
      <c r="A99" s="73">
        <v>6112</v>
      </c>
      <c r="B99" s="151" t="s">
        <v>126</v>
      </c>
      <c r="C99" s="92">
        <v>0</v>
      </c>
      <c r="D99" s="89">
        <f t="shared" si="19"/>
        <v>0</v>
      </c>
      <c r="E99" s="130">
        <f t="shared" si="20"/>
        <v>0</v>
      </c>
      <c r="F99" s="130"/>
      <c r="G99" s="130">
        <f t="shared" si="21"/>
        <v>0</v>
      </c>
      <c r="H99" s="123">
        <v>0</v>
      </c>
      <c r="I99" s="131">
        <f t="shared" si="22"/>
        <v>0</v>
      </c>
      <c r="J99" s="135">
        <v>0</v>
      </c>
      <c r="K99" s="135">
        <v>0</v>
      </c>
      <c r="L99" s="135">
        <v>0</v>
      </c>
      <c r="M99" s="164">
        <v>0</v>
      </c>
      <c r="N99" s="164">
        <v>0</v>
      </c>
      <c r="O99" s="164">
        <v>0</v>
      </c>
      <c r="P99" s="164">
        <v>0</v>
      </c>
      <c r="Q99" s="164">
        <v>0</v>
      </c>
      <c r="R99" s="164">
        <v>0</v>
      </c>
    </row>
    <row r="100" spans="1:18" s="11" customFormat="1" ht="15" customHeight="1">
      <c r="A100" s="69"/>
      <c r="B100" s="102" t="s">
        <v>127</v>
      </c>
      <c r="C100" s="106">
        <f>SUM(C92:C99)</f>
        <v>172105733</v>
      </c>
      <c r="D100" s="106">
        <f>SUM(D92:D99)</f>
        <v>182941909.92</v>
      </c>
      <c r="E100" s="121">
        <f>SUM(E92:E99)</f>
        <v>49830249.36</v>
      </c>
      <c r="F100" s="121"/>
      <c r="G100" s="121">
        <f>SUM(G92:G99)</f>
        <v>113160220.67999999</v>
      </c>
      <c r="H100" s="154">
        <f>G100/D100</f>
        <v>0.6185582118907835</v>
      </c>
      <c r="I100" s="121">
        <f aca="true" t="shared" si="23" ref="I100:O100">SUM(I92:I99)</f>
        <v>69870813.03000002</v>
      </c>
      <c r="J100" s="158">
        <f t="shared" si="23"/>
        <v>9916771.56</v>
      </c>
      <c r="K100" s="158">
        <f t="shared" si="23"/>
        <v>2758181.88</v>
      </c>
      <c r="L100" s="158">
        <f t="shared" si="23"/>
        <v>7643928.64</v>
      </c>
      <c r="M100" s="158">
        <f t="shared" si="23"/>
        <v>12031394.59</v>
      </c>
      <c r="N100" s="158">
        <f t="shared" si="23"/>
        <v>14169779.570000002</v>
      </c>
      <c r="O100" s="158">
        <f t="shared" si="23"/>
        <v>16809915.080000002</v>
      </c>
      <c r="P100" s="158">
        <f>SUM(P92:P99)</f>
        <v>8254977.1899999995</v>
      </c>
      <c r="Q100" s="158">
        <f>SUM(Q92:Q99)</f>
        <v>23864426.25</v>
      </c>
      <c r="R100" s="158">
        <f>SUM(R92:R99)</f>
        <v>17710845.919999998</v>
      </c>
    </row>
    <row r="101" spans="1:18" s="11" customFormat="1" ht="15" customHeight="1">
      <c r="A101" s="86">
        <v>7303</v>
      </c>
      <c r="B101" s="150" t="s">
        <v>128</v>
      </c>
      <c r="C101" s="92">
        <v>6000000</v>
      </c>
      <c r="D101" s="89">
        <f>C101</f>
        <v>6000000</v>
      </c>
      <c r="E101" s="130">
        <f>SUM(P101:R101)</f>
        <v>1665249.85</v>
      </c>
      <c r="F101" s="130"/>
      <c r="G101" s="130">
        <f>SUM(J101:U101)</f>
        <v>4500917.17</v>
      </c>
      <c r="H101" s="123">
        <f>G101/C101</f>
        <v>0.7501528616666666</v>
      </c>
      <c r="I101" s="131">
        <f t="shared" si="22"/>
        <v>1499082.83</v>
      </c>
      <c r="J101" s="92">
        <v>218410.98</v>
      </c>
      <c r="K101" s="92">
        <v>884969.35</v>
      </c>
      <c r="L101" s="92">
        <v>244542.88</v>
      </c>
      <c r="M101" s="164">
        <v>410082.01</v>
      </c>
      <c r="N101" s="164">
        <v>316425.11</v>
      </c>
      <c r="O101" s="164">
        <v>761236.99</v>
      </c>
      <c r="P101" s="164">
        <v>491414.19</v>
      </c>
      <c r="Q101" s="164">
        <v>419758.64</v>
      </c>
      <c r="R101" s="164">
        <v>754077.02</v>
      </c>
    </row>
    <row r="102" spans="1:18" s="11" customFormat="1" ht="15" customHeight="1">
      <c r="A102" s="69"/>
      <c r="B102" s="103" t="s">
        <v>129</v>
      </c>
      <c r="C102" s="133">
        <f>SUM(C101)</f>
        <v>6000000</v>
      </c>
      <c r="D102" s="133">
        <f>SUM(D101)</f>
        <v>6000000</v>
      </c>
      <c r="E102" s="121">
        <f>SUM(E101)</f>
        <v>1665249.85</v>
      </c>
      <c r="F102" s="121"/>
      <c r="G102" s="121">
        <f>SUM(G101)</f>
        <v>4500917.17</v>
      </c>
      <c r="H102" s="124">
        <f>G102/C102</f>
        <v>0.7501528616666666</v>
      </c>
      <c r="I102" s="121">
        <f aca="true" t="shared" si="24" ref="I102:O102">SUM(I101)</f>
        <v>1499082.83</v>
      </c>
      <c r="J102" s="121">
        <f t="shared" si="24"/>
        <v>218410.98</v>
      </c>
      <c r="K102" s="121">
        <f t="shared" si="24"/>
        <v>884969.35</v>
      </c>
      <c r="L102" s="121">
        <f t="shared" si="24"/>
        <v>244542.88</v>
      </c>
      <c r="M102" s="121">
        <f t="shared" si="24"/>
        <v>410082.01</v>
      </c>
      <c r="N102" s="121">
        <f t="shared" si="24"/>
        <v>316425.11</v>
      </c>
      <c r="O102" s="121">
        <f t="shared" si="24"/>
        <v>761236.99</v>
      </c>
      <c r="P102" s="121">
        <f>SUM(P101)</f>
        <v>491414.19</v>
      </c>
      <c r="Q102" s="121">
        <f>SUM(Q101)</f>
        <v>419758.64</v>
      </c>
      <c r="R102" s="121">
        <f>SUM(R101)</f>
        <v>754077.02</v>
      </c>
    </row>
    <row r="103" spans="1:18" s="11" customFormat="1" ht="15" customHeight="1">
      <c r="A103" s="69"/>
      <c r="B103" s="99" t="s">
        <v>159</v>
      </c>
      <c r="C103" s="133">
        <f>C102+C100+C91+C88+C82+C55+C39</f>
        <v>199847176</v>
      </c>
      <c r="D103" s="133">
        <f>D102+D100+D91+D88+D82+D55+D39</f>
        <v>210683352.92</v>
      </c>
      <c r="E103" s="121">
        <f>E102+E100+E91+E88+E82+E55+E39</f>
        <v>57417851.160000004</v>
      </c>
      <c r="F103" s="121"/>
      <c r="G103" s="121">
        <f>G102+G100+G91+G88+G82+G55+G39</f>
        <v>132679049.14</v>
      </c>
      <c r="H103" s="122">
        <f>G103/C103</f>
        <v>0.6639025469141481</v>
      </c>
      <c r="I103" s="121">
        <f aca="true" t="shared" si="25" ref="I103:O103">I102+I100+I91+I88+I82+I55+I39</f>
        <v>78093427.57000001</v>
      </c>
      <c r="J103" s="121">
        <f t="shared" si="25"/>
        <v>11609268.97</v>
      </c>
      <c r="K103" s="121">
        <f t="shared" si="25"/>
        <v>5190481.97</v>
      </c>
      <c r="L103" s="121">
        <f t="shared" si="25"/>
        <v>9270098.86</v>
      </c>
      <c r="M103" s="121">
        <f t="shared" si="25"/>
        <v>13968244.81</v>
      </c>
      <c r="N103" s="121">
        <f t="shared" si="25"/>
        <v>16089763.400000002</v>
      </c>
      <c r="O103" s="121">
        <f t="shared" si="25"/>
        <v>19133339.970000003</v>
      </c>
      <c r="P103" s="121">
        <f>P102+P100+P91+P88+P82+P55+P39</f>
        <v>11016646.43</v>
      </c>
      <c r="Q103" s="121">
        <f>Q102+Q100+Q91+Q88+Q82+Q55+Q39</f>
        <v>26257056.11</v>
      </c>
      <c r="R103" s="121">
        <f>R102+R100+R91+R88+R82+R55+R39</f>
        <v>20144148.619999997</v>
      </c>
    </row>
    <row r="104" spans="1:12" s="11" customFormat="1" ht="2.25" customHeight="1" thickBot="1">
      <c r="A104" s="70"/>
      <c r="B104" s="71"/>
      <c r="C104" s="71"/>
      <c r="D104" s="71"/>
      <c r="E104" s="125"/>
      <c r="F104" s="125"/>
      <c r="G104" s="125"/>
      <c r="H104" s="125"/>
      <c r="I104" s="126"/>
      <c r="J104" s="137">
        <v>2199422.463</v>
      </c>
      <c r="K104" s="137">
        <v>2335473.953</v>
      </c>
      <c r="L104" s="137">
        <v>4201051.04</v>
      </c>
    </row>
    <row r="105" spans="1:12" s="11" customFormat="1" ht="15" customHeight="1" thickTop="1">
      <c r="A105" s="14"/>
      <c r="B105" s="15"/>
      <c r="C105" s="15"/>
      <c r="D105" s="15"/>
      <c r="E105" s="127"/>
      <c r="F105" s="127"/>
      <c r="G105" s="127"/>
      <c r="H105" s="127"/>
      <c r="I105" s="127"/>
      <c r="J105"/>
      <c r="K105"/>
      <c r="L105"/>
    </row>
    <row r="106" spans="5:12" ht="12.75">
      <c r="E106" s="128"/>
      <c r="F106" s="128"/>
      <c r="G106" s="128"/>
      <c r="H106" s="129"/>
      <c r="I106" s="129"/>
      <c r="J106" s="138"/>
      <c r="K106" s="138"/>
      <c r="L106" s="138"/>
    </row>
    <row r="108" spans="5:9" ht="12.75">
      <c r="E108" s="128"/>
      <c r="F108" s="128"/>
      <c r="G108" s="128"/>
      <c r="H108" s="128"/>
      <c r="I108" s="128"/>
    </row>
    <row r="109" spans="5:9" ht="12.75">
      <c r="E109" s="128"/>
      <c r="F109" s="128"/>
      <c r="G109" s="128"/>
      <c r="H109" s="128"/>
      <c r="I109" s="128"/>
    </row>
    <row r="110" spans="5:9" ht="12.75">
      <c r="E110" s="128"/>
      <c r="F110" s="128"/>
      <c r="G110" s="128"/>
      <c r="H110" s="128"/>
      <c r="I110" s="128"/>
    </row>
    <row r="111" spans="5:9" ht="12.75">
      <c r="E111" s="128"/>
      <c r="F111" s="128"/>
      <c r="G111" s="128"/>
      <c r="H111" s="128"/>
      <c r="I111" s="128"/>
    </row>
    <row r="112" spans="5:9" ht="12.75">
      <c r="E112" s="128"/>
      <c r="F112" s="128"/>
      <c r="G112" s="128"/>
      <c r="H112" s="128"/>
      <c r="I112" s="128"/>
    </row>
    <row r="113" spans="5:9" ht="12.75">
      <c r="E113" s="128"/>
      <c r="F113" s="128"/>
      <c r="G113" s="128"/>
      <c r="H113" s="128"/>
      <c r="I113" s="128"/>
    </row>
    <row r="114" spans="5:9" ht="12.75">
      <c r="E114" s="128"/>
      <c r="F114" s="128"/>
      <c r="G114" s="128"/>
      <c r="H114" s="128"/>
      <c r="I114" s="128"/>
    </row>
    <row r="115" spans="5:9" ht="12.75">
      <c r="E115" s="128"/>
      <c r="F115" s="128"/>
      <c r="G115" s="128"/>
      <c r="H115" s="128"/>
      <c r="I115" s="128"/>
    </row>
    <row r="116" spans="5:9" ht="12.75">
      <c r="E116" s="128"/>
      <c r="F116" s="128"/>
      <c r="G116" s="128"/>
      <c r="H116" s="128"/>
      <c r="I116" s="128"/>
    </row>
    <row r="117" spans="5:9" ht="12.75">
      <c r="E117" s="128"/>
      <c r="F117" s="128"/>
      <c r="G117" s="128"/>
      <c r="H117" s="128"/>
      <c r="I117" s="128"/>
    </row>
    <row r="118" spans="5:9" ht="12.75">
      <c r="E118" s="128"/>
      <c r="F118" s="128"/>
      <c r="G118" s="128"/>
      <c r="H118" s="128"/>
      <c r="I118" s="128"/>
    </row>
    <row r="119" spans="5:9" ht="12.75">
      <c r="E119" s="128"/>
      <c r="F119" s="128"/>
      <c r="G119" s="128"/>
      <c r="H119" s="128"/>
      <c r="I119" s="128"/>
    </row>
    <row r="120" spans="5:9" ht="12.75">
      <c r="E120" s="128"/>
      <c r="F120" s="128"/>
      <c r="G120" s="128"/>
      <c r="H120" s="128"/>
      <c r="I120" s="128"/>
    </row>
    <row r="121" spans="5:9" ht="12.75">
      <c r="E121" s="128"/>
      <c r="F121" s="128"/>
      <c r="G121" s="128"/>
      <c r="H121" s="128"/>
      <c r="I121" s="128"/>
    </row>
    <row r="122" spans="5:9" ht="12.75">
      <c r="E122" s="128"/>
      <c r="F122" s="128"/>
      <c r="G122" s="128"/>
      <c r="H122" s="128"/>
      <c r="I122" s="128"/>
    </row>
    <row r="123" spans="5:9" ht="12.75">
      <c r="E123" s="128"/>
      <c r="F123" s="128"/>
      <c r="G123" s="128"/>
      <c r="H123" s="128"/>
      <c r="I123" s="128"/>
    </row>
    <row r="124" spans="5:9" ht="12.75">
      <c r="E124" s="128"/>
      <c r="F124" s="128"/>
      <c r="G124" s="128"/>
      <c r="H124" s="128"/>
      <c r="I124" s="128"/>
    </row>
    <row r="125" spans="5:9" ht="12.75">
      <c r="E125" s="128"/>
      <c r="F125" s="128"/>
      <c r="G125" s="128"/>
      <c r="H125" s="128"/>
      <c r="I125" s="128"/>
    </row>
    <row r="126" spans="5:9" ht="12.75">
      <c r="E126" s="128"/>
      <c r="F126" s="128"/>
      <c r="G126" s="128"/>
      <c r="H126" s="128"/>
      <c r="I126" s="128"/>
    </row>
    <row r="127" spans="5:9" ht="12.75">
      <c r="E127" s="128"/>
      <c r="F127" s="128"/>
      <c r="G127" s="128"/>
      <c r="H127" s="128"/>
      <c r="I127" s="128"/>
    </row>
    <row r="128" spans="5:9" ht="12.75">
      <c r="E128" s="128"/>
      <c r="F128" s="128"/>
      <c r="G128" s="128"/>
      <c r="H128" s="128"/>
      <c r="I128" s="128"/>
    </row>
    <row r="129" spans="5:9" ht="12.75">
      <c r="E129" s="128"/>
      <c r="F129" s="128"/>
      <c r="G129" s="128"/>
      <c r="H129" s="128"/>
      <c r="I129" s="128"/>
    </row>
    <row r="130" spans="5:9" ht="12.75">
      <c r="E130" s="128"/>
      <c r="F130" s="128"/>
      <c r="G130" s="128"/>
      <c r="H130" s="128"/>
      <c r="I130" s="128"/>
    </row>
    <row r="131" spans="5:9" ht="12.75">
      <c r="E131" s="128"/>
      <c r="F131" s="128"/>
      <c r="G131" s="128"/>
      <c r="H131" s="128"/>
      <c r="I131" s="128"/>
    </row>
    <row r="132" spans="5:9" ht="12.75">
      <c r="E132" s="128"/>
      <c r="F132" s="128"/>
      <c r="G132" s="128"/>
      <c r="H132" s="128"/>
      <c r="I132" s="128"/>
    </row>
    <row r="133" spans="5:9" ht="12.75">
      <c r="E133" s="128"/>
      <c r="F133" s="128"/>
      <c r="G133" s="128"/>
      <c r="H133" s="128"/>
      <c r="I133" s="128"/>
    </row>
    <row r="134" spans="5:9" ht="12.75">
      <c r="E134" s="128"/>
      <c r="F134" s="128"/>
      <c r="G134" s="128"/>
      <c r="H134" s="128"/>
      <c r="I134" s="128"/>
    </row>
    <row r="135" spans="5:9" ht="12.75">
      <c r="E135" s="128"/>
      <c r="F135" s="128"/>
      <c r="G135" s="128"/>
      <c r="H135" s="128"/>
      <c r="I135" s="128"/>
    </row>
    <row r="136" spans="5:9" ht="12.75">
      <c r="E136" s="128"/>
      <c r="F136" s="128"/>
      <c r="G136" s="128"/>
      <c r="H136" s="128"/>
      <c r="I136" s="128"/>
    </row>
    <row r="137" spans="5:9" ht="12.75">
      <c r="E137" s="128"/>
      <c r="F137" s="128"/>
      <c r="G137" s="128"/>
      <c r="H137" s="128"/>
      <c r="I137" s="128"/>
    </row>
    <row r="138" spans="5:9" ht="12.75">
      <c r="E138" s="128"/>
      <c r="F138" s="128"/>
      <c r="G138" s="128"/>
      <c r="H138" s="128"/>
      <c r="I138" s="128"/>
    </row>
    <row r="139" spans="5:9" ht="12.75">
      <c r="E139" s="128"/>
      <c r="F139" s="128"/>
      <c r="G139" s="128"/>
      <c r="H139" s="128"/>
      <c r="I139" s="128"/>
    </row>
    <row r="140" spans="5:9" ht="12.75">
      <c r="E140" s="128"/>
      <c r="F140" s="128"/>
      <c r="G140" s="128"/>
      <c r="H140" s="128"/>
      <c r="I140" s="128"/>
    </row>
    <row r="141" spans="5:9" ht="12.75">
      <c r="E141" s="128"/>
      <c r="F141" s="128"/>
      <c r="G141" s="128"/>
      <c r="H141" s="128"/>
      <c r="I141" s="128"/>
    </row>
    <row r="142" spans="5:9" ht="12.75">
      <c r="E142" s="128"/>
      <c r="F142" s="128"/>
      <c r="G142" s="128"/>
      <c r="H142" s="128"/>
      <c r="I142" s="128"/>
    </row>
    <row r="143" spans="5:9" ht="12.75">
      <c r="E143" s="128"/>
      <c r="F143" s="128"/>
      <c r="G143" s="128"/>
      <c r="H143" s="128"/>
      <c r="I143" s="128"/>
    </row>
    <row r="144" spans="5:9" ht="12.75">
      <c r="E144" s="128"/>
      <c r="F144" s="128"/>
      <c r="G144" s="128"/>
      <c r="H144" s="128"/>
      <c r="I144" s="128"/>
    </row>
    <row r="145" spans="5:9" ht="12.75">
      <c r="E145" s="128"/>
      <c r="F145" s="128"/>
      <c r="G145" s="128"/>
      <c r="H145" s="128"/>
      <c r="I145" s="128"/>
    </row>
    <row r="146" spans="5:9" ht="12.75">
      <c r="E146" s="128"/>
      <c r="F146" s="128"/>
      <c r="G146" s="128"/>
      <c r="H146" s="128"/>
      <c r="I146" s="128"/>
    </row>
    <row r="147" spans="5:9" ht="12.75">
      <c r="E147" s="128"/>
      <c r="F147" s="128"/>
      <c r="G147" s="128"/>
      <c r="H147" s="128"/>
      <c r="I147" s="128"/>
    </row>
    <row r="148" spans="5:9" ht="12.75">
      <c r="E148" s="128"/>
      <c r="F148" s="128"/>
      <c r="G148" s="128"/>
      <c r="H148" s="128"/>
      <c r="I148" s="128"/>
    </row>
    <row r="149" spans="5:9" ht="12.75">
      <c r="E149" s="128"/>
      <c r="F149" s="128"/>
      <c r="G149" s="128"/>
      <c r="H149" s="128"/>
      <c r="I149" s="128"/>
    </row>
    <row r="150" spans="5:9" ht="12.75">
      <c r="E150" s="128"/>
      <c r="F150" s="128"/>
      <c r="G150" s="128"/>
      <c r="H150" s="128"/>
      <c r="I150" s="128"/>
    </row>
    <row r="151" spans="5:9" ht="12.75">
      <c r="E151" s="128"/>
      <c r="F151" s="128"/>
      <c r="G151" s="128"/>
      <c r="H151" s="128"/>
      <c r="I151" s="128"/>
    </row>
    <row r="152" spans="5:9" ht="12.75">
      <c r="E152" s="128"/>
      <c r="F152" s="128"/>
      <c r="G152" s="128"/>
      <c r="H152" s="128"/>
      <c r="I152" s="128"/>
    </row>
    <row r="153" spans="5:9" ht="12.75">
      <c r="E153" s="128"/>
      <c r="F153" s="128"/>
      <c r="G153" s="128"/>
      <c r="H153" s="128"/>
      <c r="I153" s="128"/>
    </row>
    <row r="154" spans="5:9" ht="12.75">
      <c r="E154" s="128"/>
      <c r="F154" s="128"/>
      <c r="G154" s="128"/>
      <c r="H154" s="128"/>
      <c r="I154" s="128"/>
    </row>
    <row r="155" spans="5:9" ht="12.75">
      <c r="E155" s="128"/>
      <c r="F155" s="128"/>
      <c r="G155" s="128"/>
      <c r="H155" s="128"/>
      <c r="I155" s="128"/>
    </row>
  </sheetData>
  <mergeCells count="7">
    <mergeCell ref="G5:I5"/>
    <mergeCell ref="I9:I10"/>
    <mergeCell ref="G9:H9"/>
    <mergeCell ref="A9:A10"/>
    <mergeCell ref="C9:C10"/>
    <mergeCell ref="D9:D10"/>
    <mergeCell ref="E9:E10"/>
  </mergeCells>
  <printOptions horizontalCentered="1"/>
  <pageMargins left="0.4724409448818898" right="0.4724409448818898" top="0.4724409448818898" bottom="0.5905511811023623" header="0" footer="0"/>
  <pageSetup horizontalDpi="1200" verticalDpi="1200" orientation="landscape" scale="94" r:id="rId2"/>
  <headerFooter alignWithMargins="0">
    <oddFooter>&amp;CPágina &amp;P de &amp;N</oddFooter>
  </headerFooter>
  <rowBreaks count="1" manualBreakCount="1">
    <brk id="6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I54"/>
  <sheetViews>
    <sheetView showGridLines="0" workbookViewId="0" topLeftCell="A1">
      <selection activeCell="F35" sqref="F35"/>
    </sheetView>
  </sheetViews>
  <sheetFormatPr defaultColWidth="11.421875" defaultRowHeight="12.75"/>
  <cols>
    <col min="1" max="1" width="8.00390625" style="0" customWidth="1"/>
    <col min="2" max="2" width="23.28125" style="0" customWidth="1"/>
    <col min="3" max="3" width="8.7109375" style="0" customWidth="1"/>
    <col min="4" max="4" width="6.00390625" style="0" customWidth="1"/>
    <col min="5" max="5" width="8.57421875" style="0" customWidth="1"/>
    <col min="6" max="6" width="9.57421875" style="0" customWidth="1"/>
    <col min="7" max="7" width="10.7109375" style="0" customWidth="1"/>
    <col min="8" max="8" width="11.8515625" style="0" customWidth="1"/>
    <col min="9" max="9" width="12.28125" style="0" customWidth="1"/>
  </cols>
  <sheetData>
    <row r="1" spans="1:9" ht="12.75">
      <c r="A1" s="16"/>
      <c r="B1" s="16"/>
      <c r="C1" s="16"/>
      <c r="D1" s="16"/>
      <c r="E1" s="16"/>
      <c r="F1" s="16"/>
      <c r="G1" s="16"/>
      <c r="H1" s="221" t="s">
        <v>22</v>
      </c>
      <c r="I1" s="221"/>
    </row>
    <row r="2" spans="1:9" ht="15">
      <c r="A2" s="222" t="s">
        <v>34</v>
      </c>
      <c r="B2" s="222"/>
      <c r="C2" s="222"/>
      <c r="D2" s="222"/>
      <c r="E2" s="222"/>
      <c r="F2" s="222"/>
      <c r="G2" s="222"/>
      <c r="H2" s="222"/>
      <c r="I2" s="222"/>
    </row>
    <row r="3" spans="1:9" ht="15">
      <c r="A3" s="222" t="s">
        <v>23</v>
      </c>
      <c r="B3" s="222"/>
      <c r="C3" s="222"/>
      <c r="D3" s="222"/>
      <c r="E3" s="222"/>
      <c r="F3" s="222"/>
      <c r="G3" s="222"/>
      <c r="H3" s="222"/>
      <c r="I3" s="222"/>
    </row>
    <row r="4" spans="1:9" ht="15">
      <c r="A4" s="222"/>
      <c r="B4" s="222"/>
      <c r="C4" s="222"/>
      <c r="D4" s="222"/>
      <c r="E4" s="222"/>
      <c r="F4" s="222"/>
      <c r="G4" s="222"/>
      <c r="H4" s="222"/>
      <c r="I4" s="222"/>
    </row>
    <row r="5" spans="1:9" ht="15.75" thickBot="1">
      <c r="A5" s="110" t="s">
        <v>163</v>
      </c>
      <c r="B5" s="18"/>
      <c r="C5" s="18"/>
      <c r="D5" s="18"/>
      <c r="E5" s="18"/>
      <c r="F5" s="18"/>
      <c r="G5" s="19"/>
      <c r="H5" s="20"/>
      <c r="I5" s="20"/>
    </row>
    <row r="6" spans="1:9" s="11" customFormat="1" ht="18" customHeight="1" thickTop="1">
      <c r="A6" s="21" t="s">
        <v>132</v>
      </c>
      <c r="B6" s="22"/>
      <c r="C6" s="22"/>
      <c r="D6" s="23"/>
      <c r="E6" s="23"/>
      <c r="F6" s="22"/>
      <c r="G6" s="22"/>
      <c r="H6" s="22"/>
      <c r="I6" s="24"/>
    </row>
    <row r="7" spans="1:9" ht="12.75">
      <c r="A7" s="214" t="s">
        <v>24</v>
      </c>
      <c r="B7" s="217" t="s">
        <v>11</v>
      </c>
      <c r="C7" s="207" t="s">
        <v>25</v>
      </c>
      <c r="D7" s="207" t="s">
        <v>26</v>
      </c>
      <c r="E7" s="207" t="s">
        <v>27</v>
      </c>
      <c r="F7" s="207" t="s">
        <v>28</v>
      </c>
      <c r="G7" s="207" t="s">
        <v>29</v>
      </c>
      <c r="H7" s="207" t="s">
        <v>31</v>
      </c>
      <c r="I7" s="210" t="s">
        <v>30</v>
      </c>
    </row>
    <row r="8" spans="1:9" ht="12.75">
      <c r="A8" s="215"/>
      <c r="B8" s="218"/>
      <c r="C8" s="219"/>
      <c r="D8" s="208"/>
      <c r="E8" s="208"/>
      <c r="F8" s="208"/>
      <c r="G8" s="208"/>
      <c r="H8" s="208"/>
      <c r="I8" s="211"/>
    </row>
    <row r="9" spans="1:9" ht="13.5" thickBot="1">
      <c r="A9" s="216"/>
      <c r="B9" s="218"/>
      <c r="C9" s="220"/>
      <c r="D9" s="209"/>
      <c r="E9" s="209"/>
      <c r="F9" s="209"/>
      <c r="G9" s="209"/>
      <c r="H9" s="209"/>
      <c r="I9" s="212"/>
    </row>
    <row r="10" spans="1:9" ht="13.5" thickTop="1">
      <c r="A10" s="29"/>
      <c r="B10" s="25"/>
      <c r="C10" s="25"/>
      <c r="D10" s="25"/>
      <c r="E10" s="25"/>
      <c r="F10" s="25"/>
      <c r="G10" s="25"/>
      <c r="H10" s="25"/>
      <c r="I10" s="26"/>
    </row>
    <row r="11" spans="1:9" ht="12.75">
      <c r="A11" s="30"/>
      <c r="B11" s="3"/>
      <c r="C11" s="3"/>
      <c r="D11" s="3"/>
      <c r="E11" s="3"/>
      <c r="F11" s="3"/>
      <c r="G11" s="3"/>
      <c r="H11" s="3"/>
      <c r="I11" s="28"/>
    </row>
    <row r="12" spans="1:9" ht="12.75">
      <c r="A12" s="30"/>
      <c r="B12" s="3"/>
      <c r="C12" s="3"/>
      <c r="D12" s="3"/>
      <c r="E12" s="3"/>
      <c r="F12" s="3"/>
      <c r="G12" s="3"/>
      <c r="H12" s="3"/>
      <c r="I12" s="28"/>
    </row>
    <row r="13" spans="1:9" ht="12.75">
      <c r="A13" s="30"/>
      <c r="B13" s="3"/>
      <c r="C13" s="3"/>
      <c r="D13" s="3"/>
      <c r="E13" s="3"/>
      <c r="F13" s="3"/>
      <c r="G13" s="3"/>
      <c r="H13" s="3"/>
      <c r="I13" s="28"/>
    </row>
    <row r="14" spans="1:9" ht="12.75">
      <c r="A14" s="30"/>
      <c r="B14" s="3"/>
      <c r="C14" s="3"/>
      <c r="D14" s="3"/>
      <c r="E14" s="3"/>
      <c r="F14" s="3"/>
      <c r="G14" s="3"/>
      <c r="H14" s="3"/>
      <c r="I14" s="28"/>
    </row>
    <row r="15" spans="1:9" ht="12.75">
      <c r="A15" s="30"/>
      <c r="B15" s="3"/>
      <c r="C15" s="3"/>
      <c r="D15" s="3"/>
      <c r="E15" s="3"/>
      <c r="F15" s="3"/>
      <c r="G15" s="3"/>
      <c r="H15" s="3"/>
      <c r="I15" s="28"/>
    </row>
    <row r="16" spans="1:9" ht="12.75">
      <c r="A16" s="30"/>
      <c r="B16" s="3"/>
      <c r="C16" s="3"/>
      <c r="D16" s="3"/>
      <c r="E16" s="3"/>
      <c r="F16" s="3"/>
      <c r="G16" s="3"/>
      <c r="H16" s="3"/>
      <c r="I16" s="28"/>
    </row>
    <row r="17" spans="1:9" ht="12.75">
      <c r="A17" s="30"/>
      <c r="B17" s="3"/>
      <c r="C17" s="3"/>
      <c r="D17" s="3"/>
      <c r="E17" s="3"/>
      <c r="F17" s="3"/>
      <c r="G17" s="3"/>
      <c r="H17" s="3"/>
      <c r="I17" s="28"/>
    </row>
    <row r="18" spans="1:9" ht="12.75">
      <c r="A18" s="30"/>
      <c r="B18" s="3"/>
      <c r="C18" s="3"/>
      <c r="D18" s="3" t="s">
        <v>131</v>
      </c>
      <c r="E18" s="3"/>
      <c r="F18" s="3"/>
      <c r="G18" s="3"/>
      <c r="H18" s="3"/>
      <c r="I18" s="28"/>
    </row>
    <row r="19" spans="1:9" ht="12.75">
      <c r="A19" s="30"/>
      <c r="B19" s="3"/>
      <c r="C19" s="3"/>
      <c r="D19" s="3"/>
      <c r="E19" s="3"/>
      <c r="F19" s="3"/>
      <c r="G19" s="3"/>
      <c r="H19" s="3"/>
      <c r="I19" s="28"/>
    </row>
    <row r="20" spans="1:9" ht="12.75">
      <c r="A20" s="30"/>
      <c r="B20" s="3"/>
      <c r="C20" s="3"/>
      <c r="D20" s="3"/>
      <c r="E20" s="3"/>
      <c r="F20" s="3"/>
      <c r="G20" s="3"/>
      <c r="H20" s="3"/>
      <c r="I20" s="28"/>
    </row>
    <row r="21" spans="1:9" ht="12.75">
      <c r="A21" s="30"/>
      <c r="B21" s="3"/>
      <c r="C21" s="3"/>
      <c r="D21" s="3"/>
      <c r="E21" s="3"/>
      <c r="F21" s="3"/>
      <c r="G21" s="3"/>
      <c r="H21" s="3"/>
      <c r="I21" s="28"/>
    </row>
    <row r="22" spans="1:9" ht="12.75">
      <c r="A22" s="30"/>
      <c r="B22" s="3"/>
      <c r="C22" s="3"/>
      <c r="D22" s="3"/>
      <c r="E22" s="3"/>
      <c r="F22" s="3"/>
      <c r="G22" s="3"/>
      <c r="H22" s="3"/>
      <c r="I22" s="28"/>
    </row>
    <row r="23" spans="1:9" ht="12.75">
      <c r="A23" s="30"/>
      <c r="B23" s="3"/>
      <c r="C23" s="3"/>
      <c r="D23" s="3"/>
      <c r="E23" s="3"/>
      <c r="F23" s="3"/>
      <c r="G23" s="3"/>
      <c r="H23" s="3"/>
      <c r="I23" s="28"/>
    </row>
    <row r="24" spans="1:9" ht="12.75">
      <c r="A24" s="30"/>
      <c r="B24" s="3"/>
      <c r="C24" s="3"/>
      <c r="D24" s="3"/>
      <c r="E24" s="3"/>
      <c r="F24" s="3"/>
      <c r="G24" s="3"/>
      <c r="H24" s="3"/>
      <c r="I24" s="28"/>
    </row>
    <row r="25" spans="1:9" ht="12.75">
      <c r="A25" s="30"/>
      <c r="B25" s="3"/>
      <c r="C25" s="3"/>
      <c r="D25" s="3"/>
      <c r="E25" s="3"/>
      <c r="F25" s="3"/>
      <c r="G25" s="3"/>
      <c r="H25" s="3"/>
      <c r="I25" s="28"/>
    </row>
    <row r="26" spans="1:9" ht="12.75">
      <c r="A26" s="30"/>
      <c r="B26" s="3"/>
      <c r="C26" s="3"/>
      <c r="D26" s="3"/>
      <c r="E26" s="3"/>
      <c r="F26" s="3"/>
      <c r="G26" s="3"/>
      <c r="H26" s="3"/>
      <c r="I26" s="28"/>
    </row>
    <row r="27" spans="1:9" ht="12.75">
      <c r="A27" s="30"/>
      <c r="B27" s="3"/>
      <c r="C27" s="3"/>
      <c r="D27" s="3"/>
      <c r="E27" s="3"/>
      <c r="F27" s="3"/>
      <c r="G27" s="3"/>
      <c r="H27" s="3"/>
      <c r="I27" s="28"/>
    </row>
    <row r="28" spans="1:9" ht="12.75">
      <c r="A28" s="30"/>
      <c r="B28" s="3"/>
      <c r="C28" s="3"/>
      <c r="D28" s="3"/>
      <c r="E28" s="3"/>
      <c r="F28" s="3"/>
      <c r="G28" s="3"/>
      <c r="H28" s="3"/>
      <c r="I28" s="28"/>
    </row>
    <row r="29" spans="1:9" ht="12.75">
      <c r="A29" s="30"/>
      <c r="B29" s="3"/>
      <c r="C29" s="3"/>
      <c r="D29" s="3"/>
      <c r="E29" s="3"/>
      <c r="F29" s="3"/>
      <c r="G29" s="3"/>
      <c r="H29" s="3"/>
      <c r="I29" s="28"/>
    </row>
    <row r="30" spans="1:9" ht="12.75">
      <c r="A30" s="30"/>
      <c r="B30" s="3"/>
      <c r="C30" s="3"/>
      <c r="D30" s="3"/>
      <c r="E30" s="3"/>
      <c r="F30" s="3"/>
      <c r="G30" s="3"/>
      <c r="H30" s="3"/>
      <c r="I30" s="28"/>
    </row>
    <row r="31" spans="1:9" ht="12.75">
      <c r="A31" s="30"/>
      <c r="B31" s="3"/>
      <c r="C31" s="3"/>
      <c r="D31" s="3"/>
      <c r="E31" s="3"/>
      <c r="F31" s="3"/>
      <c r="G31" s="3"/>
      <c r="H31" s="3"/>
      <c r="I31" s="28"/>
    </row>
    <row r="32" spans="1:9" ht="12.75">
      <c r="A32" s="30"/>
      <c r="B32" s="3"/>
      <c r="C32" s="3"/>
      <c r="D32" s="3"/>
      <c r="E32" s="3"/>
      <c r="F32" s="3"/>
      <c r="G32" s="3"/>
      <c r="H32" s="3"/>
      <c r="I32" s="28"/>
    </row>
    <row r="33" spans="1:9" ht="12.75">
      <c r="A33" s="30"/>
      <c r="B33" s="3"/>
      <c r="C33" s="3"/>
      <c r="D33" s="3"/>
      <c r="E33" s="3"/>
      <c r="F33" s="3"/>
      <c r="G33" s="3"/>
      <c r="H33" s="3"/>
      <c r="I33" s="28"/>
    </row>
    <row r="34" spans="1:9" ht="12.75">
      <c r="A34" s="30"/>
      <c r="B34" s="3"/>
      <c r="C34" s="3"/>
      <c r="D34" s="3"/>
      <c r="E34" s="3"/>
      <c r="F34" s="3"/>
      <c r="G34" s="3"/>
      <c r="H34" s="3"/>
      <c r="I34" s="28"/>
    </row>
    <row r="35" spans="1:9" ht="12.75">
      <c r="A35" s="30"/>
      <c r="B35" s="3"/>
      <c r="C35" s="3"/>
      <c r="D35" s="3"/>
      <c r="E35" s="3"/>
      <c r="F35" s="3"/>
      <c r="G35" s="3"/>
      <c r="H35" s="3"/>
      <c r="I35" s="28"/>
    </row>
    <row r="36" spans="1:9" ht="12.75">
      <c r="A36" s="30"/>
      <c r="B36" s="3"/>
      <c r="C36" s="3"/>
      <c r="D36" s="3"/>
      <c r="E36" s="3"/>
      <c r="F36" s="3"/>
      <c r="G36" s="3"/>
      <c r="H36" s="3"/>
      <c r="I36" s="28"/>
    </row>
    <row r="37" spans="1:9" ht="12.75">
      <c r="A37" s="30"/>
      <c r="B37" s="3"/>
      <c r="C37" s="3"/>
      <c r="D37" s="3"/>
      <c r="E37" s="3"/>
      <c r="F37" s="3"/>
      <c r="G37" s="3"/>
      <c r="H37" s="3"/>
      <c r="I37" s="28"/>
    </row>
    <row r="38" spans="1:9" ht="12.75">
      <c r="A38" s="31" t="s">
        <v>32</v>
      </c>
      <c r="B38" s="32"/>
      <c r="C38" s="32"/>
      <c r="D38" s="32"/>
      <c r="E38" s="32"/>
      <c r="F38" s="32"/>
      <c r="G38" s="32"/>
      <c r="H38" s="32"/>
      <c r="I38" s="33"/>
    </row>
    <row r="39" spans="1:9" ht="12.75">
      <c r="A39" s="34"/>
      <c r="B39" s="35"/>
      <c r="C39" s="35"/>
      <c r="D39" s="35"/>
      <c r="E39" s="35"/>
      <c r="F39" s="35"/>
      <c r="G39" s="35"/>
      <c r="H39" s="35"/>
      <c r="I39" s="36"/>
    </row>
    <row r="40" spans="1:9" ht="12.75">
      <c r="A40" s="27"/>
      <c r="B40" s="16"/>
      <c r="C40" s="16"/>
      <c r="D40" s="16"/>
      <c r="E40" s="16"/>
      <c r="F40" s="16"/>
      <c r="G40" s="16"/>
      <c r="H40" s="16"/>
      <c r="I40" s="37"/>
    </row>
    <row r="41" spans="1:9" ht="12.75">
      <c r="A41" s="27"/>
      <c r="B41" s="16"/>
      <c r="C41" s="16"/>
      <c r="D41" s="16"/>
      <c r="E41" s="16"/>
      <c r="F41" s="16"/>
      <c r="G41" s="16"/>
      <c r="H41" s="16"/>
      <c r="I41" s="37"/>
    </row>
    <row r="42" spans="1:9" ht="12.75">
      <c r="A42" s="27"/>
      <c r="B42" s="16"/>
      <c r="C42" s="16"/>
      <c r="D42" s="16"/>
      <c r="E42" s="16"/>
      <c r="F42" s="16"/>
      <c r="G42" s="16"/>
      <c r="H42" s="16"/>
      <c r="I42" s="37"/>
    </row>
    <row r="43" spans="1:9" ht="12.75">
      <c r="A43" s="27"/>
      <c r="B43" s="16"/>
      <c r="C43" s="16"/>
      <c r="D43" s="16"/>
      <c r="E43" s="16"/>
      <c r="F43" s="16"/>
      <c r="G43" s="16"/>
      <c r="H43" s="16"/>
      <c r="I43" s="37"/>
    </row>
    <row r="44" spans="1:9" ht="12.75">
      <c r="A44" s="27"/>
      <c r="B44" s="16"/>
      <c r="C44" s="16"/>
      <c r="D44" s="16"/>
      <c r="E44" s="16"/>
      <c r="F44" s="16"/>
      <c r="G44" s="16"/>
      <c r="H44" s="16"/>
      <c r="I44" s="37"/>
    </row>
    <row r="45" spans="1:9" ht="12.75">
      <c r="A45" s="27"/>
      <c r="B45" s="16"/>
      <c r="C45" s="16"/>
      <c r="D45" s="16"/>
      <c r="E45" s="16"/>
      <c r="F45" s="16"/>
      <c r="G45" s="16"/>
      <c r="H45" s="16"/>
      <c r="I45" s="37"/>
    </row>
    <row r="46" spans="1:9" ht="12.75">
      <c r="A46" s="27"/>
      <c r="B46" s="16"/>
      <c r="C46" s="16"/>
      <c r="D46" s="16"/>
      <c r="E46" s="16"/>
      <c r="F46" s="16"/>
      <c r="G46" s="16"/>
      <c r="H46" s="16"/>
      <c r="I46" s="37"/>
    </row>
    <row r="47" spans="1:9" ht="13.5" thickBot="1">
      <c r="A47" s="17"/>
      <c r="B47" s="18"/>
      <c r="C47" s="18"/>
      <c r="D47" s="18"/>
      <c r="E47" s="18"/>
      <c r="F47" s="18"/>
      <c r="G47" s="18"/>
      <c r="H47" s="18"/>
      <c r="I47" s="38"/>
    </row>
    <row r="48" ht="13.5" thickTop="1"/>
    <row r="51" spans="1:9" ht="12.75">
      <c r="A51" s="16" t="s">
        <v>147</v>
      </c>
      <c r="B51" s="16"/>
      <c r="F51" s="204" t="s">
        <v>133</v>
      </c>
      <c r="G51" s="204"/>
      <c r="H51" s="204"/>
      <c r="I51" s="204"/>
    </row>
    <row r="52" spans="1:9" ht="12.75" customHeight="1">
      <c r="A52" s="205"/>
      <c r="B52" s="205"/>
      <c r="F52" s="213" t="s">
        <v>151</v>
      </c>
      <c r="G52" s="213"/>
      <c r="H52" s="213"/>
      <c r="I52" s="213"/>
    </row>
    <row r="53" spans="1:9" ht="12.75">
      <c r="A53" s="205"/>
      <c r="B53" s="205"/>
      <c r="F53" s="206" t="s">
        <v>152</v>
      </c>
      <c r="G53" s="206"/>
      <c r="H53" s="206"/>
      <c r="I53" s="206"/>
    </row>
    <row r="54" spans="1:2" ht="12.75">
      <c r="A54" s="205"/>
      <c r="B54" s="205"/>
    </row>
  </sheetData>
  <mergeCells count="17">
    <mergeCell ref="F7:F9"/>
    <mergeCell ref="B7:B9"/>
    <mergeCell ref="C7:C9"/>
    <mergeCell ref="H1:I1"/>
    <mergeCell ref="A2:I2"/>
    <mergeCell ref="A3:I3"/>
    <mergeCell ref="A4:I4"/>
    <mergeCell ref="F51:I51"/>
    <mergeCell ref="A52:B54"/>
    <mergeCell ref="F53:I53"/>
    <mergeCell ref="G7:G9"/>
    <mergeCell ref="H7:H9"/>
    <mergeCell ref="I7:I9"/>
    <mergeCell ref="F52:I52"/>
    <mergeCell ref="A7:A9"/>
    <mergeCell ref="D7:D9"/>
    <mergeCell ref="E7:E9"/>
  </mergeCells>
  <printOptions horizontalCentered="1"/>
  <pageMargins left="0.3937007874015748" right="0" top="0.3937007874015748" bottom="0.3937007874015748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VERONICA MONTES</cp:lastModifiedBy>
  <cp:lastPrinted>2008-10-20T18:40:17Z</cp:lastPrinted>
  <dcterms:created xsi:type="dcterms:W3CDTF">1999-04-27T18:26:38Z</dcterms:created>
  <dcterms:modified xsi:type="dcterms:W3CDTF">2008-10-21T20:19:16Z</dcterms:modified>
  <cp:category/>
  <cp:version/>
  <cp:contentType/>
  <cp:contentStatus/>
</cp:coreProperties>
</file>