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\Desktop\Hacienda\Portal Finanzas Públicas\I Trim 17\"/>
    </mc:Choice>
  </mc:AlternateContent>
  <bookViews>
    <workbookView xWindow="0" yWindow="0" windowWidth="20490" windowHeight="7755"/>
  </bookViews>
  <sheets>
    <sheet name="Balace_Presupuestario_LDF" sheetId="7" r:id="rId1"/>
    <sheet name="IngresosXFuente_Finan" sheetId="1" r:id="rId2"/>
    <sheet name="IngresosXRubro" sheetId="5" r:id="rId3"/>
    <sheet name="Ingresos" sheetId="6" r:id="rId4"/>
    <sheet name="Ana_Ing_detallado_LDF" sheetId="8" r:id="rId5"/>
    <sheet name="fuente1" sheetId="2" state="hidden" r:id="rId6"/>
    <sheet name="BExRepositorySheet" sheetId="4" state="veryHidden" r:id="rId7"/>
    <sheet name="Hoja3" sheetId="3" state="hidden" r:id="rId8"/>
  </sheets>
  <externalReferences>
    <externalReference r:id="rId9"/>
  </externalReferences>
  <definedNames>
    <definedName name="_xlnm.Print_Area" localSheetId="4">Ana_Ing_detallado_LDF!$B$2:$J$86</definedName>
    <definedName name="_xlnm.Print_Area" localSheetId="3">Ingresos!$A$1:$E$371</definedName>
  </definedNames>
  <calcPr calcId="152511" calcMode="manual"/>
</workbook>
</file>

<file path=xl/calcChain.xml><?xml version="1.0" encoding="utf-8"?>
<calcChain xmlns="http://schemas.openxmlformats.org/spreadsheetml/2006/main">
  <c r="J80" i="8" l="1"/>
  <c r="I80" i="8"/>
  <c r="H80" i="8"/>
  <c r="G80" i="8"/>
  <c r="F80" i="8"/>
  <c r="E80" i="8"/>
  <c r="J72" i="8"/>
  <c r="I72" i="8"/>
  <c r="H72" i="8"/>
  <c r="G72" i="8"/>
  <c r="F72" i="8"/>
  <c r="E72" i="8"/>
  <c r="J64" i="8"/>
  <c r="I64" i="8"/>
  <c r="H64" i="8"/>
  <c r="G64" i="8"/>
  <c r="F64" i="8"/>
  <c r="E64" i="8"/>
  <c r="J59" i="8"/>
  <c r="I59" i="8"/>
  <c r="I70" i="8" s="1"/>
  <c r="H59" i="8"/>
  <c r="G59" i="8"/>
  <c r="F59" i="8"/>
  <c r="E59" i="8"/>
  <c r="E70" i="8" s="1"/>
  <c r="J50" i="8"/>
  <c r="J70" i="8" s="1"/>
  <c r="I50" i="8"/>
  <c r="H50" i="8"/>
  <c r="H70" i="8" s="1"/>
  <c r="G50" i="8"/>
  <c r="G70" i="8" s="1"/>
  <c r="F50" i="8"/>
  <c r="F70" i="8" s="1"/>
  <c r="E50" i="8"/>
  <c r="J40" i="8"/>
  <c r="I40" i="8"/>
  <c r="H40" i="8"/>
  <c r="G40" i="8"/>
  <c r="F40" i="8"/>
  <c r="E40" i="8"/>
  <c r="J37" i="8"/>
  <c r="J36" i="8"/>
  <c r="J35" i="8"/>
  <c r="J34" i="8"/>
  <c r="J33" i="8"/>
  <c r="J32" i="8"/>
  <c r="I31" i="8"/>
  <c r="H31" i="8"/>
  <c r="G31" i="8"/>
  <c r="F31" i="8"/>
  <c r="E31" i="8"/>
  <c r="J30" i="8"/>
  <c r="J29" i="8"/>
  <c r="J28" i="8"/>
  <c r="J27" i="8"/>
  <c r="J26" i="8"/>
  <c r="J25" i="8"/>
  <c r="J24" i="8"/>
  <c r="J23" i="8"/>
  <c r="J22" i="8"/>
  <c r="J21" i="8"/>
  <c r="J20" i="8"/>
  <c r="I19" i="8"/>
  <c r="H19" i="8"/>
  <c r="H44" i="8" s="1"/>
  <c r="G19" i="8"/>
  <c r="F19" i="8"/>
  <c r="E19" i="8"/>
  <c r="J17" i="8"/>
  <c r="J16" i="8"/>
  <c r="J15" i="8"/>
  <c r="J14" i="8"/>
  <c r="J13" i="8"/>
  <c r="J12" i="8"/>
  <c r="J11" i="8"/>
  <c r="I44" i="8" l="1"/>
  <c r="E44" i="8"/>
  <c r="E75" i="8" s="1"/>
  <c r="J31" i="8"/>
  <c r="F44" i="8"/>
  <c r="F75" i="8" s="1"/>
  <c r="G44" i="8"/>
  <c r="G75" i="8" s="1"/>
  <c r="J19" i="8"/>
  <c r="J44" i="8" s="1"/>
  <c r="J75" i="8" s="1"/>
  <c r="I75" i="8"/>
  <c r="H75" i="8"/>
  <c r="E79" i="7" l="1"/>
  <c r="D79" i="7"/>
  <c r="E77" i="7"/>
  <c r="E75" i="7" s="1"/>
  <c r="D77" i="7"/>
  <c r="F75" i="7"/>
  <c r="D75" i="7"/>
  <c r="F73" i="7"/>
  <c r="E73" i="7"/>
  <c r="E83" i="7" s="1"/>
  <c r="E85" i="7" s="1"/>
  <c r="D73" i="7"/>
  <c r="D83" i="7" s="1"/>
  <c r="D85" i="7" s="1"/>
  <c r="D61" i="7"/>
  <c r="F59" i="7"/>
  <c r="E59" i="7"/>
  <c r="F58" i="7"/>
  <c r="E58" i="7"/>
  <c r="F57" i="7"/>
  <c r="E57" i="7"/>
  <c r="D57" i="7"/>
  <c r="F55" i="7"/>
  <c r="E55" i="7"/>
  <c r="D55" i="7"/>
  <c r="D65" i="7" s="1"/>
  <c r="D67" i="7" s="1"/>
  <c r="F45" i="7"/>
  <c r="E45" i="7"/>
  <c r="D45" i="7"/>
  <c r="F42" i="7"/>
  <c r="F49" i="7" s="1"/>
  <c r="F13" i="7" s="1"/>
  <c r="F10" i="7" s="1"/>
  <c r="F23" i="7" s="1"/>
  <c r="F25" i="7" s="1"/>
  <c r="F27" i="7" s="1"/>
  <c r="F36" i="7" s="1"/>
  <c r="E42" i="7"/>
  <c r="E49" i="7" s="1"/>
  <c r="E13" i="7" s="1"/>
  <c r="E10" i="7" s="1"/>
  <c r="D42" i="7"/>
  <c r="D49" i="7" s="1"/>
  <c r="D13" i="7" s="1"/>
  <c r="D10" i="7" s="1"/>
  <c r="D23" i="7" s="1"/>
  <c r="D25" i="7" s="1"/>
  <c r="D27" i="7" s="1"/>
  <c r="D36" i="7" s="1"/>
  <c r="F32" i="7"/>
  <c r="E32" i="7"/>
  <c r="D32" i="7"/>
  <c r="F19" i="7"/>
  <c r="E19" i="7"/>
  <c r="D19" i="7"/>
  <c r="F17" i="7"/>
  <c r="F79" i="7" s="1"/>
  <c r="E17" i="7"/>
  <c r="F16" i="7"/>
  <c r="F61" i="7" s="1"/>
  <c r="E16" i="7"/>
  <c r="E61" i="7" s="1"/>
  <c r="F15" i="7"/>
  <c r="D15" i="7"/>
  <c r="E65" i="7" l="1"/>
  <c r="E67" i="7" s="1"/>
  <c r="F65" i="7"/>
  <c r="F67" i="7" s="1"/>
  <c r="F83" i="7"/>
  <c r="F85" i="7" s="1"/>
  <c r="E15" i="7"/>
  <c r="E23" i="7" s="1"/>
  <c r="E25" i="7" s="1"/>
  <c r="E27" i="7" s="1"/>
  <c r="E36" i="7" s="1"/>
  <c r="D370" i="6" l="1"/>
  <c r="E369" i="6"/>
  <c r="D369" i="6"/>
  <c r="E368" i="6"/>
  <c r="D368" i="6"/>
  <c r="E367" i="6"/>
  <c r="D367" i="6"/>
  <c r="C366" i="6"/>
  <c r="C365" i="6" s="1"/>
  <c r="C20" i="6" s="1"/>
  <c r="B366" i="6"/>
  <c r="B365" i="6" s="1"/>
  <c r="B20" i="6" s="1"/>
  <c r="E361" i="6"/>
  <c r="D361" i="6"/>
  <c r="D360" i="6" s="1"/>
  <c r="C360" i="6"/>
  <c r="B360" i="6"/>
  <c r="D359" i="6"/>
  <c r="D358" i="6"/>
  <c r="E357" i="6"/>
  <c r="D357" i="6"/>
  <c r="D356" i="6"/>
  <c r="E355" i="6"/>
  <c r="D355" i="6"/>
  <c r="E354" i="6"/>
  <c r="D354" i="6"/>
  <c r="E353" i="6"/>
  <c r="D353" i="6"/>
  <c r="D352" i="6"/>
  <c r="E351" i="6"/>
  <c r="D351" i="6"/>
  <c r="D350" i="6"/>
  <c r="D349" i="6"/>
  <c r="D348" i="6"/>
  <c r="D347" i="6"/>
  <c r="D346" i="6"/>
  <c r="E345" i="6"/>
  <c r="D345" i="6"/>
  <c r="D344" i="6"/>
  <c r="D343" i="6"/>
  <c r="E342" i="6"/>
  <c r="D342" i="6"/>
  <c r="E341" i="6"/>
  <c r="D341" i="6"/>
  <c r="D340" i="6"/>
  <c r="D339" i="6"/>
  <c r="E338" i="6"/>
  <c r="D338" i="6"/>
  <c r="E337" i="6"/>
  <c r="D337" i="6"/>
  <c r="E336" i="6"/>
  <c r="D336" i="6"/>
  <c r="C335" i="6"/>
  <c r="B335" i="6"/>
  <c r="D334" i="6"/>
  <c r="E333" i="6"/>
  <c r="D333" i="6"/>
  <c r="D332" i="6" s="1"/>
  <c r="C332" i="6"/>
  <c r="B332" i="6"/>
  <c r="E331" i="6"/>
  <c r="D331" i="6"/>
  <c r="D330" i="6" s="1"/>
  <c r="C330" i="6"/>
  <c r="B330" i="6"/>
  <c r="D329" i="6"/>
  <c r="E328" i="6"/>
  <c r="D328" i="6"/>
  <c r="E327" i="6"/>
  <c r="D327" i="6"/>
  <c r="E326" i="6"/>
  <c r="D326" i="6"/>
  <c r="C325" i="6"/>
  <c r="B325" i="6"/>
  <c r="D324" i="6"/>
  <c r="D323" i="6"/>
  <c r="D322" i="6"/>
  <c r="E321" i="6"/>
  <c r="D321" i="6"/>
  <c r="E320" i="6"/>
  <c r="D320" i="6"/>
  <c r="E319" i="6"/>
  <c r="D319" i="6"/>
  <c r="E318" i="6"/>
  <c r="D318" i="6"/>
  <c r="E317" i="6"/>
  <c r="D317" i="6"/>
  <c r="E316" i="6"/>
  <c r="D316" i="6"/>
  <c r="E315" i="6"/>
  <c r="D315" i="6"/>
  <c r="E314" i="6"/>
  <c r="D314" i="6"/>
  <c r="E313" i="6"/>
  <c r="D313" i="6"/>
  <c r="E312" i="6"/>
  <c r="D312" i="6"/>
  <c r="E311" i="6"/>
  <c r="D311" i="6"/>
  <c r="E310" i="6"/>
  <c r="D310" i="6"/>
  <c r="E309" i="6"/>
  <c r="D309" i="6"/>
  <c r="E308" i="6"/>
  <c r="D308" i="6"/>
  <c r="E307" i="6"/>
  <c r="D307" i="6"/>
  <c r="E306" i="6"/>
  <c r="D306" i="6"/>
  <c r="E305" i="6"/>
  <c r="D305" i="6"/>
  <c r="E304" i="6"/>
  <c r="D304" i="6"/>
  <c r="E303" i="6"/>
  <c r="D303" i="6"/>
  <c r="E302" i="6"/>
  <c r="D302" i="6"/>
  <c r="E301" i="6"/>
  <c r="D301" i="6"/>
  <c r="E300" i="6"/>
  <c r="D300" i="6"/>
  <c r="E299" i="6"/>
  <c r="D299" i="6"/>
  <c r="E298" i="6"/>
  <c r="D298" i="6"/>
  <c r="E297" i="6"/>
  <c r="D297" i="6"/>
  <c r="E296" i="6"/>
  <c r="D296" i="6"/>
  <c r="E295" i="6"/>
  <c r="D295" i="6"/>
  <c r="E294" i="6"/>
  <c r="D294" i="6"/>
  <c r="E293" i="6"/>
  <c r="D293" i="6"/>
  <c r="E292" i="6"/>
  <c r="D292" i="6"/>
  <c r="E291" i="6"/>
  <c r="D291" i="6"/>
  <c r="E290" i="6"/>
  <c r="D290" i="6"/>
  <c r="E289" i="6"/>
  <c r="D289" i="6"/>
  <c r="E288" i="6"/>
  <c r="D288" i="6"/>
  <c r="E287" i="6"/>
  <c r="D287" i="6"/>
  <c r="D286" i="6"/>
  <c r="E285" i="6"/>
  <c r="D285" i="6"/>
  <c r="E284" i="6"/>
  <c r="D284" i="6"/>
  <c r="E283" i="6"/>
  <c r="D283" i="6"/>
  <c r="E282" i="6"/>
  <c r="D282" i="6"/>
  <c r="E281" i="6"/>
  <c r="D281" i="6"/>
  <c r="E280" i="6"/>
  <c r="D280" i="6"/>
  <c r="E279" i="6"/>
  <c r="D279" i="6"/>
  <c r="E278" i="6"/>
  <c r="D278" i="6"/>
  <c r="E277" i="6"/>
  <c r="D277" i="6"/>
  <c r="E276" i="6"/>
  <c r="D276" i="6"/>
  <c r="D275" i="6"/>
  <c r="C274" i="6"/>
  <c r="B274" i="6"/>
  <c r="E261" i="6"/>
  <c r="D261" i="6"/>
  <c r="D260" i="6" s="1"/>
  <c r="C260" i="6"/>
  <c r="B260" i="6"/>
  <c r="E259" i="6"/>
  <c r="D259" i="6"/>
  <c r="E258" i="6"/>
  <c r="D258" i="6"/>
  <c r="E257" i="6"/>
  <c r="D257" i="6"/>
  <c r="C256" i="6"/>
  <c r="B256" i="6"/>
  <c r="E255" i="6"/>
  <c r="D255" i="6"/>
  <c r="E254" i="6"/>
  <c r="D254" i="6"/>
  <c r="E253" i="6"/>
  <c r="D253" i="6"/>
  <c r="E252" i="6"/>
  <c r="D252" i="6"/>
  <c r="E251" i="6"/>
  <c r="D251" i="6"/>
  <c r="E250" i="6"/>
  <c r="D250" i="6"/>
  <c r="E249" i="6"/>
  <c r="D249" i="6"/>
  <c r="E248" i="6"/>
  <c r="D248" i="6"/>
  <c r="C247" i="6"/>
  <c r="B247" i="6"/>
  <c r="E246" i="6"/>
  <c r="D246" i="6"/>
  <c r="E245" i="6"/>
  <c r="D245" i="6"/>
  <c r="E244" i="6"/>
  <c r="D244" i="6"/>
  <c r="C243" i="6"/>
  <c r="B243" i="6"/>
  <c r="E242" i="6"/>
  <c r="D242" i="6"/>
  <c r="E241" i="6"/>
  <c r="D241" i="6"/>
  <c r="E240" i="6"/>
  <c r="D240" i="6"/>
  <c r="E239" i="6"/>
  <c r="D239" i="6"/>
  <c r="E238" i="6"/>
  <c r="D238" i="6"/>
  <c r="C237" i="6"/>
  <c r="B237" i="6"/>
  <c r="E235" i="6"/>
  <c r="D235" i="6"/>
  <c r="E234" i="6"/>
  <c r="D234" i="6"/>
  <c r="E233" i="6"/>
  <c r="D233" i="6"/>
  <c r="E232" i="6"/>
  <c r="D232" i="6"/>
  <c r="E231" i="6"/>
  <c r="D231" i="6"/>
  <c r="C230" i="6"/>
  <c r="B230" i="6"/>
  <c r="E225" i="6"/>
  <c r="D225" i="6"/>
  <c r="D224" i="6" s="1"/>
  <c r="D17" i="6" s="1"/>
  <c r="C224" i="6"/>
  <c r="B224" i="6"/>
  <c r="B17" i="6" s="1"/>
  <c r="E218" i="6"/>
  <c r="D218" i="6"/>
  <c r="D217" i="6"/>
  <c r="E216" i="6"/>
  <c r="D216" i="6"/>
  <c r="D215" i="6"/>
  <c r="D214" i="6"/>
  <c r="D213" i="6"/>
  <c r="D212" i="6"/>
  <c r="D211" i="6"/>
  <c r="D210" i="6"/>
  <c r="D209" i="6"/>
  <c r="D208" i="6"/>
  <c r="D207" i="6"/>
  <c r="C206" i="6"/>
  <c r="B206" i="6"/>
  <c r="D205" i="6"/>
  <c r="D203" i="6"/>
  <c r="D202" i="6"/>
  <c r="E201" i="6"/>
  <c r="D201" i="6"/>
  <c r="E200" i="6"/>
  <c r="D200" i="6"/>
  <c r="C199" i="6"/>
  <c r="E199" i="6" s="1"/>
  <c r="B199" i="6"/>
  <c r="E198" i="6"/>
  <c r="D198" i="6"/>
  <c r="D197" i="6" s="1"/>
  <c r="C197" i="6"/>
  <c r="E197" i="6" s="1"/>
  <c r="B197" i="6"/>
  <c r="E196" i="6"/>
  <c r="D196" i="6"/>
  <c r="E195" i="6"/>
  <c r="D195" i="6"/>
  <c r="E194" i="6"/>
  <c r="D194" i="6"/>
  <c r="C193" i="6"/>
  <c r="B193" i="6"/>
  <c r="E192" i="6"/>
  <c r="D192" i="6"/>
  <c r="E191" i="6"/>
  <c r="D191" i="6"/>
  <c r="E190" i="6"/>
  <c r="D190" i="6"/>
  <c r="E189" i="6"/>
  <c r="D189" i="6"/>
  <c r="E188" i="6"/>
  <c r="D188" i="6"/>
  <c r="E187" i="6"/>
  <c r="D187" i="6"/>
  <c r="E186" i="6"/>
  <c r="D186" i="6"/>
  <c r="E185" i="6"/>
  <c r="D185" i="6"/>
  <c r="E184" i="6"/>
  <c r="D184" i="6"/>
  <c r="E183" i="6"/>
  <c r="D183" i="6"/>
  <c r="E182" i="6"/>
  <c r="D182" i="6"/>
  <c r="E181" i="6"/>
  <c r="D181" i="6"/>
  <c r="E180" i="6"/>
  <c r="D180" i="6"/>
  <c r="E179" i="6"/>
  <c r="D179" i="6"/>
  <c r="E178" i="6"/>
  <c r="D178" i="6"/>
  <c r="C177" i="6"/>
  <c r="B177" i="6"/>
  <c r="D147" i="6"/>
  <c r="D146" i="6"/>
  <c r="E145" i="6"/>
  <c r="D145" i="6"/>
  <c r="E144" i="6"/>
  <c r="D144" i="6"/>
  <c r="C143" i="6"/>
  <c r="B143" i="6"/>
  <c r="E142" i="6"/>
  <c r="D142" i="6"/>
  <c r="E141" i="6"/>
  <c r="D141" i="6"/>
  <c r="E140" i="6"/>
  <c r="D140" i="6"/>
  <c r="D139" i="6"/>
  <c r="C138" i="6"/>
  <c r="C137" i="6" s="1"/>
  <c r="B138" i="6"/>
  <c r="B137" i="6" s="1"/>
  <c r="E115" i="6"/>
  <c r="D115" i="6"/>
  <c r="E114" i="6"/>
  <c r="D114" i="6"/>
  <c r="E113" i="6"/>
  <c r="D113" i="6"/>
  <c r="E112" i="6"/>
  <c r="D112" i="6"/>
  <c r="C111" i="6"/>
  <c r="B111" i="6"/>
  <c r="E110" i="6"/>
  <c r="D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E103" i="6"/>
  <c r="D103" i="6"/>
  <c r="D102" i="6"/>
  <c r="E101" i="6"/>
  <c r="D101" i="6"/>
  <c r="C100" i="6"/>
  <c r="B100" i="6"/>
  <c r="E99" i="6"/>
  <c r="D99" i="6"/>
  <c r="E98" i="6"/>
  <c r="D98" i="6"/>
  <c r="E97" i="6"/>
  <c r="D97" i="6"/>
  <c r="C96" i="6"/>
  <c r="B96" i="6"/>
  <c r="E95" i="6"/>
  <c r="D95" i="6"/>
  <c r="E94" i="6"/>
  <c r="D94" i="6"/>
  <c r="E93" i="6"/>
  <c r="D93" i="6"/>
  <c r="E92" i="6"/>
  <c r="D92" i="6"/>
  <c r="C91" i="6"/>
  <c r="B91" i="6"/>
  <c r="E84" i="6"/>
  <c r="D84" i="6"/>
  <c r="E83" i="6"/>
  <c r="D83" i="6"/>
  <c r="E82" i="6"/>
  <c r="D82" i="6"/>
  <c r="E81" i="6"/>
  <c r="D81" i="6"/>
  <c r="E80" i="6"/>
  <c r="D80" i="6"/>
  <c r="E79" i="6"/>
  <c r="D79" i="6"/>
  <c r="E78" i="6"/>
  <c r="D78" i="6"/>
  <c r="C77" i="6"/>
  <c r="B77" i="6"/>
  <c r="E76" i="6"/>
  <c r="D76" i="6"/>
  <c r="E75" i="6"/>
  <c r="D75" i="6"/>
  <c r="E74" i="6"/>
  <c r="D74" i="6"/>
  <c r="C73" i="6"/>
  <c r="B73" i="6"/>
  <c r="E72" i="6"/>
  <c r="D72" i="6"/>
  <c r="E71" i="6"/>
  <c r="D71" i="6"/>
  <c r="E70" i="6"/>
  <c r="D70" i="6"/>
  <c r="E69" i="6"/>
  <c r="D69" i="6"/>
  <c r="C67" i="6"/>
  <c r="E67" i="6" s="1"/>
  <c r="B67" i="6"/>
  <c r="E61" i="6"/>
  <c r="D61" i="6"/>
  <c r="D58" i="6" s="1"/>
  <c r="C58" i="6"/>
  <c r="B58" i="6"/>
  <c r="E57" i="6"/>
  <c r="D57" i="6"/>
  <c r="E56" i="6"/>
  <c r="D56" i="6"/>
  <c r="E55" i="6"/>
  <c r="D55" i="6"/>
  <c r="E54" i="6"/>
  <c r="D54" i="6"/>
  <c r="C53" i="6"/>
  <c r="B53" i="6"/>
  <c r="E51" i="6"/>
  <c r="D51" i="6"/>
  <c r="E50" i="6"/>
  <c r="D50" i="6"/>
  <c r="C49" i="6"/>
  <c r="B49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C33" i="6"/>
  <c r="B33" i="6"/>
  <c r="E32" i="6"/>
  <c r="D32" i="6"/>
  <c r="E31" i="6"/>
  <c r="D31" i="6"/>
  <c r="E30" i="6"/>
  <c r="D30" i="6"/>
  <c r="E29" i="6"/>
  <c r="D29" i="6"/>
  <c r="E28" i="6"/>
  <c r="D28" i="6"/>
  <c r="E27" i="6"/>
  <c r="D27" i="6"/>
  <c r="C26" i="6"/>
  <c r="C12" i="6" s="1"/>
  <c r="E96" i="6" l="1"/>
  <c r="E366" i="6"/>
  <c r="D199" i="6"/>
  <c r="E243" i="6"/>
  <c r="E274" i="6"/>
  <c r="E73" i="6"/>
  <c r="D67" i="6"/>
  <c r="E224" i="6"/>
  <c r="E17" i="6" s="1"/>
  <c r="D274" i="6"/>
  <c r="E325" i="6"/>
  <c r="E33" i="6"/>
  <c r="E53" i="6"/>
  <c r="E77" i="6"/>
  <c r="E91" i="6"/>
  <c r="D230" i="6"/>
  <c r="D237" i="6"/>
  <c r="D247" i="6"/>
  <c r="E260" i="6"/>
  <c r="C273" i="6"/>
  <c r="C272" i="6" s="1"/>
  <c r="D73" i="6"/>
  <c r="D77" i="6"/>
  <c r="D91" i="6"/>
  <c r="E193" i="6"/>
  <c r="B26" i="6"/>
  <c r="E26" i="6" s="1"/>
  <c r="E12" i="6" s="1"/>
  <c r="D111" i="6"/>
  <c r="C17" i="6"/>
  <c r="B52" i="6"/>
  <c r="B48" i="6" s="1"/>
  <c r="B13" i="6" s="1"/>
  <c r="D96" i="6"/>
  <c r="B136" i="6"/>
  <c r="B14" i="6" s="1"/>
  <c r="D193" i="6"/>
  <c r="E330" i="6"/>
  <c r="E365" i="6"/>
  <c r="E20" i="6" s="1"/>
  <c r="D366" i="6"/>
  <c r="D365" i="6" s="1"/>
  <c r="D20" i="6" s="1"/>
  <c r="D256" i="6"/>
  <c r="E143" i="6"/>
  <c r="D206" i="6"/>
  <c r="D53" i="6"/>
  <c r="D33" i="6"/>
  <c r="D26" i="6" s="1"/>
  <c r="D12" i="6" s="1"/>
  <c r="D143" i="6"/>
  <c r="D138" i="6"/>
  <c r="D137" i="6" s="1"/>
  <c r="E137" i="6"/>
  <c r="E237" i="6"/>
  <c r="E256" i="6"/>
  <c r="E335" i="6"/>
  <c r="D49" i="6"/>
  <c r="E58" i="6"/>
  <c r="E100" i="6"/>
  <c r="C136" i="6"/>
  <c r="E138" i="6"/>
  <c r="E177" i="6"/>
  <c r="E206" i="6"/>
  <c r="E247" i="6"/>
  <c r="B273" i="6"/>
  <c r="B272" i="6" s="1"/>
  <c r="B19" i="6" s="1"/>
  <c r="D335" i="6"/>
  <c r="D100" i="6"/>
  <c r="E111" i="6"/>
  <c r="D177" i="6"/>
  <c r="E230" i="6"/>
  <c r="C236" i="6"/>
  <c r="C229" i="6" s="1"/>
  <c r="D243" i="6"/>
  <c r="D325" i="6"/>
  <c r="D273" i="6" s="1"/>
  <c r="C52" i="6"/>
  <c r="C176" i="6"/>
  <c r="E49" i="6"/>
  <c r="B236" i="6"/>
  <c r="B229" i="6" s="1"/>
  <c r="B18" i="6" s="1"/>
  <c r="E360" i="6"/>
  <c r="B176" i="6"/>
  <c r="B175" i="6" s="1"/>
  <c r="B15" i="6" s="1"/>
  <c r="D272" i="6" l="1"/>
  <c r="D19" i="6" s="1"/>
  <c r="D176" i="6"/>
  <c r="D175" i="6" s="1"/>
  <c r="D15" i="6" s="1"/>
  <c r="D236" i="6"/>
  <c r="D229" i="6" s="1"/>
  <c r="D18" i="6" s="1"/>
  <c r="B12" i="6"/>
  <c r="B16" i="6" s="1"/>
  <c r="B21" i="6" s="1"/>
  <c r="E272" i="6"/>
  <c r="E19" i="6" s="1"/>
  <c r="C19" i="6"/>
  <c r="D52" i="6"/>
  <c r="D48" i="6" s="1"/>
  <c r="D13" i="6" s="1"/>
  <c r="E52" i="6"/>
  <c r="E236" i="6"/>
  <c r="E273" i="6"/>
  <c r="D136" i="6"/>
  <c r="D14" i="6" s="1"/>
  <c r="E136" i="6"/>
  <c r="E14" i="6" s="1"/>
  <c r="C14" i="6"/>
  <c r="C175" i="6"/>
  <c r="E176" i="6"/>
  <c r="E229" i="6"/>
  <c r="E18" i="6" s="1"/>
  <c r="C18" i="6"/>
  <c r="C48" i="6"/>
  <c r="D16" i="6" l="1"/>
  <c r="D21" i="6" s="1"/>
  <c r="E48" i="6"/>
  <c r="E13" i="6" s="1"/>
  <c r="C13" i="6"/>
  <c r="E175" i="6"/>
  <c r="E15" i="6" s="1"/>
  <c r="C15" i="6"/>
  <c r="C16" i="6" l="1"/>
  <c r="E16" i="6" l="1"/>
  <c r="C21" i="6"/>
  <c r="E21" i="6" s="1"/>
  <c r="K24" i="5" l="1"/>
  <c r="K25" i="5" s="1"/>
  <c r="J24" i="5"/>
  <c r="I24" i="5"/>
  <c r="H24" i="5"/>
  <c r="G24" i="5"/>
  <c r="F24" i="5"/>
  <c r="A6" i="5"/>
  <c r="I1" i="5"/>
  <c r="H1" i="5"/>
  <c r="G1" i="5"/>
  <c r="F1" i="5"/>
  <c r="A5" i="5" s="1"/>
  <c r="E1" i="5"/>
  <c r="L63" i="1" l="1"/>
  <c r="K63" i="1"/>
  <c r="J63" i="1"/>
  <c r="H63" i="1"/>
  <c r="G63" i="1"/>
  <c r="A6" i="1"/>
  <c r="G1" i="1"/>
  <c r="J1" i="1" s="1"/>
  <c r="F1" i="1"/>
  <c r="H1" i="1" s="1"/>
  <c r="A5" i="1" l="1"/>
  <c r="I1" i="1"/>
  <c r="I63" i="1"/>
  <c r="F41" i="2"/>
  <c r="F51" i="2"/>
  <c r="D18" i="2"/>
  <c r="F62" i="2"/>
  <c r="I57" i="2"/>
  <c r="G12" i="2"/>
  <c r="D24" i="2"/>
  <c r="H58" i="2"/>
  <c r="D57" i="2"/>
  <c r="J66" i="2"/>
  <c r="I45" i="2"/>
  <c r="D11" i="2"/>
  <c r="E6" i="2"/>
  <c r="J45" i="2"/>
  <c r="D26" i="2"/>
  <c r="D12" i="2"/>
  <c r="J69" i="2"/>
  <c r="H45" i="2"/>
  <c r="F13" i="2"/>
  <c r="G17" i="2"/>
  <c r="E54" i="2"/>
  <c r="D59" i="2"/>
  <c r="H65" i="2"/>
  <c r="D55" i="2"/>
  <c r="G66" i="2"/>
  <c r="F36" i="2"/>
  <c r="F53" i="2"/>
  <c r="D7" i="2"/>
  <c r="I36" i="2"/>
  <c r="G41" i="2"/>
  <c r="H10" i="2"/>
  <c r="G13" i="2"/>
  <c r="G62" i="2"/>
  <c r="J15" i="2"/>
  <c r="I70" i="2"/>
  <c r="I11" i="2"/>
  <c r="I22" i="2"/>
  <c r="G4" i="2"/>
  <c r="D50" i="2"/>
  <c r="G36" i="2"/>
  <c r="D45" i="2"/>
  <c r="I42" i="2"/>
  <c r="J16" i="2"/>
  <c r="F26" i="2"/>
  <c r="G48" i="2"/>
  <c r="I15" i="2"/>
  <c r="H15" i="2"/>
  <c r="F47" i="2"/>
  <c r="I18" i="2"/>
  <c r="G24" i="2"/>
  <c r="H14" i="2"/>
  <c r="F15" i="2"/>
  <c r="I12" i="2"/>
  <c r="D4" i="2"/>
  <c r="J13" i="2"/>
  <c r="E16" i="2"/>
  <c r="G65" i="2"/>
  <c r="F68" i="2"/>
  <c r="D48" i="2"/>
  <c r="J58" i="2"/>
  <c r="E45" i="2"/>
  <c r="I55" i="2"/>
  <c r="E51" i="2"/>
  <c r="D60" i="2"/>
  <c r="D53" i="2"/>
  <c r="H19" i="2"/>
  <c r="J24" i="2"/>
  <c r="J5" i="2"/>
  <c r="E4" i="2"/>
  <c r="H30" i="2"/>
  <c r="I39" i="2"/>
  <c r="H13" i="2"/>
  <c r="I46" i="2"/>
  <c r="F33" i="2"/>
  <c r="I35" i="2"/>
  <c r="E17" i="2"/>
  <c r="J55" i="2"/>
  <c r="J30" i="2"/>
  <c r="G15" i="2"/>
  <c r="I41" i="2"/>
  <c r="E47" i="2"/>
  <c r="I54" i="2"/>
  <c r="D19" i="2"/>
  <c r="D38" i="2"/>
  <c r="H47" i="2"/>
  <c r="G35" i="2"/>
  <c r="H33" i="2"/>
  <c r="G9" i="2"/>
  <c r="J43" i="2"/>
  <c r="F50" i="2"/>
  <c r="G57" i="2"/>
  <c r="H21" i="2"/>
  <c r="F17" i="2"/>
  <c r="E66" i="2"/>
  <c r="H39" i="2"/>
  <c r="G43" i="2"/>
  <c r="E20" i="2"/>
  <c r="G22" i="2"/>
  <c r="I10" i="2"/>
  <c r="G34" i="2"/>
  <c r="I24" i="2"/>
  <c r="H57" i="2"/>
  <c r="D30" i="2"/>
  <c r="D68" i="2"/>
  <c r="H56" i="2"/>
  <c r="J9" i="2"/>
  <c r="H31" i="2"/>
  <c r="I52" i="2"/>
  <c r="D34" i="2"/>
  <c r="H43" i="2"/>
  <c r="F59" i="2"/>
  <c r="J63" i="2"/>
  <c r="H37" i="2"/>
  <c r="F23" i="2"/>
  <c r="F40" i="2"/>
  <c r="D17" i="2"/>
  <c r="F32" i="2"/>
  <c r="I6" i="2"/>
  <c r="G50" i="2"/>
  <c r="I67" i="2"/>
  <c r="J35" i="2"/>
  <c r="D70" i="2"/>
  <c r="G11" i="2"/>
  <c r="E48" i="2"/>
  <c r="G53" i="2"/>
  <c r="D49" i="2"/>
  <c r="J59" i="2"/>
  <c r="I56" i="2"/>
  <c r="H25" i="2"/>
  <c r="I50" i="2"/>
  <c r="H59" i="2"/>
  <c r="H46" i="2"/>
  <c r="G55" i="2"/>
  <c r="G3" i="2"/>
  <c r="G10" i="2"/>
  <c r="J62" i="2"/>
  <c r="D5" i="2"/>
  <c r="D46" i="2"/>
  <c r="I13" i="2"/>
  <c r="J17" i="2"/>
  <c r="H54" i="2"/>
  <c r="I4" i="2"/>
  <c r="H66" i="2"/>
  <c r="H7" i="2"/>
  <c r="E30" i="2"/>
  <c r="F64" i="2"/>
  <c r="H40" i="2"/>
  <c r="E36" i="2"/>
  <c r="G32" i="2"/>
  <c r="J10" i="2"/>
  <c r="J40" i="2"/>
  <c r="F35" i="2"/>
  <c r="I16" i="2"/>
  <c r="J27" i="2"/>
  <c r="H12" i="2"/>
  <c r="I23" i="2"/>
  <c r="G59" i="2"/>
  <c r="I60" i="2"/>
  <c r="H6" i="2"/>
  <c r="I53" i="2"/>
  <c r="F10" i="2"/>
  <c r="E53" i="2"/>
  <c r="F52" i="2"/>
  <c r="G5" i="2"/>
  <c r="E34" i="2"/>
  <c r="F5" i="2"/>
  <c r="E43" i="2"/>
  <c r="E10" i="2"/>
  <c r="J46" i="2"/>
  <c r="D51" i="2"/>
  <c r="J19" i="2"/>
  <c r="E13" i="2"/>
  <c r="G26" i="2"/>
  <c r="E59" i="2"/>
  <c r="D16" i="2"/>
  <c r="I48" i="2"/>
  <c r="H29" i="2"/>
  <c r="H44" i="2"/>
  <c r="E14" i="2"/>
  <c r="F57" i="2"/>
  <c r="F24" i="2"/>
  <c r="E32" i="2"/>
  <c r="I59" i="2"/>
  <c r="G27" i="2"/>
  <c r="I30" i="2"/>
  <c r="F66" i="2"/>
  <c r="G70" i="2"/>
  <c r="F39" i="2"/>
  <c r="F45" i="2"/>
  <c r="G37" i="2"/>
  <c r="E5" i="2"/>
  <c r="F58" i="2"/>
  <c r="G69" i="2"/>
  <c r="F55" i="2"/>
  <c r="E64" i="2"/>
  <c r="D40" i="2"/>
  <c r="H68" i="2"/>
  <c r="D25" i="2"/>
  <c r="D35" i="2"/>
  <c r="F2" i="2"/>
  <c r="J31" i="2"/>
  <c r="H51" i="2"/>
  <c r="I3" i="2"/>
  <c r="H20" i="2"/>
  <c r="J39" i="2"/>
  <c r="D33" i="2"/>
  <c r="E19" i="2"/>
  <c r="J34" i="2"/>
  <c r="I47" i="2"/>
  <c r="J44" i="2"/>
  <c r="F56" i="2"/>
  <c r="D29" i="2"/>
  <c r="H22" i="2"/>
  <c r="I43" i="2"/>
  <c r="J49" i="2"/>
  <c r="J53" i="2"/>
  <c r="H49" i="2"/>
  <c r="J60" i="2"/>
  <c r="E65" i="2"/>
  <c r="F43" i="2"/>
  <c r="F65" i="2"/>
  <c r="J41" i="2"/>
  <c r="H3" i="2"/>
  <c r="I68" i="2"/>
  <c r="G56" i="2"/>
  <c r="I37" i="2"/>
  <c r="F54" i="2"/>
  <c r="H60" i="2"/>
  <c r="E24" i="2"/>
  <c r="J61" i="2"/>
  <c r="J8" i="2"/>
  <c r="D62" i="2"/>
  <c r="H23" i="2"/>
  <c r="F69" i="2"/>
  <c r="J6" i="2"/>
  <c r="H52" i="2"/>
  <c r="F63" i="2"/>
  <c r="H50" i="2"/>
  <c r="G60" i="2"/>
  <c r="D31" i="2"/>
  <c r="J3" i="2"/>
  <c r="I2" i="2"/>
  <c r="J18" i="2"/>
  <c r="F21" i="2"/>
  <c r="I33" i="2"/>
  <c r="I27" i="2"/>
  <c r="G68" i="2"/>
  <c r="D52" i="2"/>
  <c r="E55" i="2"/>
  <c r="H48" i="2"/>
  <c r="G20" i="2"/>
  <c r="J28" i="2"/>
  <c r="I66" i="2"/>
  <c r="I69" i="2"/>
  <c r="D39" i="2"/>
  <c r="D21" i="2"/>
  <c r="E31" i="2"/>
  <c r="F6" i="2"/>
  <c r="E49" i="2"/>
  <c r="F61" i="2"/>
  <c r="E9" i="2"/>
  <c r="E33" i="2"/>
  <c r="E25" i="2"/>
  <c r="F38" i="2"/>
  <c r="H9" i="2"/>
  <c r="G18" i="2"/>
  <c r="G19" i="2"/>
  <c r="E56" i="2"/>
  <c r="G61" i="2"/>
  <c r="J26" i="2"/>
  <c r="I26" i="2"/>
  <c r="F16" i="2"/>
  <c r="F7" i="2"/>
  <c r="J42" i="2"/>
  <c r="G52" i="2"/>
  <c r="J36" i="2"/>
  <c r="F48" i="2"/>
  <c r="E61" i="2"/>
  <c r="F11" i="2"/>
  <c r="E57" i="2"/>
  <c r="I20" i="2"/>
  <c r="E28" i="2"/>
  <c r="D66" i="2"/>
  <c r="E70" i="2"/>
  <c r="H35" i="2"/>
  <c r="F14" i="2"/>
  <c r="J14" i="2"/>
  <c r="J68" i="2"/>
  <c r="H36" i="2"/>
  <c r="I17" i="2"/>
  <c r="J21" i="2"/>
  <c r="G2" i="2"/>
  <c r="J25" i="2"/>
  <c r="G67" i="2"/>
  <c r="G63" i="2"/>
  <c r="E18" i="2"/>
  <c r="H70" i="2"/>
  <c r="D36" i="2"/>
  <c r="E40" i="2"/>
  <c r="I44" i="2"/>
  <c r="J4" i="2"/>
  <c r="G45" i="2"/>
  <c r="G42" i="2"/>
  <c r="H64" i="2"/>
  <c r="H27" i="2"/>
  <c r="H8" i="2"/>
  <c r="H67" i="2"/>
  <c r="I28" i="2"/>
  <c r="G39" i="2"/>
  <c r="G30" i="2"/>
  <c r="J65" i="2"/>
  <c r="J22" i="2"/>
  <c r="G58" i="2"/>
  <c r="E69" i="2"/>
  <c r="I14" i="2"/>
  <c r="D65" i="2"/>
  <c r="H55" i="2"/>
  <c r="D10" i="2"/>
  <c r="F30" i="2"/>
  <c r="D32" i="2"/>
  <c r="D14" i="2"/>
  <c r="F27" i="2"/>
  <c r="J70" i="2"/>
  <c r="E68" i="2"/>
  <c r="H61" i="2"/>
  <c r="G8" i="2"/>
  <c r="J57" i="2"/>
  <c r="D69" i="2"/>
  <c r="H16" i="2"/>
  <c r="F29" i="2"/>
  <c r="G33" i="2"/>
  <c r="D2" i="2"/>
  <c r="J64" i="2"/>
  <c r="J52" i="2"/>
  <c r="E41" i="2"/>
  <c r="E7" i="2"/>
  <c r="D47" i="2"/>
  <c r="G49" i="2"/>
  <c r="D43" i="2"/>
  <c r="E29" i="2"/>
  <c r="G7" i="2"/>
  <c r="J56" i="2"/>
  <c r="E60" i="2"/>
  <c r="E63" i="2"/>
  <c r="I38" i="2"/>
  <c r="D58" i="2"/>
  <c r="J38" i="2"/>
  <c r="J51" i="2"/>
  <c r="D44" i="2"/>
  <c r="H24" i="2"/>
  <c r="H18" i="2"/>
  <c r="D61" i="2"/>
  <c r="E42" i="2"/>
  <c r="D3" i="2"/>
  <c r="F67" i="2"/>
  <c r="D9" i="2"/>
  <c r="H11" i="2"/>
  <c r="J29" i="2"/>
  <c r="D15" i="2"/>
  <c r="D22" i="2"/>
  <c r="E23" i="2"/>
  <c r="E38" i="2"/>
  <c r="J2" i="2"/>
  <c r="F44" i="2"/>
  <c r="I5" i="2"/>
  <c r="H53" i="2"/>
  <c r="D64" i="2"/>
  <c r="G29" i="2"/>
  <c r="H28" i="2"/>
  <c r="I49" i="2"/>
  <c r="I63" i="2"/>
  <c r="H5" i="2"/>
  <c r="H4" i="2"/>
  <c r="G47" i="2"/>
  <c r="F28" i="2"/>
  <c r="I8" i="2"/>
  <c r="D23" i="2"/>
  <c r="F20" i="2"/>
  <c r="G23" i="2"/>
  <c r="G16" i="2"/>
  <c r="H41" i="2"/>
  <c r="J37" i="2"/>
  <c r="I61" i="2"/>
  <c r="D20" i="2"/>
  <c r="I34" i="2"/>
  <c r="E37" i="2"/>
  <c r="F49" i="2"/>
  <c r="E44" i="2"/>
  <c r="G25" i="2"/>
  <c r="G44" i="2"/>
  <c r="I62" i="2"/>
  <c r="E15" i="2"/>
  <c r="F12" i="2"/>
  <c r="G40" i="2"/>
  <c r="J54" i="2"/>
  <c r="I25" i="2"/>
  <c r="I9" i="2"/>
  <c r="G64" i="2"/>
  <c r="G14" i="2"/>
  <c r="F60" i="2"/>
  <c r="I31" i="2"/>
  <c r="I21" i="2"/>
  <c r="I58" i="2"/>
  <c r="F25" i="2"/>
  <c r="H63" i="2"/>
  <c r="F31" i="2"/>
  <c r="F34" i="2"/>
  <c r="E3" i="2"/>
  <c r="J47" i="2"/>
  <c r="I40" i="2"/>
  <c r="E22" i="2"/>
  <c r="D42" i="2"/>
  <c r="D27" i="2"/>
  <c r="I19" i="2"/>
  <c r="J67" i="2"/>
  <c r="E27" i="2"/>
  <c r="D13" i="2"/>
  <c r="F42" i="2"/>
  <c r="E11" i="2"/>
  <c r="E2" i="2"/>
  <c r="E12" i="2"/>
  <c r="D67" i="2"/>
  <c r="D8" i="2"/>
  <c r="E21" i="2"/>
  <c r="G21" i="2"/>
  <c r="E26" i="2"/>
  <c r="H17" i="2"/>
  <c r="G6" i="2"/>
  <c r="H69" i="2"/>
  <c r="G46" i="2"/>
  <c r="I65" i="2"/>
  <c r="F18" i="2"/>
  <c r="E35" i="2"/>
  <c r="D6" i="2"/>
  <c r="J11" i="2"/>
  <c r="F9" i="2"/>
  <c r="D37" i="2"/>
  <c r="F37" i="2"/>
  <c r="J32" i="2"/>
  <c r="G54" i="2"/>
  <c r="H26" i="2"/>
  <c r="J48" i="2"/>
  <c r="H2" i="2"/>
  <c r="H34" i="2"/>
  <c r="E8" i="2"/>
  <c r="E67" i="2"/>
  <c r="I51" i="2"/>
  <c r="F8" i="2"/>
  <c r="D41" i="2"/>
  <c r="F46" i="2"/>
  <c r="D54" i="2"/>
  <c r="F70" i="2"/>
  <c r="J23" i="2"/>
  <c r="G31" i="2"/>
  <c r="I64" i="2"/>
  <c r="D63" i="2"/>
  <c r="F22" i="2"/>
  <c r="F4" i="2"/>
  <c r="E62" i="2"/>
  <c r="J7" i="2"/>
  <c r="E58" i="2"/>
  <c r="D56" i="2"/>
  <c r="I32" i="2"/>
  <c r="E52" i="2"/>
  <c r="E39" i="2"/>
  <c r="I7" i="2"/>
  <c r="J33" i="2"/>
  <c r="J20" i="2"/>
  <c r="D28" i="2"/>
  <c r="E46" i="2"/>
  <c r="E50" i="2"/>
  <c r="G51" i="2"/>
  <c r="H42" i="2"/>
  <c r="F3" i="2"/>
  <c r="J50" i="2"/>
  <c r="F19" i="2"/>
  <c r="G38" i="2"/>
  <c r="G28" i="2"/>
  <c r="H38" i="2"/>
  <c r="J12" i="2"/>
  <c r="H62" i="2"/>
  <c r="H32" i="2"/>
  <c r="I29" i="2"/>
</calcChain>
</file>

<file path=xl/comments1.xml><?xml version="1.0" encoding="utf-8"?>
<comments xmlns="http://schemas.openxmlformats.org/spreadsheetml/2006/main">
  <authors>
    <author>dora ramirez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dora ramirez:</t>
        </r>
        <r>
          <rPr>
            <sz val="9"/>
            <color indexed="81"/>
            <rFont val="Tahoma"/>
            <family val="2"/>
          </rPr>
          <t xml:space="preserve">
Nombre del ente público que corresponda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dora ramirez:</t>
        </r>
        <r>
          <rPr>
            <sz val="9"/>
            <color indexed="81"/>
            <rFont val="Tahoma"/>
            <family val="2"/>
          </rPr>
          <t xml:space="preserve">
 Fecha del 1 de Enero al periodo que se este informando.</t>
        </r>
      </text>
    </comment>
  </commentList>
</comments>
</file>

<file path=xl/comments2.xml><?xml version="1.0" encoding="utf-8"?>
<comments xmlns="http://schemas.openxmlformats.org/spreadsheetml/2006/main">
  <authors>
    <author>dora ramirez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dora ramirez:</t>
        </r>
        <r>
          <rPr>
            <sz val="9"/>
            <color indexed="81"/>
            <rFont val="Tahoma"/>
            <family val="2"/>
          </rPr>
          <t xml:space="preserve">
Nombre del ente publico que corresponda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dora ramirez:</t>
        </r>
        <r>
          <rPr>
            <sz val="9"/>
            <color indexed="81"/>
            <rFont val="Tahoma"/>
            <family val="2"/>
          </rPr>
          <t xml:space="preserve">
Del 1 de enero al cierre del periodo a revisar </t>
        </r>
      </text>
    </comment>
  </commentList>
</comments>
</file>

<file path=xl/sharedStrings.xml><?xml version="1.0" encoding="utf-8"?>
<sst xmlns="http://schemas.openxmlformats.org/spreadsheetml/2006/main" count="829" uniqueCount="466">
  <si>
    <t>GOBIERNO DEL ESTADO DE SONORA</t>
  </si>
  <si>
    <t>Rubro de Ingresos</t>
  </si>
  <si>
    <t>CRI</t>
  </si>
  <si>
    <t>Ingreso</t>
  </si>
  <si>
    <t>Estimado</t>
  </si>
  <si>
    <t>Ampliaciones y 
Reducciones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</si>
  <si>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</si>
  <si>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</si>
  <si>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</si>
  <si>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</si>
  <si>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</si>
  <si>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</si>
  <si>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</si>
  <si>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</si>
  <si>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</si>
  <si>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</si>
  <si>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</si>
  <si>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</si>
  <si>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</si>
  <si>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</si>
  <si>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</si>
  <si>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</si>
  <si>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</si>
  <si>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</si>
  <si>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Derivados de Financiamientos</t>
  </si>
  <si>
    <t>Total</t>
  </si>
  <si>
    <t>Ingresos del Gobierno</t>
  </si>
  <si>
    <t>Recursos Fiscales</t>
  </si>
  <si>
    <t>Recursos Federales</t>
  </si>
  <si>
    <t>Recursos Estatales</t>
  </si>
  <si>
    <t>Ingresos Derivados de Financiamiento</t>
  </si>
  <si>
    <t>Financiamientos internos</t>
  </si>
  <si>
    <t>Estado Analítico de Ingresos por Fuente de Financiamiento</t>
  </si>
  <si>
    <t>Ingresos de Organismos y Empresas</t>
  </si>
  <si>
    <t>Cuotas y aportaciones de Seguridad Social</t>
  </si>
  <si>
    <t>Ingresos por Ventas de Bienes y Servicios</t>
  </si>
  <si>
    <t>Financiamiento Interno</t>
  </si>
  <si>
    <t>(6=5-1)</t>
  </si>
  <si>
    <t>Otros Recursos</t>
  </si>
  <si>
    <t>Ingresos Propios</t>
  </si>
  <si>
    <t>Rubro CRI</t>
  </si>
  <si>
    <t>Tipo CRI</t>
  </si>
  <si>
    <t>Fuente de Financiamiento</t>
  </si>
  <si>
    <t>0</t>
  </si>
  <si>
    <t>1</t>
  </si>
  <si>
    <t>2</t>
  </si>
  <si>
    <t/>
  </si>
  <si>
    <t>Resultado</t>
  </si>
  <si>
    <t>3</t>
  </si>
  <si>
    <t>5</t>
  </si>
  <si>
    <t>7</t>
  </si>
  <si>
    <t>8</t>
  </si>
  <si>
    <t>9</t>
  </si>
  <si>
    <t>4</t>
  </si>
  <si>
    <t>6</t>
  </si>
  <si>
    <t>P</t>
  </si>
  <si>
    <t>O</t>
  </si>
  <si>
    <t>#</t>
  </si>
  <si>
    <t>Resultado total</t>
  </si>
  <si>
    <t xml:space="preserve">
Ingresos 
Estimado Anual</t>
  </si>
  <si>
    <t xml:space="preserve">
Ampliaciones y Reducciones</t>
  </si>
  <si>
    <t xml:space="preserve">
Ingresos Modificado</t>
  </si>
  <si>
    <t xml:space="preserve">
Ingresos Devengado</t>
  </si>
  <si>
    <t xml:space="preserve">
Ingresos Recaudado</t>
  </si>
  <si>
    <t xml:space="preserve">
% de Avance de
la Recaudación</t>
  </si>
  <si>
    <t xml:space="preserve">
Ingresos Excedentes</t>
  </si>
  <si>
    <t>Recursos Propios</t>
  </si>
  <si>
    <t>13/05/2017</t>
  </si>
  <si>
    <t>1..3</t>
  </si>
  <si>
    <t>2017</t>
  </si>
  <si>
    <r>
      <t xml:space="preserve">Ingresos excedentes </t>
    </r>
    <r>
      <rPr>
        <b/>
        <vertAlign val="superscript"/>
        <sz val="8"/>
        <color theme="1"/>
        <rFont val="Arial Narrow"/>
        <family val="2"/>
      </rPr>
      <t>1</t>
    </r>
  </si>
  <si>
    <r>
      <rPr>
        <vertAlign val="superscript"/>
        <sz val="8"/>
        <color theme="1"/>
        <rFont val="Arial Narrow"/>
        <family val="2"/>
      </rPr>
      <t>1</t>
    </r>
    <r>
      <rPr>
        <sz val="8"/>
        <rFont val="Arial Narrow"/>
        <family val="2"/>
      </rPr>
      <t xml:space="preserve"> Los ingresos excedentes se presentan para efectos de cumplimiento de la Ley General de Contabilidad Gubernamental y el importe reflejado debe ser siempre mayor a cero.</t>
    </r>
  </si>
  <si>
    <t>Estado Analítico de Ingresos por Rubro</t>
  </si>
  <si>
    <t>Cuotas y Aportaciones de Seguridad Social</t>
  </si>
  <si>
    <t>SECRETARÍA DE HACIENDA</t>
  </si>
  <si>
    <t>COMPARATIVO DE INGRESOS DE ENERO A MARZO 2017</t>
  </si>
  <si>
    <t>RUBRO</t>
  </si>
  <si>
    <t>PRESUPUESTO</t>
  </si>
  <si>
    <t>RECAUDADO</t>
  </si>
  <si>
    <t>POR ALCANZAR</t>
  </si>
  <si>
    <t>% AVANCE</t>
  </si>
  <si>
    <t>IMPUESTOS</t>
  </si>
  <si>
    <t>DERECHOS</t>
  </si>
  <si>
    <t>PRODUCTOS</t>
  </si>
  <si>
    <t>APROVECHAMIENTOS</t>
  </si>
  <si>
    <t>TOTAL INGRESOS FISCALES ESTATALES</t>
  </si>
  <si>
    <t>INGRESOS POR VENTA DE BIENES Y SERVICIOS</t>
  </si>
  <si>
    <t>PARTICIPACIONES Y APORTACIONES FEDERALES</t>
  </si>
  <si>
    <t>TRANSFERENCIAS, ASIGNACIONES, SUBSIDIOS Y OTRAS AYUDAS</t>
  </si>
  <si>
    <t>INGRESOS DERIVADOS DE FINANCIMIENTOS</t>
  </si>
  <si>
    <t xml:space="preserve">TOTAL  INGRESOS  </t>
  </si>
  <si>
    <t>Impuesto Estatal Sobre los Ingresos Derivados por la Obtención de Premios.</t>
  </si>
  <si>
    <t>Impuesto Sobre Traslación de Dominio de Bienes Muebles.</t>
  </si>
  <si>
    <t>Impuestos General al Comercio, Industria y Prestación de Servicios.</t>
  </si>
  <si>
    <t>Impuesto Estatal por La Prestación de Servicios de Juegos con Apuestas y Concursos</t>
  </si>
  <si>
    <t xml:space="preserve">Impuesto por la Prestación de Servicios de Hospedaje </t>
  </si>
  <si>
    <t>Impuesto Sobre Remuneraciones al Trabajo Personal.</t>
  </si>
  <si>
    <t>Accesorios</t>
  </si>
  <si>
    <t>Recargos</t>
  </si>
  <si>
    <t>Multas</t>
  </si>
  <si>
    <t>Gastos de ejecución</t>
  </si>
  <si>
    <t>Impuesto para el Sostenimiento de la Universidades de Sonora.</t>
  </si>
  <si>
    <t>Contribuciones para el Consejo Estatal de Concertación para la Obra Pública</t>
  </si>
  <si>
    <t xml:space="preserve">Contribución  para  el  Fortalecimiento  de  la Infraestructura Educativa </t>
  </si>
  <si>
    <t xml:space="preserve">Contribución  para  el  Fortalecimiento  y Sostenimiento para la Cruz Roja  </t>
  </si>
  <si>
    <t>Impuestos no comprendidos en las fracciones de la Ley de Ingresos causados en ejercicios fiscales anteriores pendientes de liquidación o pago</t>
  </si>
  <si>
    <t>Derechos por el uso, goce, aprovechamiento o explotación de bienes del dominio público.</t>
  </si>
  <si>
    <t>Concesiones de Bienes Inmuebles.</t>
  </si>
  <si>
    <t>Arrendamiento de Bienes Inmuebles.</t>
  </si>
  <si>
    <t>Derechos por Prestación de Servicios</t>
  </si>
  <si>
    <t>Por servicios de expedición y revalidación de licencias para la venta de bebidas con contenido alcohólico.</t>
  </si>
  <si>
    <t>Por expedición de licencias para la venta de bebidas con contenido alcohólico</t>
  </si>
  <si>
    <t>Por revalidación de licencias para la venta de bebidas con contenido alcohólico</t>
  </si>
  <si>
    <t>Por otros servicios de la Dirección General de Alcoholes</t>
  </si>
  <si>
    <t>Canje de licencias de alcoholes</t>
  </si>
  <si>
    <t>Por servicios de ganadería.</t>
  </si>
  <si>
    <t>Por producción ganadera</t>
  </si>
  <si>
    <t>Por producción apícola</t>
  </si>
  <si>
    <t>Por clasificación de carnes</t>
  </si>
  <si>
    <t>Por acreditación de expendio de carnes clasificadas</t>
  </si>
  <si>
    <t>Por servicio de expedición e inscripción de títulos y autorización para ejercer cualquier profesión o especialidad.</t>
  </si>
  <si>
    <t>Por expedición de títulos profesionales en el Estado</t>
  </si>
  <si>
    <t>Por inscripción de títulos profesionales expedidos por otros Estados.</t>
  </si>
  <si>
    <t>Por autorización para ejercer cualquier profesión o especialidad y prórrogas que se otorguen</t>
  </si>
  <si>
    <t>Por servicios de certificaciones, constancias y autorizaciones</t>
  </si>
  <si>
    <t>Por servicios de expedición, reposición y revalidación anual de cédula para acreditar la inscripción en el Registro Único de Personas acreditadas.</t>
  </si>
  <si>
    <t>Por servicios de constancias de Archivo, Anuencias y Certificaciones</t>
  </si>
  <si>
    <t>Por servicios de reproducción de documentos de conformidad con la Ley de Acceso a la Información Pública.</t>
  </si>
  <si>
    <t>Por servicios prestados por la Dirección General de Notarias del Estado</t>
  </si>
  <si>
    <t>Por servicios de documentación y archivo</t>
  </si>
  <si>
    <t>Por servicios de publicación y suscripciones en el Boletín Oficial</t>
  </si>
  <si>
    <t>Por servicios de publicación</t>
  </si>
  <si>
    <t>Por suscripciones  y venta unitaria de Boletines Oficiales</t>
  </si>
  <si>
    <t>Por copias,  certificaciones y otros servicios</t>
  </si>
  <si>
    <t>Por servicios de expedición de placas de vehículos, revalidaciones, licencias para conducir y permisos.</t>
  </si>
  <si>
    <t xml:space="preserve">Por expedición de placas de circulación </t>
  </si>
  <si>
    <t>Por revalidación de placas de circulación</t>
  </si>
  <si>
    <t>Por expedición de licencias de conducir</t>
  </si>
  <si>
    <t>Otros servicios vehiculares</t>
  </si>
  <si>
    <t>Por Expedición de Tarjeta de Circulacion</t>
  </si>
  <si>
    <t>Verificacion de Pedimento de Importacion y/o Factura</t>
  </si>
  <si>
    <t>Verificacion de Serie</t>
  </si>
  <si>
    <t>Por servicios en materia de autotransporte y otros</t>
  </si>
  <si>
    <t>Por expedición o adjudicación de concesiones</t>
  </si>
  <si>
    <t>Por revisión anual de concesión</t>
  </si>
  <si>
    <t>Por expedición de permisos</t>
  </si>
  <si>
    <t>Por otros servicios en materia de autotransporte</t>
  </si>
  <si>
    <t>Por servicios del Registro Público de la Propiedad y del Comercio</t>
  </si>
  <si>
    <t>Servicios ordinarios</t>
  </si>
  <si>
    <t>Servicios urgentes</t>
  </si>
  <si>
    <t>Por servicios del Registro Civil</t>
  </si>
  <si>
    <t>Por servicios prestados por el Instituto Catastral y Registral, Secretaría de Infraestructura y Desarrollo Urbano, Comisión de Ecología y Desarrollo Sustentable, Secretaría de Salud Pública y Secretaría de Educación y Cultura</t>
  </si>
  <si>
    <t>Por servicios catastrales</t>
  </si>
  <si>
    <t>Por servicios prestados por la Secretaría de Infraestructura y Desarrollo Urbano</t>
  </si>
  <si>
    <t>Por servicios prestados por la Comisión de Ecología y Desarrollo Sustentable</t>
  </si>
  <si>
    <t xml:space="preserve">Por servicios prestados por la Secretaría de Salud </t>
  </si>
  <si>
    <t>Por servicios prestados por la Secretaría de Educación y Cultura</t>
  </si>
  <si>
    <t>Por servicios prestados por el Secretario Ejecutivo de Seguridad Pública</t>
  </si>
  <si>
    <t>Por servicio prestados por la Secretaria de la Contraloría General.</t>
  </si>
  <si>
    <t>Por servicios prestados por la Unidad Estatal de Protección Civil</t>
  </si>
  <si>
    <t>Por servicios prestados por la Procuraduria General de Justicia del Estado</t>
  </si>
  <si>
    <t>Otros Servicios</t>
  </si>
  <si>
    <t>Derechos no comprendidos en las fracciones de la Ley de Ingresos causados en ejercicios fiscales anteriores pendientes de liquidación o pago.</t>
  </si>
  <si>
    <t>Productos de tipo corriente</t>
  </si>
  <si>
    <t>Derivados del Uso y Aprovechamiento de bienes no sujetos a régimen de dominio público.</t>
  </si>
  <si>
    <t>Enajenación de bienes muebles</t>
  </si>
  <si>
    <t>Arrendamiento de bienes inmuebles</t>
  </si>
  <si>
    <t>Utilidades, Dividendos e Intereses</t>
  </si>
  <si>
    <t>Otros productos de tipo corriente</t>
  </si>
  <si>
    <t>Productos de Capital</t>
  </si>
  <si>
    <t>Enajenación de bienes inmuebles no sujetos a régimen de dominio público</t>
  </si>
  <si>
    <t>Enajenación de bienes muebles  sujetos a inventarios</t>
  </si>
  <si>
    <t>Venta de acciones y valores</t>
  </si>
  <si>
    <t>Productos no comprendidos en las fracciones de la Ley de Ingresos causados en ejercicios fiscales anteriores pendientes de liquidación o pago</t>
  </si>
  <si>
    <t>Aprovechamientos de tipo corriente</t>
  </si>
  <si>
    <t>Incentivos derivados de la colaboración fiscal</t>
  </si>
  <si>
    <t>Actos de fiscalización sobre impuestos federales</t>
  </si>
  <si>
    <t>Notificación y cobranza de impuestos federales</t>
  </si>
  <si>
    <t>Creditos Fiscales Transferidos</t>
  </si>
  <si>
    <t>Incentivos económicos por recaudación del Impuesto Sobre la Renta derivado de la enajenación de terrenos y construcciones.</t>
  </si>
  <si>
    <t>Por actos en materia de comercio exterior.</t>
  </si>
  <si>
    <t>Impuesto Sobre Automóviles Nuevos.</t>
  </si>
  <si>
    <t>Fondo de Compensación para el resarcimiento por disminución del Impuesto Sobre Automóviles Nuevos</t>
  </si>
  <si>
    <t>Fondo de compesacion del Regimen de Pequeños Contribuyentes</t>
  </si>
  <si>
    <t>Impuesto Especial sobre Producción y Servicios a la Gasolina y Diesel, Artículo 2° A, fracción II</t>
  </si>
  <si>
    <t>Por funciones operativas de administración de los derechos federales en materia de vida silvestre</t>
  </si>
  <si>
    <t>Por funciones operativas de administración de los derechos por pesca deportiva y recreativa</t>
  </si>
  <si>
    <t>Incentivos económicos por recaudación de derechos federales por la inspección y vigilancia de obras públicas</t>
  </si>
  <si>
    <t>Multas federales no fiscales</t>
  </si>
  <si>
    <t xml:space="preserve">Incentivo economico derivado de la Zona Federal Maritimo Terrestre </t>
  </si>
  <si>
    <t>Incentivos del regimen de incorporacion fiscal</t>
  </si>
  <si>
    <t>Multas administrativas estatales</t>
  </si>
  <si>
    <t>Multas federales</t>
  </si>
  <si>
    <t>Indemnizaciones</t>
  </si>
  <si>
    <t>Reintegros</t>
  </si>
  <si>
    <t>Reintegros de sueldos y prestaciones laborales</t>
  </si>
  <si>
    <t>Recargos federales</t>
  </si>
  <si>
    <t>Otros reintegros</t>
  </si>
  <si>
    <t>Herencias vacantes</t>
  </si>
  <si>
    <t>Aprovechamientos por Cooperaciones</t>
  </si>
  <si>
    <t>Ingresos provenientes de ejercicios fiscales anteriores</t>
  </si>
  <si>
    <t>Otros Aprovechamientos</t>
  </si>
  <si>
    <t>Donativos</t>
  </si>
  <si>
    <t>Venta de bases de licitación</t>
  </si>
  <si>
    <t>Ingresos por pólizas de seguros</t>
  </si>
  <si>
    <t>Holograma Only Sonora</t>
  </si>
  <si>
    <t>Cuotas condominales</t>
  </si>
  <si>
    <t>Ajuste por redondeo en bancos</t>
  </si>
  <si>
    <t>Aprovechamientos diversos</t>
  </si>
  <si>
    <t>Ingreso derivado del estimulo fiscal de ISR</t>
  </si>
  <si>
    <t>Aportaciones voluntarias</t>
  </si>
  <si>
    <t>Otros aprovechamientos</t>
  </si>
  <si>
    <t>Aprovechamientos de Capital</t>
  </si>
  <si>
    <t>Aprovechamientos no comprendidos en las fracciones de la Ley de Ingresos causados en ejercicios fiscales anteriores pendientes de liquidación o pago</t>
  </si>
  <si>
    <t>Mantenimiento y conservación del Programa Urbano Multifinalitario y del Catastro</t>
  </si>
  <si>
    <t>PARTICIPACIONES Y APORTACIONES</t>
  </si>
  <si>
    <t>Participaciones</t>
  </si>
  <si>
    <t>Fondo General de Participaciones</t>
  </si>
  <si>
    <t>Fondo de Fiscalización</t>
  </si>
  <si>
    <t>Fondo de Fomento Municipal</t>
  </si>
  <si>
    <t>Fondo de Impuestos Especiales sobre Producción y Servicios</t>
  </si>
  <si>
    <t>Participación ISR retenido a personal subsordinado  a dependencias de la entidad federativa, mpios. y organismos.</t>
  </si>
  <si>
    <t>Aportaciones</t>
  </si>
  <si>
    <t>Fondo de Aportaciones para la Nómina Educativa y Gasto Operativo</t>
  </si>
  <si>
    <t>Otro de Gasto Corriente</t>
  </si>
  <si>
    <t xml:space="preserve">Gasto de Operación </t>
  </si>
  <si>
    <t xml:space="preserve">Fondo de Compensacion </t>
  </si>
  <si>
    <t xml:space="preserve">Servicios Personales </t>
  </si>
  <si>
    <t>Fondo de Aportaciones para los Servicios de Salud</t>
  </si>
  <si>
    <t>Fondo de Aportaciones para la Infraestructura Social</t>
  </si>
  <si>
    <t>Fondo para la Infraestructura Social Municipal</t>
  </si>
  <si>
    <t>Fondo para la Infraestructura Social Estatal</t>
  </si>
  <si>
    <t>Fondo de Aportaciones para el Fortalecimiento de los Municipios y de las Demarcaciones Territoriales del Distrito Federal</t>
  </si>
  <si>
    <t>Fondo de Aportaciones Múltiples</t>
  </si>
  <si>
    <t>Asistencia Social .- DIF</t>
  </si>
  <si>
    <t>Infraestructura para Educación Básica</t>
  </si>
  <si>
    <t>Infraestructura para Educación Superior</t>
  </si>
  <si>
    <t>Infraestructura para Educación Media Superior</t>
  </si>
  <si>
    <t>Infraestructura para Educación Básica Potenciada</t>
  </si>
  <si>
    <t>Infraestructura para Educación Superior Potenciada</t>
  </si>
  <si>
    <t>Infraestructura para Educación Media Superior Potenciada</t>
  </si>
  <si>
    <t>Fondo de Aportaciones para la Seguridad Pública</t>
  </si>
  <si>
    <t>Fondo de Aportaciones para la Educación Tecnológica y de Adultos</t>
  </si>
  <si>
    <t>Educación Tecnológica</t>
  </si>
  <si>
    <t>Educación de Adultos</t>
  </si>
  <si>
    <t>Fondo de Aportaciones para el Fortalecimiento de las Entidades Federativas</t>
  </si>
  <si>
    <t>Convenios</t>
  </si>
  <si>
    <t>Convenios de Descentralización y Reasignación de Recursos</t>
  </si>
  <si>
    <t>Ingresos Propios de las Entidades Paraestatales</t>
  </si>
  <si>
    <t>Organismos Públicos  Descentralizados</t>
  </si>
  <si>
    <t>Financiera para el Desarrollo Economico de Sonora</t>
  </si>
  <si>
    <t>Instituto de Crédito Educativo del Estado de Sonora</t>
  </si>
  <si>
    <t>Instituto Tecnológico Superior de Puerto Peñasco</t>
  </si>
  <si>
    <t>Instituto Tecnológico Superior de Cananea</t>
  </si>
  <si>
    <t>Instituto Sonorense de Cultura</t>
  </si>
  <si>
    <t>Instituto Tecnológico Superior de Cajeme</t>
  </si>
  <si>
    <t>Biblioteca Publica Jesus Corral Ruiz</t>
  </si>
  <si>
    <t>Universidad Estatal de Sonora</t>
  </si>
  <si>
    <t>Comisión del deporte del Estado de Sonora</t>
  </si>
  <si>
    <t>Instituto de Capacitación para el Trabajo del Estado de Sonora</t>
  </si>
  <si>
    <t>Colegio de Bachilleres del Estado de Sonora</t>
  </si>
  <si>
    <t>Colegio de Estudios Científicos y Tecnológicos del Estado de Sonora</t>
  </si>
  <si>
    <t>Colegio de Educación Profesional Técnica del Estado de Sonora</t>
  </si>
  <si>
    <t>Instituto de Formación Docente del Estado de Sonora</t>
  </si>
  <si>
    <t>Instituto Sonorense de Infraestructura Educativa</t>
  </si>
  <si>
    <t>Universidad Tecnológica de Hermosillo</t>
  </si>
  <si>
    <t>Universidad Tecnológica de Nogales</t>
  </si>
  <si>
    <t>Universidad Tecnológica del Sur de Sonora</t>
  </si>
  <si>
    <t>Universidad de la Sierra</t>
  </si>
  <si>
    <t>Servicios de Salud de Sonora</t>
  </si>
  <si>
    <t>Sistema para el Desarrollo Integral de la Familia en el Estado de Sonora</t>
  </si>
  <si>
    <t>Comisión de Ecología y desarrollo Sustentable de Estado de Sonora</t>
  </si>
  <si>
    <t>Comisión Estatal de Agua</t>
  </si>
  <si>
    <t>Telefonía Rural de Sonora</t>
  </si>
  <si>
    <t>Instituto de Acuacultura del Estado de Sonora</t>
  </si>
  <si>
    <t>Radio Sonora</t>
  </si>
  <si>
    <t>Instituto Tecnológico de Sonora</t>
  </si>
  <si>
    <t>Instituto Sonorense de Educación para Adultos</t>
  </si>
  <si>
    <t>El Colegio de Sonora</t>
  </si>
  <si>
    <t>Instituto Superior de Seguridad Publica del Estado</t>
  </si>
  <si>
    <t>Junta de Caminos del Estado de Sonora</t>
  </si>
  <si>
    <t>Museo del Centro Cultural Musas</t>
  </si>
  <si>
    <t>Museo Sonora en la Revolucion</t>
  </si>
  <si>
    <t>Instituto Sonorese de la Juventud</t>
  </si>
  <si>
    <t>Universidad Tecnologica de Etchojoa</t>
  </si>
  <si>
    <t>Universidad Tecnologica de Puerto Peñasco</t>
  </si>
  <si>
    <t>Universidad Tecnologica de San Luis Rio Colorado</t>
  </si>
  <si>
    <t>Delfinario Sonora</t>
  </si>
  <si>
    <t>Fondo de Operación de Obras Sonora Si</t>
  </si>
  <si>
    <t>Centro de Evaluacion y Control de Confianza C-3</t>
  </si>
  <si>
    <t>Servicio de Administración y Enajenación de Entidades del Gobierno del Estado</t>
  </si>
  <si>
    <t>Sistema de Parques Industriales</t>
  </si>
  <si>
    <t>Procuraduria Ambiental  del Estado de Sonora</t>
  </si>
  <si>
    <t>Universidad Tecnológica de Guaymas</t>
  </si>
  <si>
    <t>Centro Regional de Formación Docente  e Investigación Educativa</t>
  </si>
  <si>
    <t>Servicios Educativos de Sonora</t>
  </si>
  <si>
    <t>Instituto de Becas y Estimulos Educativos del Estado de Sonora</t>
  </si>
  <si>
    <t xml:space="preserve">Financiera para el Desarrollo Economico de Sonora, (Fondo Nuevo Sonora)                                                                   </t>
  </si>
  <si>
    <t>Fondo Estatal para la Modernización del Transporte</t>
  </si>
  <si>
    <t>Servicios Educativos del Estado de Sonora</t>
  </si>
  <si>
    <t>Fideicomisos</t>
  </si>
  <si>
    <t>Progreso, Fideicomiso Promotor Urbano de Sonora.</t>
  </si>
  <si>
    <t>Operador de Proyectos Estratégicos del Estado (IMPULSOR).</t>
  </si>
  <si>
    <t>Fondo Revolvente del Estado de Sonora</t>
  </si>
  <si>
    <t>Televisora de Hermosillo, S. A. de C. V.</t>
  </si>
  <si>
    <t>Aportaciones de Seguridad Social</t>
  </si>
  <si>
    <t>Instituto de Seguridad y Servicios Sociales para los Trabajadores del Estado de Sonora</t>
  </si>
  <si>
    <t>Empresas de Participación Estatal Mayoritaria</t>
  </si>
  <si>
    <t>Transferencias al Resto del Sector Público</t>
  </si>
  <si>
    <t>Subsidios y Subvenciones</t>
  </si>
  <si>
    <t>Aportación Federal al Régimen Estatal de Protección Social en Salud</t>
  </si>
  <si>
    <t>Para alimentación de reos y dignificación penitenciaria. Socorro de Ley</t>
  </si>
  <si>
    <t>Programas Regionales</t>
  </si>
  <si>
    <t>Fondo para la Prevención de Desastres Naturales</t>
  </si>
  <si>
    <t>Subsidio para la Seguridad Pública Municipal</t>
  </si>
  <si>
    <t>Fondo para la Accesibilidad del Transporte Público para Personas con Discapacidad</t>
  </si>
  <si>
    <t>Proyectos de Desarrollo Regional</t>
  </si>
  <si>
    <t>Fideicomiso para Coadyuvar al Desarrollo de las Entidades Federativas y Municipios (FIDEM)</t>
  </si>
  <si>
    <t>Fondo de Desastres Naturales</t>
  </si>
  <si>
    <t xml:space="preserve">Fideicomiso para la Infraestructura en los Estados </t>
  </si>
  <si>
    <t>Subsidio a las Entidades Federativas para el Fortalecimiento de las Instituciones de Seguridad Publica para Mandos Policiales</t>
  </si>
  <si>
    <t>Contingencias Economicas Inversión</t>
  </si>
  <si>
    <t>Fondo de Infraestructura Deportiva (2015)</t>
  </si>
  <si>
    <t>Fondo de Inversión para Entidades Federativas</t>
  </si>
  <si>
    <t>Fondo de Apoyo en Infrastructura y productividad</t>
  </si>
  <si>
    <t>Fondo para el fortalecimiento de la Infraestructura Estatal y Municipal</t>
  </si>
  <si>
    <t>Fondo para Fronteras</t>
  </si>
  <si>
    <t>Fondo de Apoyo a Migrantes</t>
  </si>
  <si>
    <t>Fondo de apoyo Minero</t>
  </si>
  <si>
    <t>Fortalecimiento Financiero</t>
  </si>
  <si>
    <t>Fondo para el Desarrollo Regional Sustentable de Estado y Municipios Mineros</t>
  </si>
  <si>
    <t>Subsidio a los municipios y Demarcaciones Territoriales del Distrito Federal y en su caso a las entidades federativas que ejerzan de manera directa o coordinada la funcion de seguridad publica (FORTASEG)</t>
  </si>
  <si>
    <t xml:space="preserve">Ayudas sociales </t>
  </si>
  <si>
    <t xml:space="preserve">Pensiones y Jubilaciones </t>
  </si>
  <si>
    <t>Transferencias a Fideicomisos, Mandatos y Análogos</t>
  </si>
  <si>
    <t>Proveniente de la explotación del Puente Federal de Peaje de San Luís Río Colorado</t>
  </si>
  <si>
    <t>INGRESOS DERIVADOS DE FINANCIAMIENTO</t>
  </si>
  <si>
    <t>Endeudamiento Interno</t>
  </si>
  <si>
    <t>Diferimiento de Pagos</t>
  </si>
  <si>
    <t>Créditos a corto plazo</t>
  </si>
  <si>
    <t>Créditos a largo plazo</t>
  </si>
  <si>
    <t>Endeudamiento Externo</t>
  </si>
  <si>
    <t>2016</t>
  </si>
  <si>
    <t>1..12</t>
  </si>
  <si>
    <t>14/02/2017</t>
  </si>
  <si>
    <t>12</t>
  </si>
  <si>
    <t>Enero</t>
  </si>
  <si>
    <t>Diciembre</t>
  </si>
  <si>
    <t>4to Trimestre 2016</t>
  </si>
  <si>
    <t>Balance Presupuestario - LDF</t>
  </si>
  <si>
    <t>Del 1 de Enero al 31 de Marzo del 2017</t>
  </si>
  <si>
    <t>Concepto (c)</t>
  </si>
  <si>
    <t>Estimado/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</si>
  <si>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</si>
  <si>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</si>
  <si>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</si>
  <si>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</si>
  <si>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</si>
  <si>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</si>
  <si>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</si>
  <si>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</si>
  <si>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</si>
  <si>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</si>
  <si>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</si>
  <si>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</si>
  <si>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</si>
  <si>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</si>
  <si>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</si>
  <si>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</si>
  <si>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</si>
  <si>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</si>
  <si>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</si>
  <si>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</si>
  <si>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</si>
  <si>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</si>
  <si>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</si>
  <si>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</si>
  <si>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</si>
  <si>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</si>
  <si>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</si>
  <si>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-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</si>
  <si>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</si>
  <si>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</si>
  <si>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</si>
  <si>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</si>
  <si>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</si>
  <si>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</si>
  <si>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</si>
  <si>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</si>
  <si>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</si>
  <si>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</si>
  <si>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</t>
  </si>
  <si>
    <t>VII. Balance Presupuestario de Recursos Etiquetados (VII = A2 + A3.2 – B2 + C2)</t>
  </si>
  <si>
    <t>VIII. Balance Presupuestario de Recursos Etiquetados sin Financiamiento Neto (VIII = VII – A3.2)</t>
  </si>
  <si>
    <t>L.E.F. JOSE LUIS MUNDO RUIZ</t>
  </si>
  <si>
    <t>DIRECTOR GENERAL DE CONTABILIDAD GUBERNAMENTAL</t>
  </si>
  <si>
    <t>Estado Analítico de Ingresos Detallado - LDF</t>
  </si>
  <si>
    <t>(PESOS)</t>
  </si>
  <si>
    <t>Diferencia (e)</t>
  </si>
  <si>
    <t>Estimado (d)</t>
  </si>
  <si>
    <t>Ampliaciones/ (Reducciones)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</si>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</sst>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&quot;$&quot;#,##0.00"/>
    <numFmt numFmtId="165" formatCode="#,##0.00\ %"/>
    <numFmt numFmtId="166" formatCode="#,##0.00;\-\ #,##0.00"/>
    <numFmt numFmtId="167" formatCode="#,##0.00\ %;\-\ #,##0.00\ %"/>
    <numFmt numFmtId="168" formatCode="_(* #,##0.00_);_(* \(#,##0.00\);_(* &quot;-&quot;??_);_(@_)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vertAlign val="superscript"/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8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b/>
      <sz val="11"/>
      <name val="Arial Narrow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605">
    <xf numFmtId="0" fontId="0" fillId="0" borderId="0"/>
    <xf numFmtId="0" fontId="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26" fillId="38" borderId="0" applyNumberFormat="0" applyBorder="0" applyAlignment="0" applyProtection="0"/>
    <xf numFmtId="0" fontId="27" fillId="37" borderId="0" applyNumberFormat="0" applyBorder="0" applyAlignment="0" applyProtection="0"/>
    <xf numFmtId="0" fontId="25" fillId="37" borderId="26" applyNumberFormat="0" applyAlignment="0" applyProtection="0"/>
    <xf numFmtId="0" fontId="28" fillId="35" borderId="30" applyNumberFormat="0" applyAlignment="0" applyProtection="0"/>
    <xf numFmtId="0" fontId="21" fillId="35" borderId="26" applyNumberFormat="0" applyAlignment="0" applyProtection="0"/>
    <xf numFmtId="0" fontId="23" fillId="0" borderId="28" applyNumberFormat="0" applyFill="0" applyAlignment="0" applyProtection="0"/>
    <xf numFmtId="0" fontId="22" fillId="36" borderId="27" applyNumberFormat="0" applyAlignment="0" applyProtection="0"/>
    <xf numFmtId="0" fontId="37" fillId="0" borderId="0" applyNumberFormat="0" applyFill="0" applyBorder="0" applyAlignment="0" applyProtection="0"/>
    <xf numFmtId="0" fontId="19" fillId="39" borderId="29" applyNumberFormat="0" applyFont="0" applyAlignment="0" applyProtection="0"/>
    <xf numFmtId="0" fontId="38" fillId="0" borderId="0" applyNumberFormat="0" applyFill="0" applyBorder="0" applyAlignment="0" applyProtection="0"/>
    <xf numFmtId="0" fontId="41" fillId="0" borderId="36" applyNumberFormat="0" applyFill="0" applyAlignment="0" applyProtection="0"/>
    <xf numFmtId="0" fontId="1" fillId="0" borderId="0"/>
    <xf numFmtId="4" fontId="29" fillId="40" borderId="31" applyNumberFormat="0" applyProtection="0">
      <alignment vertical="center"/>
    </xf>
    <xf numFmtId="4" fontId="30" fillId="40" borderId="31" applyNumberFormat="0" applyProtection="0">
      <alignment vertical="center"/>
    </xf>
    <xf numFmtId="4" fontId="29" fillId="40" borderId="31" applyNumberFormat="0" applyProtection="0">
      <alignment horizontal="left" vertical="center" indent="1"/>
    </xf>
    <xf numFmtId="0" fontId="29" fillId="40" borderId="31" applyNumberFormat="0" applyProtection="0">
      <alignment horizontal="left" vertical="top" indent="1"/>
    </xf>
    <xf numFmtId="4" fontId="29" fillId="41" borderId="0" applyNumberFormat="0" applyProtection="0">
      <alignment horizontal="left" vertical="center" indent="1"/>
    </xf>
    <xf numFmtId="4" fontId="31" fillId="42" borderId="31" applyNumberFormat="0" applyProtection="0">
      <alignment horizontal="right" vertical="center"/>
    </xf>
    <xf numFmtId="4" fontId="31" fillId="43" borderId="31" applyNumberFormat="0" applyProtection="0">
      <alignment horizontal="right" vertical="center"/>
    </xf>
    <xf numFmtId="4" fontId="31" fillId="44" borderId="31" applyNumberFormat="0" applyProtection="0">
      <alignment horizontal="right" vertical="center"/>
    </xf>
    <xf numFmtId="4" fontId="31" fillId="45" borderId="31" applyNumberFormat="0" applyProtection="0">
      <alignment horizontal="right" vertical="center"/>
    </xf>
    <xf numFmtId="4" fontId="31" fillId="46" borderId="31" applyNumberFormat="0" applyProtection="0">
      <alignment horizontal="right" vertical="center"/>
    </xf>
    <xf numFmtId="4" fontId="31" fillId="47" borderId="31" applyNumberFormat="0" applyProtection="0">
      <alignment horizontal="right" vertical="center"/>
    </xf>
    <xf numFmtId="4" fontId="31" fillId="48" borderId="31" applyNumberFormat="0" applyProtection="0">
      <alignment horizontal="right" vertical="center"/>
    </xf>
    <xf numFmtId="4" fontId="31" fillId="49" borderId="31" applyNumberFormat="0" applyProtection="0">
      <alignment horizontal="right" vertical="center"/>
    </xf>
    <xf numFmtId="4" fontId="31" fillId="50" borderId="31" applyNumberFormat="0" applyProtection="0">
      <alignment horizontal="right" vertical="center"/>
    </xf>
    <xf numFmtId="4" fontId="29" fillId="51" borderId="32" applyNumberFormat="0" applyProtection="0">
      <alignment horizontal="left" vertical="center" indent="1"/>
    </xf>
    <xf numFmtId="4" fontId="31" fillId="52" borderId="0" applyNumberFormat="0" applyProtection="0">
      <alignment horizontal="left" vertical="center" indent="1"/>
    </xf>
    <xf numFmtId="4" fontId="32" fillId="53" borderId="0" applyNumberFormat="0" applyProtection="0">
      <alignment horizontal="left" vertical="center" indent="1"/>
    </xf>
    <xf numFmtId="4" fontId="31" fillId="41" borderId="31" applyNumberFormat="0" applyProtection="0">
      <alignment horizontal="right" vertical="center"/>
    </xf>
    <xf numFmtId="4" fontId="31" fillId="52" borderId="0" applyNumberFormat="0" applyProtection="0">
      <alignment horizontal="left" vertical="center" indent="1"/>
    </xf>
    <xf numFmtId="4" fontId="31" fillId="41" borderId="0" applyNumberFormat="0" applyProtection="0">
      <alignment horizontal="left" vertical="center" indent="1"/>
    </xf>
    <xf numFmtId="0" fontId="19" fillId="53" borderId="31" applyNumberFormat="0" applyProtection="0">
      <alignment horizontal="left" vertical="center" indent="1"/>
    </xf>
    <xf numFmtId="0" fontId="19" fillId="53" borderId="31" applyNumberFormat="0" applyProtection="0">
      <alignment horizontal="left" vertical="top" indent="1"/>
    </xf>
    <xf numFmtId="0" fontId="19" fillId="41" borderId="31" applyNumberFormat="0" applyProtection="0">
      <alignment horizontal="left" vertical="center" indent="1"/>
    </xf>
    <xf numFmtId="0" fontId="19" fillId="41" borderId="31" applyNumberFormat="0" applyProtection="0">
      <alignment horizontal="left" vertical="top" indent="1"/>
    </xf>
    <xf numFmtId="0" fontId="19" fillId="54" borderId="31" applyNumberFormat="0" applyProtection="0">
      <alignment horizontal="left" vertical="center" indent="1"/>
    </xf>
    <xf numFmtId="0" fontId="19" fillId="54" borderId="31" applyNumberFormat="0" applyProtection="0">
      <alignment horizontal="left" vertical="top" indent="1"/>
    </xf>
    <xf numFmtId="0" fontId="19" fillId="52" borderId="31" applyNumberFormat="0" applyProtection="0">
      <alignment horizontal="left" vertical="center" indent="1"/>
    </xf>
    <xf numFmtId="0" fontId="19" fillId="52" borderId="31" applyNumberFormat="0" applyProtection="0">
      <alignment horizontal="left" vertical="top" indent="1"/>
    </xf>
    <xf numFmtId="0" fontId="19" fillId="55" borderId="25" applyNumberFormat="0">
      <protection locked="0"/>
    </xf>
    <xf numFmtId="4" fontId="31" fillId="56" borderId="31" applyNumberFormat="0" applyProtection="0">
      <alignment vertical="center"/>
    </xf>
    <xf numFmtId="4" fontId="33" fillId="56" borderId="31" applyNumberFormat="0" applyProtection="0">
      <alignment vertical="center"/>
    </xf>
    <xf numFmtId="4" fontId="31" fillId="56" borderId="31" applyNumberFormat="0" applyProtection="0">
      <alignment horizontal="left" vertical="center" indent="1"/>
    </xf>
    <xf numFmtId="0" fontId="31" fillId="56" borderId="31" applyNumberFormat="0" applyProtection="0">
      <alignment horizontal="left" vertical="top" indent="1"/>
    </xf>
    <xf numFmtId="4" fontId="31" fillId="52" borderId="31" applyNumberFormat="0" applyProtection="0">
      <alignment horizontal="right" vertical="center"/>
    </xf>
    <xf numFmtId="4" fontId="33" fillId="52" borderId="31" applyNumberFormat="0" applyProtection="0">
      <alignment horizontal="right" vertical="center"/>
    </xf>
    <xf numFmtId="4" fontId="31" fillId="41" borderId="31" applyNumberFormat="0" applyProtection="0">
      <alignment horizontal="left" vertical="center" indent="1"/>
    </xf>
    <xf numFmtId="0" fontId="31" fillId="41" borderId="31" applyNumberFormat="0" applyProtection="0">
      <alignment horizontal="left" vertical="top" indent="1"/>
    </xf>
    <xf numFmtId="4" fontId="34" fillId="57" borderId="0" applyNumberFormat="0" applyProtection="0">
      <alignment horizontal="left" vertical="center" indent="1"/>
    </xf>
    <xf numFmtId="4" fontId="35" fillId="52" borderId="31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4" fontId="31" fillId="52" borderId="0" applyNumberFormat="0" applyProtection="0">
      <alignment horizontal="left" vertical="center" indent="1"/>
    </xf>
    <xf numFmtId="4" fontId="31" fillId="41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26" fillId="38" borderId="0" applyNumberFormat="0" applyBorder="0" applyAlignment="0" applyProtection="0"/>
    <xf numFmtId="0" fontId="27" fillId="37" borderId="0" applyNumberFormat="0" applyBorder="0" applyAlignment="0" applyProtection="0"/>
    <xf numFmtId="0" fontId="25" fillId="37" borderId="26" applyNumberFormat="0" applyAlignment="0" applyProtection="0"/>
    <xf numFmtId="0" fontId="28" fillId="35" borderId="30" applyNumberFormat="0" applyAlignment="0" applyProtection="0"/>
    <xf numFmtId="0" fontId="21" fillId="35" borderId="26" applyNumberFormat="0" applyAlignment="0" applyProtection="0"/>
    <xf numFmtId="0" fontId="23" fillId="0" borderId="28" applyNumberFormat="0" applyFill="0" applyAlignment="0" applyProtection="0"/>
    <xf numFmtId="0" fontId="22" fillId="36" borderId="27" applyNumberFormat="0" applyAlignment="0" applyProtection="0"/>
    <xf numFmtId="0" fontId="37" fillId="0" borderId="0" applyNumberFormat="0" applyFill="0" applyBorder="0" applyAlignment="0" applyProtection="0"/>
    <xf numFmtId="0" fontId="19" fillId="39" borderId="29" applyNumberFormat="0" applyFont="0" applyAlignment="0" applyProtection="0"/>
    <xf numFmtId="0" fontId="38" fillId="0" borderId="0" applyNumberFormat="0" applyFill="0" applyBorder="0" applyAlignment="0" applyProtection="0"/>
    <xf numFmtId="0" fontId="41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40">
    <xf numFmtId="0" fontId="0" fillId="0" borderId="0" xfId="0"/>
    <xf numFmtId="0" fontId="31" fillId="41" borderId="31" xfId="79" quotePrefix="1" applyNumberFormat="1">
      <alignment horizontal="left" vertical="center" indent="1"/>
    </xf>
    <xf numFmtId="4" fontId="31" fillId="52" borderId="31" xfId="77" applyNumberFormat="1">
      <alignment horizontal="right" vertical="center"/>
    </xf>
    <xf numFmtId="3" fontId="31" fillId="52" borderId="31" xfId="77" applyNumberFormat="1">
      <alignment horizontal="right" vertical="center"/>
    </xf>
    <xf numFmtId="165" fontId="31" fillId="52" borderId="31" xfId="77" applyNumberFormat="1">
      <alignment horizontal="right" vertical="center"/>
    </xf>
    <xf numFmtId="0" fontId="29" fillId="40" borderId="31" xfId="46" quotePrefix="1" applyNumberFormat="1">
      <alignment horizontal="left" vertical="center" indent="1"/>
    </xf>
    <xf numFmtId="4" fontId="29" fillId="40" borderId="31" xfId="44" applyNumberFormat="1">
      <alignment vertical="center"/>
    </xf>
    <xf numFmtId="3" fontId="29" fillId="40" borderId="31" xfId="44" applyNumberFormat="1">
      <alignment vertical="center"/>
    </xf>
    <xf numFmtId="165" fontId="29" fillId="40" borderId="31" xfId="44" applyNumberFormat="1">
      <alignment vertical="center"/>
    </xf>
    <xf numFmtId="166" fontId="31" fillId="52" borderId="31" xfId="77" applyNumberFormat="1">
      <alignment horizontal="right" vertical="center"/>
    </xf>
    <xf numFmtId="167" fontId="31" fillId="52" borderId="31" xfId="77" applyNumberFormat="1">
      <alignment horizontal="right" vertical="center"/>
    </xf>
    <xf numFmtId="166" fontId="29" fillId="40" borderId="31" xfId="44" applyNumberFormat="1">
      <alignment vertical="center"/>
    </xf>
    <xf numFmtId="167" fontId="29" fillId="40" borderId="31" xfId="44" applyNumberFormat="1">
      <alignment vertical="center"/>
    </xf>
    <xf numFmtId="0" fontId="29" fillId="41" borderId="0" xfId="48" quotePrefix="1" applyNumberFormat="1" applyAlignment="1">
      <alignment horizontal="left" vertical="center" indent="1"/>
    </xf>
    <xf numFmtId="0" fontId="18" fillId="53" borderId="31" xfId="65" quotePrefix="1" applyFont="1" applyAlignment="1">
      <alignment horizontal="left" vertical="top" wrapText="1" indent="1"/>
    </xf>
    <xf numFmtId="0" fontId="43" fillId="33" borderId="0" xfId="0" quotePrefix="1" applyFont="1" applyFill="1" applyAlignment="1"/>
    <xf numFmtId="0" fontId="43" fillId="33" borderId="0" xfId="0" applyFont="1" applyFill="1"/>
    <xf numFmtId="0" fontId="44" fillId="33" borderId="0" xfId="0" applyFont="1" applyFill="1"/>
    <xf numFmtId="0" fontId="45" fillId="33" borderId="0" xfId="0" applyFont="1" applyFill="1"/>
    <xf numFmtId="0" fontId="49" fillId="33" borderId="12" xfId="26" applyFont="1" applyFill="1" applyBorder="1" applyAlignment="1">
      <alignment horizontal="center"/>
    </xf>
    <xf numFmtId="0" fontId="49" fillId="33" borderId="21" xfId="26" applyFont="1" applyFill="1" applyBorder="1" applyAlignment="1">
      <alignment horizontal="center" vertical="center"/>
    </xf>
    <xf numFmtId="0" fontId="49" fillId="33" borderId="19" xfId="26" applyFont="1" applyFill="1" applyBorder="1" applyAlignment="1">
      <alignment horizontal="center" vertical="center" wrapText="1"/>
    </xf>
    <xf numFmtId="0" fontId="49" fillId="33" borderId="19" xfId="26" applyFont="1" applyFill="1" applyBorder="1" applyAlignment="1">
      <alignment horizontal="center" vertical="center"/>
    </xf>
    <xf numFmtId="0" fontId="49" fillId="33" borderId="14" xfId="26" applyFont="1" applyFill="1" applyBorder="1" applyAlignment="1">
      <alignment horizontal="center" vertical="center"/>
    </xf>
    <xf numFmtId="49" fontId="51" fillId="33" borderId="22" xfId="26" applyNumberFormat="1" applyFont="1" applyFill="1" applyBorder="1" applyAlignment="1">
      <alignment horizontal="center"/>
    </xf>
    <xf numFmtId="49" fontId="51" fillId="33" borderId="16" xfId="26" applyNumberFormat="1" applyFont="1" applyFill="1" applyBorder="1" applyAlignment="1">
      <alignment horizontal="center"/>
    </xf>
    <xf numFmtId="49" fontId="51" fillId="33" borderId="21" xfId="26" applyNumberFormat="1" applyFont="1" applyFill="1" applyBorder="1" applyAlignment="1">
      <alignment horizontal="center"/>
    </xf>
    <xf numFmtId="0" fontId="52" fillId="33" borderId="13" xfId="26" applyFont="1" applyFill="1" applyBorder="1"/>
    <xf numFmtId="0" fontId="52" fillId="33" borderId="0" xfId="26" applyFont="1" applyFill="1" applyBorder="1"/>
    <xf numFmtId="0" fontId="52" fillId="33" borderId="0" xfId="26" applyFont="1" applyFill="1" applyBorder="1" applyAlignment="1">
      <alignment horizontal="center"/>
    </xf>
    <xf numFmtId="164" fontId="52" fillId="33" borderId="23" xfId="26" applyNumberFormat="1" applyFont="1" applyFill="1" applyBorder="1"/>
    <xf numFmtId="164" fontId="52" fillId="33" borderId="14" xfId="26" applyNumberFormat="1" applyFont="1" applyFill="1" applyBorder="1"/>
    <xf numFmtId="0" fontId="53" fillId="33" borderId="13" xfId="84" applyFont="1" applyFill="1" applyBorder="1" applyAlignment="1">
      <alignment horizontal="left" vertical="center"/>
    </xf>
    <xf numFmtId="0" fontId="54" fillId="33" borderId="0" xfId="26" applyFont="1" applyFill="1" applyBorder="1" applyAlignment="1">
      <alignment horizontal="center" vertical="center"/>
    </xf>
    <xf numFmtId="0" fontId="52" fillId="33" borderId="0" xfId="26" applyFont="1" applyFill="1" applyBorder="1" applyAlignment="1">
      <alignment horizontal="center" vertical="center" wrapText="1"/>
    </xf>
    <xf numFmtId="0" fontId="52" fillId="33" borderId="0" xfId="26" applyFont="1" applyFill="1"/>
    <xf numFmtId="0" fontId="54" fillId="33" borderId="0" xfId="84" applyFont="1" applyFill="1" applyBorder="1"/>
    <xf numFmtId="0" fontId="53" fillId="33" borderId="13" xfId="84" applyFont="1" applyFill="1" applyBorder="1"/>
    <xf numFmtId="0" fontId="52" fillId="33" borderId="0" xfId="86" applyFont="1" applyFill="1" applyBorder="1" applyAlignment="1"/>
    <xf numFmtId="0" fontId="55" fillId="33" borderId="19" xfId="26" applyFont="1" applyFill="1" applyBorder="1" applyAlignment="1">
      <alignment horizontal="center"/>
    </xf>
    <xf numFmtId="164" fontId="53" fillId="33" borderId="21" xfId="26" applyNumberFormat="1" applyFont="1" applyFill="1" applyBorder="1"/>
    <xf numFmtId="0" fontId="54" fillId="33" borderId="0" xfId="0" applyFont="1" applyFill="1"/>
    <xf numFmtId="0" fontId="52" fillId="33" borderId="13" xfId="86" applyFont="1" applyFill="1" applyBorder="1" applyAlignment="1"/>
    <xf numFmtId="0" fontId="58" fillId="33" borderId="12" xfId="26" applyFont="1" applyFill="1" applyBorder="1" applyAlignment="1">
      <alignment horizontal="center"/>
    </xf>
    <xf numFmtId="0" fontId="58" fillId="33" borderId="21" xfId="26" applyFont="1" applyFill="1" applyBorder="1" applyAlignment="1">
      <alignment horizontal="center"/>
    </xf>
    <xf numFmtId="0" fontId="58" fillId="33" borderId="19" xfId="26" applyFont="1" applyFill="1" applyBorder="1" applyAlignment="1">
      <alignment horizontal="center" wrapText="1"/>
    </xf>
    <xf numFmtId="0" fontId="58" fillId="33" borderId="19" xfId="26" applyFont="1" applyFill="1" applyBorder="1" applyAlignment="1">
      <alignment horizontal="center"/>
    </xf>
    <xf numFmtId="0" fontId="58" fillId="33" borderId="14" xfId="26" applyFont="1" applyFill="1" applyBorder="1" applyAlignment="1">
      <alignment horizontal="center"/>
    </xf>
    <xf numFmtId="49" fontId="60" fillId="33" borderId="22" xfId="26" applyNumberFormat="1" applyFont="1" applyFill="1" applyBorder="1" applyAlignment="1">
      <alignment horizontal="center"/>
    </xf>
    <xf numFmtId="49" fontId="60" fillId="33" borderId="16" xfId="26" applyNumberFormat="1" applyFont="1" applyFill="1" applyBorder="1" applyAlignment="1">
      <alignment horizontal="center"/>
    </xf>
    <xf numFmtId="49" fontId="60" fillId="33" borderId="17" xfId="26" applyNumberFormat="1" applyFont="1" applyFill="1" applyBorder="1" applyAlignment="1">
      <alignment horizontal="center"/>
    </xf>
    <xf numFmtId="0" fontId="52" fillId="33" borderId="0" xfId="26" applyFont="1" applyFill="1" applyAlignment="1">
      <alignment horizontal="center"/>
    </xf>
    <xf numFmtId="4" fontId="62" fillId="0" borderId="0" xfId="0" applyNumberFormat="1" applyFont="1"/>
    <xf numFmtId="0" fontId="62" fillId="0" borderId="0" xfId="0" applyFont="1"/>
    <xf numFmtId="0" fontId="63" fillId="0" borderId="0" xfId="84" applyFont="1" applyAlignment="1">
      <alignment horizontal="left"/>
    </xf>
    <xf numFmtId="3" fontId="62" fillId="0" borderId="0" xfId="0" applyNumberFormat="1" applyFont="1"/>
    <xf numFmtId="0" fontId="63" fillId="0" borderId="21" xfId="0" applyFont="1" applyFill="1" applyBorder="1" applyAlignment="1">
      <alignment horizontal="centerContinuous"/>
    </xf>
    <xf numFmtId="1" fontId="64" fillId="0" borderId="21" xfId="0" applyNumberFormat="1" applyFont="1" applyBorder="1" applyAlignment="1">
      <alignment horizontal="center"/>
    </xf>
    <xf numFmtId="3" fontId="64" fillId="0" borderId="21" xfId="0" applyNumberFormat="1" applyFont="1" applyBorder="1" applyAlignment="1">
      <alignment horizontal="center"/>
    </xf>
    <xf numFmtId="0" fontId="60" fillId="0" borderId="23" xfId="0" applyFont="1" applyBorder="1" applyAlignment="1">
      <alignment vertical="center"/>
    </xf>
    <xf numFmtId="3" fontId="60" fillId="0" borderId="23" xfId="0" applyNumberFormat="1" applyFont="1" applyBorder="1" applyAlignment="1">
      <alignment vertical="center"/>
    </xf>
    <xf numFmtId="4" fontId="60" fillId="0" borderId="23" xfId="0" applyNumberFormat="1" applyFont="1" applyBorder="1" applyAlignment="1">
      <alignment vertical="center"/>
    </xf>
    <xf numFmtId="0" fontId="59" fillId="0" borderId="21" xfId="0" applyFont="1" applyBorder="1" applyAlignment="1">
      <alignment horizontal="center" vertical="center"/>
    </xf>
    <xf numFmtId="3" fontId="59" fillId="0" borderId="21" xfId="0" applyNumberFormat="1" applyFont="1" applyBorder="1" applyAlignment="1">
      <alignment vertical="center"/>
    </xf>
    <xf numFmtId="4" fontId="64" fillId="0" borderId="21" xfId="0" applyNumberFormat="1" applyFont="1" applyBorder="1" applyAlignment="1">
      <alignment vertical="center"/>
    </xf>
    <xf numFmtId="0" fontId="59" fillId="0" borderId="23" xfId="0" applyFont="1" applyBorder="1" applyAlignment="1">
      <alignment vertical="justify"/>
    </xf>
    <xf numFmtId="3" fontId="59" fillId="0" borderId="23" xfId="0" applyNumberFormat="1" applyFont="1" applyBorder="1" applyAlignment="1">
      <alignment vertical="center"/>
    </xf>
    <xf numFmtId="4" fontId="59" fillId="0" borderId="23" xfId="0" applyNumberFormat="1" applyFont="1" applyBorder="1" applyAlignment="1">
      <alignment vertical="center"/>
    </xf>
    <xf numFmtId="0" fontId="59" fillId="0" borderId="23" xfId="0" applyFont="1" applyBorder="1" applyAlignment="1">
      <alignment horizontal="left" vertical="center"/>
    </xf>
    <xf numFmtId="0" fontId="59" fillId="0" borderId="23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3" fontId="59" fillId="0" borderId="0" xfId="0" applyNumberFormat="1" applyFont="1" applyBorder="1" applyAlignment="1">
      <alignment vertical="center"/>
    </xf>
    <xf numFmtId="4" fontId="64" fillId="0" borderId="0" xfId="0" applyNumberFormat="1" applyFont="1" applyBorder="1" applyAlignment="1">
      <alignment vertical="center"/>
    </xf>
    <xf numFmtId="168" fontId="62" fillId="0" borderId="0" xfId="0" applyNumberFormat="1" applyFont="1"/>
    <xf numFmtId="3" fontId="44" fillId="0" borderId="0" xfId="0" applyNumberFormat="1" applyFont="1"/>
    <xf numFmtId="4" fontId="59" fillId="0" borderId="0" xfId="0" applyNumberFormat="1" applyFont="1" applyBorder="1" applyAlignment="1">
      <alignment vertical="center"/>
    </xf>
    <xf numFmtId="0" fontId="64" fillId="0" borderId="23" xfId="0" applyFont="1" applyBorder="1" applyAlignment="1">
      <alignment horizontal="center" vertical="top" wrapText="1"/>
    </xf>
    <xf numFmtId="3" fontId="64" fillId="0" borderId="23" xfId="0" applyNumberFormat="1" applyFont="1" applyBorder="1" applyAlignment="1">
      <alignment vertical="center"/>
    </xf>
    <xf numFmtId="4" fontId="64" fillId="0" borderId="23" xfId="0" applyNumberFormat="1" applyFont="1" applyBorder="1" applyAlignment="1">
      <alignment vertical="center"/>
    </xf>
    <xf numFmtId="0" fontId="62" fillId="0" borderId="23" xfId="0" applyFont="1" applyBorder="1" applyAlignment="1">
      <alignment vertical="top" wrapText="1"/>
    </xf>
    <xf numFmtId="3" fontId="62" fillId="0" borderId="23" xfId="0" applyNumberFormat="1" applyFont="1" applyBorder="1" applyAlignment="1">
      <alignment vertical="center"/>
    </xf>
    <xf numFmtId="3" fontId="62" fillId="0" borderId="23" xfId="0" applyNumberFormat="1" applyFont="1" applyFill="1" applyBorder="1" applyAlignment="1">
      <alignment vertical="center"/>
    </xf>
    <xf numFmtId="4" fontId="62" fillId="0" borderId="23" xfId="0" applyNumberFormat="1" applyFont="1" applyBorder="1" applyAlignment="1">
      <alignment vertical="center"/>
    </xf>
    <xf numFmtId="0" fontId="62" fillId="0" borderId="23" xfId="0" applyFont="1" applyBorder="1" applyAlignment="1">
      <alignment horizontal="justify" vertical="top" wrapText="1"/>
    </xf>
    <xf numFmtId="0" fontId="64" fillId="0" borderId="23" xfId="0" applyFont="1" applyBorder="1" applyAlignment="1">
      <alignment horizontal="justify" vertical="top" wrapText="1"/>
    </xf>
    <xf numFmtId="3" fontId="64" fillId="0" borderId="23" xfId="0" applyNumberFormat="1" applyFont="1" applyFill="1" applyBorder="1" applyAlignment="1">
      <alignment vertical="center"/>
    </xf>
    <xf numFmtId="0" fontId="64" fillId="0" borderId="22" xfId="0" applyFont="1" applyBorder="1" applyAlignment="1">
      <alignment horizontal="justify" vertical="top" wrapText="1"/>
    </xf>
    <xf numFmtId="3" fontId="62" fillId="0" borderId="22" xfId="0" applyNumberFormat="1" applyFont="1" applyBorder="1" applyAlignment="1">
      <alignment vertical="center"/>
    </xf>
    <xf numFmtId="3" fontId="64" fillId="0" borderId="22" xfId="0" applyNumberFormat="1" applyFont="1" applyFill="1" applyBorder="1" applyAlignment="1">
      <alignment vertical="center"/>
    </xf>
    <xf numFmtId="4" fontId="62" fillId="0" borderId="22" xfId="0" applyNumberFormat="1" applyFont="1" applyBorder="1" applyAlignment="1">
      <alignment vertical="center"/>
    </xf>
    <xf numFmtId="0" fontId="62" fillId="0" borderId="0" xfId="0" applyFont="1" applyAlignment="1">
      <alignment vertical="top" wrapText="1"/>
    </xf>
    <xf numFmtId="4" fontId="62" fillId="0" borderId="0" xfId="0" applyNumberFormat="1" applyFont="1" applyFill="1"/>
    <xf numFmtId="0" fontId="62" fillId="0" borderId="23" xfId="0" applyFont="1" applyBorder="1" applyAlignment="1">
      <alignment horizontal="justify" vertical="top"/>
    </xf>
    <xf numFmtId="3" fontId="62" fillId="0" borderId="23" xfId="0" applyNumberFormat="1" applyFont="1" applyBorder="1"/>
    <xf numFmtId="4" fontId="62" fillId="0" borderId="23" xfId="0" applyNumberFormat="1" applyFont="1" applyBorder="1" applyAlignment="1">
      <alignment horizontal="right" vertical="center"/>
    </xf>
    <xf numFmtId="4" fontId="64" fillId="0" borderId="23" xfId="0" applyNumberFormat="1" applyFont="1" applyBorder="1"/>
    <xf numFmtId="0" fontId="62" fillId="0" borderId="23" xfId="0" applyFont="1" applyBorder="1" applyAlignment="1">
      <alignment horizontal="justify" wrapText="1"/>
    </xf>
    <xf numFmtId="3" fontId="62" fillId="0" borderId="22" xfId="0" applyNumberFormat="1" applyFont="1" applyFill="1" applyBorder="1" applyAlignment="1">
      <alignment vertical="center"/>
    </xf>
    <xf numFmtId="3" fontId="62" fillId="0" borderId="0" xfId="0" applyNumberFormat="1" applyFont="1" applyBorder="1"/>
    <xf numFmtId="4" fontId="62" fillId="0" borderId="0" xfId="0" applyNumberFormat="1" applyFont="1" applyFill="1" applyBorder="1"/>
    <xf numFmtId="0" fontId="64" fillId="0" borderId="0" xfId="0" applyFont="1" applyBorder="1" applyAlignment="1">
      <alignment horizontal="justify" vertical="top" wrapText="1"/>
    </xf>
    <xf numFmtId="3" fontId="62" fillId="0" borderId="0" xfId="0" applyNumberFormat="1" applyFont="1" applyFill="1" applyBorder="1"/>
    <xf numFmtId="0" fontId="62" fillId="0" borderId="23" xfId="0" applyFont="1" applyBorder="1" applyAlignment="1">
      <alignment horizontal="left" vertical="center"/>
    </xf>
    <xf numFmtId="0" fontId="62" fillId="0" borderId="23" xfId="0" applyFont="1" applyBorder="1" applyAlignment="1">
      <alignment horizontal="justify" vertical="center"/>
    </xf>
    <xf numFmtId="3" fontId="64" fillId="0" borderId="23" xfId="0" applyNumberFormat="1" applyFont="1" applyBorder="1"/>
    <xf numFmtId="0" fontId="64" fillId="0" borderId="22" xfId="0" applyFont="1" applyBorder="1" applyAlignment="1">
      <alignment vertical="top" wrapText="1"/>
    </xf>
    <xf numFmtId="0" fontId="62" fillId="0" borderId="0" xfId="0" applyFont="1" applyAlignment="1">
      <alignment horizontal="justify" vertical="top" wrapText="1"/>
    </xf>
    <xf numFmtId="3" fontId="62" fillId="0" borderId="0" xfId="0" applyNumberFormat="1" applyFont="1" applyFill="1"/>
    <xf numFmtId="3" fontId="64" fillId="0" borderId="22" xfId="0" applyNumberFormat="1" applyFont="1" applyBorder="1" applyAlignment="1">
      <alignment vertical="center"/>
    </xf>
    <xf numFmtId="3" fontId="64" fillId="0" borderId="0" xfId="0" applyNumberFormat="1" applyFont="1" applyBorder="1" applyAlignment="1">
      <alignment vertical="top" wrapText="1"/>
    </xf>
    <xf numFmtId="1" fontId="64" fillId="0" borderId="21" xfId="0" applyNumberFormat="1" applyFont="1" applyFill="1" applyBorder="1" applyAlignment="1">
      <alignment horizontal="center"/>
    </xf>
    <xf numFmtId="0" fontId="62" fillId="0" borderId="22" xfId="0" applyFont="1" applyBorder="1" applyAlignment="1">
      <alignment horizontal="justify" vertical="top" wrapText="1"/>
    </xf>
    <xf numFmtId="0" fontId="64" fillId="0" borderId="0" xfId="0" applyFont="1" applyBorder="1" applyAlignment="1">
      <alignment vertical="top" wrapText="1"/>
    </xf>
    <xf numFmtId="0" fontId="62" fillId="0" borderId="22" xfId="0" applyFont="1" applyBorder="1" applyAlignment="1">
      <alignment horizontal="justify" vertical="top"/>
    </xf>
    <xf numFmtId="0" fontId="65" fillId="0" borderId="23" xfId="0" applyFont="1" applyBorder="1" applyAlignment="1">
      <alignment wrapText="1"/>
    </xf>
    <xf numFmtId="0" fontId="60" fillId="33" borderId="37" xfId="0" applyFont="1" applyFill="1" applyBorder="1" applyAlignment="1">
      <alignment vertical="center" wrapText="1"/>
    </xf>
    <xf numFmtId="3" fontId="62" fillId="0" borderId="23" xfId="0" applyNumberFormat="1" applyFont="1" applyBorder="1" applyAlignment="1"/>
    <xf numFmtId="4" fontId="62" fillId="0" borderId="23" xfId="0" applyNumberFormat="1" applyFont="1" applyBorder="1"/>
    <xf numFmtId="0" fontId="60" fillId="0" borderId="38" xfId="604" applyFont="1" applyFill="1" applyBorder="1" applyAlignment="1">
      <alignment vertical="center" wrapText="1"/>
    </xf>
    <xf numFmtId="0" fontId="59" fillId="0" borderId="23" xfId="604" applyFont="1" applyFill="1" applyBorder="1" applyAlignment="1">
      <alignment vertical="center" wrapText="1"/>
    </xf>
    <xf numFmtId="0" fontId="64" fillId="0" borderId="22" xfId="0" applyFont="1" applyBorder="1" applyAlignment="1">
      <alignment horizontal="justify" vertical="top"/>
    </xf>
    <xf numFmtId="3" fontId="64" fillId="0" borderId="22" xfId="0" applyNumberFormat="1" applyFont="1" applyBorder="1" applyAlignment="1"/>
    <xf numFmtId="3" fontId="64" fillId="0" borderId="22" xfId="0" applyNumberFormat="1" applyFont="1" applyFill="1" applyBorder="1" applyAlignment="1"/>
    <xf numFmtId="4" fontId="64" fillId="0" borderId="22" xfId="0" applyNumberFormat="1" applyFont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0" fontId="44" fillId="0" borderId="0" xfId="0" applyFont="1"/>
    <xf numFmtId="0" fontId="62" fillId="0" borderId="11" xfId="0" applyFont="1" applyBorder="1" applyAlignment="1">
      <alignment horizontal="justify" vertical="top"/>
    </xf>
    <xf numFmtId="3" fontId="62" fillId="0" borderId="11" xfId="0" applyNumberFormat="1" applyFont="1" applyFill="1" applyBorder="1" applyAlignment="1">
      <alignment vertical="center"/>
    </xf>
    <xf numFmtId="3" fontId="62" fillId="0" borderId="11" xfId="0" applyNumberFormat="1" applyFont="1" applyBorder="1" applyAlignment="1">
      <alignment vertical="center"/>
    </xf>
    <xf numFmtId="4" fontId="62" fillId="0" borderId="11" xfId="0" applyNumberFormat="1" applyFont="1" applyBorder="1" applyAlignment="1">
      <alignment vertical="center"/>
    </xf>
    <xf numFmtId="0" fontId="62" fillId="0" borderId="0" xfId="0" applyFont="1" applyBorder="1" applyAlignment="1">
      <alignment horizontal="justify" vertical="top"/>
    </xf>
    <xf numFmtId="3" fontId="62" fillId="0" borderId="0" xfId="0" applyNumberFormat="1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0" fontId="62" fillId="0" borderId="16" xfId="0" applyFont="1" applyBorder="1" applyAlignment="1">
      <alignment horizontal="justify" vertical="top"/>
    </xf>
    <xf numFmtId="3" fontId="62" fillId="0" borderId="16" xfId="0" applyNumberFormat="1" applyFont="1" applyFill="1" applyBorder="1" applyAlignment="1">
      <alignment vertical="center"/>
    </xf>
    <xf numFmtId="3" fontId="62" fillId="0" borderId="16" xfId="0" applyNumberFormat="1" applyFont="1" applyBorder="1" applyAlignment="1">
      <alignment vertical="center"/>
    </xf>
    <xf numFmtId="4" fontId="62" fillId="0" borderId="16" xfId="0" applyNumberFormat="1" applyFont="1" applyBorder="1" applyAlignment="1">
      <alignment vertical="center"/>
    </xf>
    <xf numFmtId="0" fontId="19" fillId="0" borderId="0" xfId="86" quotePrefix="1" applyFill="1" applyAlignment="1"/>
    <xf numFmtId="43" fontId="1" fillId="0" borderId="0" xfId="603" applyFill="1"/>
    <xf numFmtId="0" fontId="19" fillId="0" borderId="0" xfId="86" applyFill="1"/>
    <xf numFmtId="14" fontId="19" fillId="0" borderId="0" xfId="86" applyNumberFormat="1" applyFill="1"/>
    <xf numFmtId="0" fontId="70" fillId="0" borderId="16" xfId="86" applyFont="1" applyFill="1" applyBorder="1" applyAlignment="1">
      <alignment vertical="center"/>
    </xf>
    <xf numFmtId="43" fontId="70" fillId="0" borderId="16" xfId="603" applyFont="1" applyFill="1" applyBorder="1" applyAlignment="1">
      <alignment vertical="center"/>
    </xf>
    <xf numFmtId="43" fontId="69" fillId="0" borderId="14" xfId="603" applyFont="1" applyFill="1" applyBorder="1" applyAlignment="1">
      <alignment horizontal="center" vertical="center" wrapText="1"/>
    </xf>
    <xf numFmtId="43" fontId="69" fillId="0" borderId="17" xfId="603" applyFont="1" applyFill="1" applyBorder="1" applyAlignment="1">
      <alignment horizontal="center" vertical="center" wrapText="1"/>
    </xf>
    <xf numFmtId="41" fontId="70" fillId="0" borderId="13" xfId="86" applyNumberFormat="1" applyFont="1" applyFill="1" applyBorder="1" applyAlignment="1">
      <alignment vertical="center" wrapText="1"/>
    </xf>
    <xf numFmtId="41" fontId="70" fillId="0" borderId="14" xfId="86" applyNumberFormat="1" applyFont="1" applyFill="1" applyBorder="1" applyAlignment="1">
      <alignment vertical="center" wrapText="1"/>
    </xf>
    <xf numFmtId="41" fontId="70" fillId="0" borderId="14" xfId="603" applyNumberFormat="1" applyFont="1" applyFill="1" applyBorder="1" applyAlignment="1">
      <alignment vertical="center" wrapText="1"/>
    </xf>
    <xf numFmtId="41" fontId="69" fillId="0" borderId="14" xfId="86" applyNumberFormat="1" applyFont="1" applyFill="1" applyBorder="1" applyAlignment="1">
      <alignment vertical="center" wrapText="1"/>
    </xf>
    <xf numFmtId="43" fontId="19" fillId="0" borderId="0" xfId="86" applyNumberFormat="1" applyFill="1"/>
    <xf numFmtId="41" fontId="70" fillId="0" borderId="14" xfId="86" applyNumberFormat="1" applyFont="1" applyFill="1" applyBorder="1" applyAlignment="1">
      <alignment horizontal="left" vertical="center"/>
    </xf>
    <xf numFmtId="41" fontId="70" fillId="0" borderId="23" xfId="603" applyNumberFormat="1" applyFont="1" applyFill="1" applyBorder="1" applyAlignment="1">
      <alignment vertical="center" wrapText="1"/>
    </xf>
    <xf numFmtId="41" fontId="69" fillId="0" borderId="13" xfId="86" applyNumberFormat="1" applyFont="1" applyFill="1" applyBorder="1" applyAlignment="1">
      <alignment vertical="center" wrapText="1"/>
    </xf>
    <xf numFmtId="41" fontId="71" fillId="0" borderId="14" xfId="86" applyNumberFormat="1" applyFont="1" applyFill="1" applyBorder="1" applyAlignment="1">
      <alignment vertical="center" wrapText="1"/>
    </xf>
    <xf numFmtId="43" fontId="19" fillId="0" borderId="0" xfId="86" applyNumberFormat="1" applyFill="1" applyBorder="1"/>
    <xf numFmtId="41" fontId="73" fillId="0" borderId="14" xfId="603" applyNumberFormat="1" applyFont="1" applyBorder="1" applyAlignment="1">
      <alignment horizontal="right" vertical="center" wrapText="1"/>
    </xf>
    <xf numFmtId="4" fontId="69" fillId="0" borderId="0" xfId="0" applyNumberFormat="1" applyFont="1" applyFill="1" applyBorder="1" applyAlignment="1">
      <alignment horizontal="right" vertical="center" wrapText="1"/>
    </xf>
    <xf numFmtId="41" fontId="70" fillId="0" borderId="15" xfId="86" applyNumberFormat="1" applyFont="1" applyFill="1" applyBorder="1" applyAlignment="1">
      <alignment vertical="center" wrapText="1"/>
    </xf>
    <xf numFmtId="41" fontId="69" fillId="0" borderId="17" xfId="86" applyNumberFormat="1" applyFont="1" applyFill="1" applyBorder="1" applyAlignment="1">
      <alignment vertical="center" wrapText="1"/>
    </xf>
    <xf numFmtId="41" fontId="70" fillId="0" borderId="17" xfId="603" applyNumberFormat="1" applyFont="1" applyFill="1" applyBorder="1" applyAlignment="1">
      <alignment vertical="center" wrapText="1"/>
    </xf>
    <xf numFmtId="41" fontId="69" fillId="0" borderId="20" xfId="603" applyNumberFormat="1" applyFont="1" applyFill="1" applyBorder="1" applyAlignment="1">
      <alignment horizontal="center" vertical="center" wrapText="1"/>
    </xf>
    <xf numFmtId="41" fontId="73" fillId="0" borderId="23" xfId="603" applyNumberFormat="1" applyFont="1" applyBorder="1" applyAlignment="1">
      <alignment horizontal="right" vertical="center" wrapText="1"/>
    </xf>
    <xf numFmtId="41" fontId="69" fillId="0" borderId="14" xfId="603" applyNumberFormat="1" applyFont="1" applyFill="1" applyBorder="1" applyAlignment="1">
      <alignment vertical="center" wrapText="1"/>
    </xf>
    <xf numFmtId="41" fontId="69" fillId="0" borderId="15" xfId="86" applyNumberFormat="1" applyFont="1" applyFill="1" applyBorder="1" applyAlignment="1">
      <alignment vertical="center" wrapText="1"/>
    </xf>
    <xf numFmtId="41" fontId="69" fillId="0" borderId="17" xfId="603" applyNumberFormat="1" applyFont="1" applyFill="1" applyBorder="1" applyAlignment="1">
      <alignment vertical="center" wrapText="1"/>
    </xf>
    <xf numFmtId="41" fontId="74" fillId="0" borderId="0" xfId="86" applyNumberFormat="1" applyFont="1" applyFill="1"/>
    <xf numFmtId="41" fontId="74" fillId="0" borderId="0" xfId="603" applyNumberFormat="1" applyFont="1" applyFill="1"/>
    <xf numFmtId="41" fontId="69" fillId="0" borderId="12" xfId="603" applyNumberFormat="1" applyFont="1" applyFill="1" applyBorder="1" applyAlignment="1">
      <alignment horizontal="center" vertical="center"/>
    </xf>
    <xf numFmtId="41" fontId="69" fillId="0" borderId="17" xfId="603" applyNumberFormat="1" applyFont="1" applyFill="1" applyBorder="1" applyAlignment="1">
      <alignment horizontal="center" vertical="center"/>
    </xf>
    <xf numFmtId="41" fontId="70" fillId="0" borderId="13" xfId="86" applyNumberFormat="1" applyFont="1" applyFill="1" applyBorder="1" applyAlignment="1">
      <alignment vertical="center"/>
    </xf>
    <xf numFmtId="41" fontId="70" fillId="0" borderId="14" xfId="86" applyNumberFormat="1" applyFont="1" applyFill="1" applyBorder="1" applyAlignment="1">
      <alignment vertical="center"/>
    </xf>
    <xf numFmtId="41" fontId="70" fillId="0" borderId="14" xfId="603" applyNumberFormat="1" applyFont="1" applyFill="1" applyBorder="1" applyAlignment="1">
      <alignment vertical="center"/>
    </xf>
    <xf numFmtId="41" fontId="69" fillId="0" borderId="13" xfId="86" applyNumberFormat="1" applyFont="1" applyFill="1" applyBorder="1" applyAlignment="1">
      <alignment vertical="center"/>
    </xf>
    <xf numFmtId="41" fontId="69" fillId="0" borderId="14" xfId="86" applyNumberFormat="1" applyFont="1" applyFill="1" applyBorder="1" applyAlignment="1">
      <alignment vertical="center"/>
    </xf>
    <xf numFmtId="41" fontId="70" fillId="0" borderId="23" xfId="603" applyNumberFormat="1" applyFont="1" applyFill="1" applyBorder="1" applyAlignment="1">
      <alignment vertical="center"/>
    </xf>
    <xf numFmtId="41" fontId="73" fillId="0" borderId="23" xfId="603" applyNumberFormat="1" applyFont="1" applyBorder="1" applyAlignment="1">
      <alignment horizontal="right" vertical="center"/>
    </xf>
    <xf numFmtId="41" fontId="73" fillId="0" borderId="14" xfId="603" applyNumberFormat="1" applyFont="1" applyBorder="1" applyAlignment="1">
      <alignment horizontal="right" vertical="center"/>
    </xf>
    <xf numFmtId="41" fontId="69" fillId="0" borderId="23" xfId="603" applyNumberFormat="1" applyFont="1" applyFill="1" applyBorder="1" applyAlignment="1">
      <alignment vertical="center"/>
    </xf>
    <xf numFmtId="41" fontId="69" fillId="0" borderId="17" xfId="86" applyNumberFormat="1" applyFont="1" applyFill="1" applyBorder="1" applyAlignment="1">
      <alignment vertical="center"/>
    </xf>
    <xf numFmtId="41" fontId="69" fillId="0" borderId="22" xfId="603" applyNumberFormat="1" applyFont="1" applyFill="1" applyBorder="1" applyAlignment="1">
      <alignment vertical="center"/>
    </xf>
    <xf numFmtId="41" fontId="70" fillId="0" borderId="23" xfId="603" applyNumberFormat="1" applyFont="1" applyFill="1" applyBorder="1" applyAlignment="1"/>
    <xf numFmtId="41" fontId="70" fillId="0" borderId="14" xfId="86" applyNumberFormat="1" applyFont="1" applyFill="1" applyBorder="1" applyAlignment="1">
      <alignment horizontal="left" vertical="center" wrapText="1"/>
    </xf>
    <xf numFmtId="41" fontId="70" fillId="0" borderId="23" xfId="603" applyNumberFormat="1" applyFont="1" applyFill="1" applyBorder="1" applyAlignment="1">
      <alignment vertical="top"/>
    </xf>
    <xf numFmtId="41" fontId="70" fillId="0" borderId="14" xfId="86" applyNumberFormat="1" applyFont="1" applyFill="1" applyBorder="1" applyAlignment="1">
      <alignment horizontal="left" vertical="center" indent="1"/>
    </xf>
    <xf numFmtId="41" fontId="69" fillId="0" borderId="14" xfId="603" applyNumberFormat="1" applyFont="1" applyFill="1" applyBorder="1" applyAlignment="1">
      <alignment vertical="center"/>
    </xf>
    <xf numFmtId="41" fontId="69" fillId="0" borderId="14" xfId="86" applyNumberFormat="1" applyFont="1" applyFill="1" applyBorder="1" applyAlignment="1">
      <alignment horizontal="left" vertical="center" indent="1"/>
    </xf>
    <xf numFmtId="41" fontId="70" fillId="0" borderId="17" xfId="86" applyNumberFormat="1" applyFont="1" applyFill="1" applyBorder="1" applyAlignment="1">
      <alignment horizontal="left" vertical="center" indent="1"/>
    </xf>
    <xf numFmtId="0" fontId="75" fillId="0" borderId="0" xfId="86" applyFont="1" applyAlignment="1">
      <alignment vertical="center" wrapText="1"/>
    </xf>
    <xf numFmtId="41" fontId="73" fillId="0" borderId="14" xfId="603" applyNumberFormat="1" applyFont="1" applyBorder="1" applyAlignment="1">
      <alignment vertical="center"/>
    </xf>
    <xf numFmtId="0" fontId="74" fillId="0" borderId="0" xfId="86" applyFont="1" applyFill="1"/>
    <xf numFmtId="43" fontId="74" fillId="0" borderId="0" xfId="603" applyFont="1" applyFill="1"/>
    <xf numFmtId="0" fontId="76" fillId="0" borderId="0" xfId="86" applyFont="1" applyFill="1"/>
    <xf numFmtId="0" fontId="61" fillId="0" borderId="0" xfId="0" applyFont="1" applyAlignment="1"/>
    <xf numFmtId="0" fontId="52" fillId="0" borderId="0" xfId="86" quotePrefix="1" applyFont="1" applyFill="1" applyAlignment="1"/>
    <xf numFmtId="0" fontId="52" fillId="0" borderId="0" xfId="86" applyFont="1" applyFill="1"/>
    <xf numFmtId="0" fontId="54" fillId="0" borderId="14" xfId="86" applyFont="1" applyFill="1" applyBorder="1" applyAlignment="1">
      <alignment horizontal="center" vertical="center"/>
    </xf>
    <xf numFmtId="0" fontId="54" fillId="0" borderId="14" xfId="86" applyFont="1" applyFill="1" applyBorder="1" applyAlignment="1">
      <alignment horizontal="right" vertical="center"/>
    </xf>
    <xf numFmtId="0" fontId="54" fillId="0" borderId="13" xfId="86" applyFont="1" applyFill="1" applyBorder="1" applyAlignment="1">
      <alignment horizontal="left" vertical="center"/>
    </xf>
    <xf numFmtId="3" fontId="54" fillId="0" borderId="14" xfId="86" applyNumberFormat="1" applyFont="1" applyFill="1" applyBorder="1" applyAlignment="1">
      <alignment horizontal="right" vertical="center"/>
    </xf>
    <xf numFmtId="3" fontId="80" fillId="0" borderId="14" xfId="86" applyNumberFormat="1" applyFont="1" applyBorder="1" applyAlignment="1">
      <alignment horizontal="right" vertical="center"/>
    </xf>
    <xf numFmtId="0" fontId="80" fillId="0" borderId="14" xfId="86" applyFont="1" applyBorder="1" applyAlignment="1">
      <alignment horizontal="right" vertical="center"/>
    </xf>
    <xf numFmtId="3" fontId="80" fillId="0" borderId="23" xfId="86" applyNumberFormat="1" applyFont="1" applyBorder="1" applyAlignment="1">
      <alignment horizontal="right" vertical="center"/>
    </xf>
    <xf numFmtId="3" fontId="52" fillId="0" borderId="23" xfId="86" applyNumberFormat="1" applyFont="1" applyFill="1" applyBorder="1"/>
    <xf numFmtId="0" fontId="52" fillId="0" borderId="23" xfId="86" applyFont="1" applyBorder="1" applyAlignment="1">
      <alignment vertical="center"/>
    </xf>
    <xf numFmtId="3" fontId="54" fillId="0" borderId="23" xfId="86" applyNumberFormat="1" applyFont="1" applyFill="1" applyBorder="1" applyAlignment="1">
      <alignment vertical="center"/>
    </xf>
    <xf numFmtId="0" fontId="54" fillId="0" borderId="0" xfId="86" applyFont="1" applyFill="1" applyAlignment="1">
      <alignment horizontal="left" vertical="center"/>
    </xf>
    <xf numFmtId="0" fontId="54" fillId="0" borderId="14" xfId="86" applyFont="1" applyFill="1" applyBorder="1" applyAlignment="1">
      <alignment horizontal="left" vertical="center"/>
    </xf>
    <xf numFmtId="0" fontId="80" fillId="0" borderId="14" xfId="86" applyFont="1" applyBorder="1" applyAlignment="1">
      <alignment horizontal="center" vertical="center"/>
    </xf>
    <xf numFmtId="3" fontId="54" fillId="0" borderId="14" xfId="86" applyNumberFormat="1" applyFont="1" applyBorder="1" applyAlignment="1">
      <alignment horizontal="center" vertical="center"/>
    </xf>
    <xf numFmtId="0" fontId="54" fillId="0" borderId="14" xfId="86" applyFont="1" applyFill="1" applyBorder="1" applyAlignment="1">
      <alignment horizontal="left" vertical="center" wrapText="1"/>
    </xf>
    <xf numFmtId="3" fontId="54" fillId="0" borderId="14" xfId="86" applyNumberFormat="1" applyFont="1" applyFill="1" applyBorder="1" applyAlignment="1">
      <alignment horizontal="center" vertical="center"/>
    </xf>
    <xf numFmtId="3" fontId="53" fillId="0" borderId="14" xfId="86" applyNumberFormat="1" applyFont="1" applyFill="1" applyBorder="1" applyAlignment="1">
      <alignment horizontal="right" vertical="center"/>
    </xf>
    <xf numFmtId="3" fontId="54" fillId="0" borderId="23" xfId="86" applyNumberFormat="1" applyFont="1" applyFill="1" applyBorder="1" applyAlignment="1">
      <alignment horizontal="right" vertical="center"/>
    </xf>
    <xf numFmtId="3" fontId="54" fillId="0" borderId="14" xfId="86" applyNumberFormat="1" applyFont="1" applyFill="1" applyBorder="1" applyAlignment="1">
      <alignment horizontal="justify" vertical="center"/>
    </xf>
    <xf numFmtId="3" fontId="53" fillId="0" borderId="23" xfId="86" applyNumberFormat="1" applyFont="1" applyFill="1" applyBorder="1" applyAlignment="1">
      <alignment horizontal="right" vertical="center"/>
    </xf>
    <xf numFmtId="0" fontId="54" fillId="0" borderId="15" xfId="86" applyFont="1" applyFill="1" applyBorder="1" applyAlignment="1">
      <alignment horizontal="left" vertical="center"/>
    </xf>
    <xf numFmtId="0" fontId="54" fillId="0" borderId="17" xfId="86" applyFont="1" applyFill="1" applyBorder="1" applyAlignment="1">
      <alignment horizontal="center" vertical="center"/>
    </xf>
    <xf numFmtId="0" fontId="54" fillId="0" borderId="17" xfId="86" applyFont="1" applyFill="1" applyBorder="1" applyAlignment="1">
      <alignment horizontal="justify" vertical="center"/>
    </xf>
    <xf numFmtId="0" fontId="54" fillId="0" borderId="0" xfId="86" applyFont="1" applyFill="1"/>
    <xf numFmtId="4" fontId="52" fillId="0" borderId="0" xfId="86" applyNumberFormat="1" applyFont="1" applyFill="1"/>
    <xf numFmtId="4" fontId="44" fillId="0" borderId="0" xfId="0" applyNumberFormat="1" applyFont="1"/>
    <xf numFmtId="41" fontId="69" fillId="0" borderId="13" xfId="86" applyNumberFormat="1" applyFont="1" applyFill="1" applyBorder="1" applyAlignment="1">
      <alignment vertical="center"/>
    </xf>
    <xf numFmtId="41" fontId="69" fillId="0" borderId="15" xfId="86" applyNumberFormat="1" applyFont="1" applyFill="1" applyBorder="1" applyAlignment="1">
      <alignment vertical="center"/>
    </xf>
    <xf numFmtId="0" fontId="61" fillId="0" borderId="0" xfId="0" applyFont="1" applyAlignment="1">
      <alignment horizontal="center"/>
    </xf>
    <xf numFmtId="41" fontId="70" fillId="0" borderId="10" xfId="86" applyNumberFormat="1" applyFont="1" applyFill="1" applyBorder="1" applyAlignment="1">
      <alignment vertical="center"/>
    </xf>
    <xf numFmtId="41" fontId="70" fillId="0" borderId="12" xfId="86" applyNumberFormat="1" applyFont="1" applyFill="1" applyBorder="1" applyAlignment="1">
      <alignment vertical="center"/>
    </xf>
    <xf numFmtId="41" fontId="70" fillId="0" borderId="13" xfId="86" applyNumberFormat="1" applyFont="1" applyFill="1" applyBorder="1" applyAlignment="1">
      <alignment vertical="center"/>
    </xf>
    <xf numFmtId="41" fontId="73" fillId="0" borderId="23" xfId="603" applyNumberFormat="1" applyFont="1" applyBorder="1" applyAlignment="1">
      <alignment horizontal="right" vertical="center"/>
    </xf>
    <xf numFmtId="41" fontId="69" fillId="0" borderId="24" xfId="603" applyNumberFormat="1" applyFont="1" applyFill="1" applyBorder="1" applyAlignment="1">
      <alignment horizontal="center" vertical="center"/>
    </xf>
    <xf numFmtId="41" fontId="69" fillId="0" borderId="22" xfId="603" applyNumberFormat="1" applyFont="1" applyFill="1" applyBorder="1" applyAlignment="1">
      <alignment horizontal="center" vertical="center"/>
    </xf>
    <xf numFmtId="41" fontId="69" fillId="0" borderId="10" xfId="86" applyNumberFormat="1" applyFont="1" applyFill="1" applyBorder="1" applyAlignment="1">
      <alignment vertical="center"/>
    </xf>
    <xf numFmtId="41" fontId="69" fillId="0" borderId="12" xfId="86" applyNumberFormat="1" applyFont="1" applyFill="1" applyBorder="1" applyAlignment="1">
      <alignment vertical="center"/>
    </xf>
    <xf numFmtId="41" fontId="69" fillId="0" borderId="17" xfId="86" applyNumberFormat="1" applyFont="1" applyFill="1" applyBorder="1" applyAlignment="1">
      <alignment vertical="center"/>
    </xf>
    <xf numFmtId="41" fontId="69" fillId="0" borderId="24" xfId="603" applyNumberFormat="1" applyFont="1" applyFill="1" applyBorder="1" applyAlignment="1">
      <alignment horizontal="center" vertical="center" wrapText="1"/>
    </xf>
    <xf numFmtId="41" fontId="69" fillId="0" borderId="22" xfId="603" applyNumberFormat="1" applyFont="1" applyFill="1" applyBorder="1" applyAlignment="1">
      <alignment horizontal="center" vertical="center" wrapText="1"/>
    </xf>
    <xf numFmtId="41" fontId="70" fillId="0" borderId="13" xfId="86" applyNumberFormat="1" applyFont="1" applyFill="1" applyBorder="1" applyAlignment="1">
      <alignment vertical="center" wrapText="1"/>
    </xf>
    <xf numFmtId="41" fontId="70" fillId="0" borderId="19" xfId="86" applyNumberFormat="1" applyFont="1" applyFill="1" applyBorder="1" applyAlignment="1">
      <alignment vertical="center"/>
    </xf>
    <xf numFmtId="41" fontId="69" fillId="0" borderId="18" xfId="86" applyNumberFormat="1" applyFont="1" applyFill="1" applyBorder="1" applyAlignment="1">
      <alignment vertical="center"/>
    </xf>
    <xf numFmtId="41" fontId="69" fillId="0" borderId="20" xfId="86" applyNumberFormat="1" applyFont="1" applyFill="1" applyBorder="1" applyAlignment="1">
      <alignment vertical="center"/>
    </xf>
    <xf numFmtId="41" fontId="69" fillId="0" borderId="13" xfId="86" applyNumberFormat="1" applyFont="1" applyFill="1" applyBorder="1" applyAlignment="1">
      <alignment vertical="center" wrapText="1"/>
    </xf>
    <xf numFmtId="0" fontId="66" fillId="0" borderId="10" xfId="86" applyFont="1" applyFill="1" applyBorder="1" applyAlignment="1">
      <alignment horizontal="center" vertical="center"/>
    </xf>
    <xf numFmtId="0" fontId="66" fillId="0" borderId="11" xfId="86" applyFont="1" applyFill="1" applyBorder="1" applyAlignment="1">
      <alignment horizontal="center" vertical="center"/>
    </xf>
    <xf numFmtId="0" fontId="66" fillId="0" borderId="12" xfId="86" applyFont="1" applyFill="1" applyBorder="1" applyAlignment="1">
      <alignment horizontal="center" vertical="center"/>
    </xf>
    <xf numFmtId="0" fontId="67" fillId="0" borderId="13" xfId="86" applyFont="1" applyFill="1" applyBorder="1" applyAlignment="1">
      <alignment horizontal="center" vertical="center"/>
    </xf>
    <xf numFmtId="0" fontId="67" fillId="0" borderId="0" xfId="86" applyFont="1" applyFill="1" applyBorder="1" applyAlignment="1">
      <alignment horizontal="center" vertical="center"/>
    </xf>
    <xf numFmtId="0" fontId="67" fillId="0" borderId="14" xfId="86" applyFont="1" applyFill="1" applyBorder="1" applyAlignment="1">
      <alignment horizontal="center" vertical="center"/>
    </xf>
    <xf numFmtId="0" fontId="68" fillId="0" borderId="13" xfId="86" applyFont="1" applyFill="1" applyBorder="1" applyAlignment="1">
      <alignment horizontal="center" vertical="center"/>
    </xf>
    <xf numFmtId="0" fontId="68" fillId="0" borderId="0" xfId="86" applyFont="1" applyFill="1" applyBorder="1" applyAlignment="1">
      <alignment horizontal="center" vertical="center"/>
    </xf>
    <xf numFmtId="0" fontId="68" fillId="0" borderId="14" xfId="86" applyFont="1" applyFill="1" applyBorder="1" applyAlignment="1">
      <alignment horizontal="center" vertical="center"/>
    </xf>
    <xf numFmtId="0" fontId="69" fillId="0" borderId="15" xfId="86" applyFont="1" applyFill="1" applyBorder="1" applyAlignment="1">
      <alignment horizontal="center" vertical="center"/>
    </xf>
    <xf numFmtId="0" fontId="69" fillId="0" borderId="16" xfId="86" applyFont="1" applyFill="1" applyBorder="1" applyAlignment="1">
      <alignment horizontal="center" vertical="center"/>
    </xf>
    <xf numFmtId="0" fontId="69" fillId="0" borderId="17" xfId="86" applyFont="1" applyFill="1" applyBorder="1" applyAlignment="1">
      <alignment horizontal="center" vertical="center"/>
    </xf>
    <xf numFmtId="0" fontId="69" fillId="0" borderId="10" xfId="86" applyFont="1" applyFill="1" applyBorder="1" applyAlignment="1">
      <alignment vertical="center"/>
    </xf>
    <xf numFmtId="0" fontId="69" fillId="0" borderId="12" xfId="86" applyFont="1" applyFill="1" applyBorder="1" applyAlignment="1">
      <alignment vertical="center"/>
    </xf>
    <xf numFmtId="0" fontId="69" fillId="0" borderId="15" xfId="86" applyFont="1" applyFill="1" applyBorder="1" applyAlignment="1">
      <alignment vertical="center"/>
    </xf>
    <xf numFmtId="0" fontId="69" fillId="0" borderId="17" xfId="86" applyFont="1" applyFill="1" applyBorder="1" applyAlignment="1">
      <alignment vertical="center"/>
    </xf>
    <xf numFmtId="43" fontId="69" fillId="0" borderId="24" xfId="603" applyFont="1" applyFill="1" applyBorder="1" applyAlignment="1">
      <alignment horizontal="center" vertical="center" wrapText="1"/>
    </xf>
    <xf numFmtId="43" fontId="69" fillId="0" borderId="22" xfId="603" applyFont="1" applyFill="1" applyBorder="1" applyAlignment="1">
      <alignment horizontal="center" vertical="center" wrapText="1"/>
    </xf>
    <xf numFmtId="0" fontId="53" fillId="33" borderId="18" xfId="26" applyFont="1" applyFill="1" applyBorder="1" applyAlignment="1">
      <alignment horizontal="center"/>
    </xf>
    <xf numFmtId="0" fontId="53" fillId="33" borderId="19" xfId="26" applyFont="1" applyFill="1" applyBorder="1" applyAlignment="1">
      <alignment horizontal="center"/>
    </xf>
    <xf numFmtId="164" fontId="53" fillId="33" borderId="24" xfId="26" applyNumberFormat="1" applyFont="1" applyFill="1" applyBorder="1" applyAlignment="1">
      <alignment horizontal="center" vertical="center"/>
    </xf>
    <xf numFmtId="164" fontId="53" fillId="33" borderId="22" xfId="26" applyNumberFormat="1" applyFont="1" applyFill="1" applyBorder="1" applyAlignment="1">
      <alignment horizontal="center" vertical="center"/>
    </xf>
    <xf numFmtId="0" fontId="53" fillId="33" borderId="20" xfId="26" applyFont="1" applyFill="1" applyBorder="1" applyAlignment="1">
      <alignment horizontal="center"/>
    </xf>
    <xf numFmtId="0" fontId="52" fillId="33" borderId="0" xfId="26" applyFont="1" applyFill="1" applyAlignment="1">
      <alignment horizontal="left" wrapText="1"/>
    </xf>
    <xf numFmtId="0" fontId="46" fillId="33" borderId="10" xfId="26" applyFont="1" applyFill="1" applyBorder="1" applyAlignment="1">
      <alignment horizontal="center"/>
    </xf>
    <xf numFmtId="0" fontId="46" fillId="33" borderId="11" xfId="26" applyFont="1" applyFill="1" applyBorder="1" applyAlignment="1">
      <alignment horizontal="center"/>
    </xf>
    <xf numFmtId="0" fontId="46" fillId="33" borderId="12" xfId="26" applyFont="1" applyFill="1" applyBorder="1" applyAlignment="1">
      <alignment horizontal="center"/>
    </xf>
    <xf numFmtId="0" fontId="47" fillId="33" borderId="13" xfId="26" applyFont="1" applyFill="1" applyBorder="1" applyAlignment="1">
      <alignment horizontal="center"/>
    </xf>
    <xf numFmtId="0" fontId="47" fillId="33" borderId="0" xfId="26" applyFont="1" applyFill="1" applyBorder="1" applyAlignment="1">
      <alignment horizontal="center"/>
    </xf>
    <xf numFmtId="0" fontId="47" fillId="33" borderId="14" xfId="26" applyFont="1" applyFill="1" applyBorder="1" applyAlignment="1">
      <alignment horizontal="center"/>
    </xf>
    <xf numFmtId="0" fontId="48" fillId="33" borderId="13" xfId="26" applyFont="1" applyFill="1" applyBorder="1" applyAlignment="1">
      <alignment horizontal="center" vertical="center"/>
    </xf>
    <xf numFmtId="0" fontId="48" fillId="33" borderId="0" xfId="26" applyFont="1" applyFill="1" applyBorder="1" applyAlignment="1">
      <alignment horizontal="center" vertical="center"/>
    </xf>
    <xf numFmtId="0" fontId="48" fillId="33" borderId="14" xfId="26" applyFont="1" applyFill="1" applyBorder="1" applyAlignment="1">
      <alignment horizontal="center" vertical="center"/>
    </xf>
    <xf numFmtId="0" fontId="48" fillId="33" borderId="15" xfId="26" applyFont="1" applyFill="1" applyBorder="1" applyAlignment="1">
      <alignment horizontal="center" vertical="top"/>
    </xf>
    <xf numFmtId="0" fontId="48" fillId="33" borderId="16" xfId="26" applyFont="1" applyFill="1" applyBorder="1" applyAlignment="1">
      <alignment horizontal="center" vertical="top"/>
    </xf>
    <xf numFmtId="0" fontId="48" fillId="33" borderId="17" xfId="26" applyFont="1" applyFill="1" applyBorder="1" applyAlignment="1">
      <alignment horizontal="center" vertical="top"/>
    </xf>
    <xf numFmtId="0" fontId="49" fillId="33" borderId="10" xfId="26" applyFont="1" applyFill="1" applyBorder="1" applyAlignment="1">
      <alignment horizontal="center" vertical="center"/>
    </xf>
    <xf numFmtId="0" fontId="49" fillId="33" borderId="11" xfId="26" applyFont="1" applyFill="1" applyBorder="1" applyAlignment="1">
      <alignment horizontal="center" vertical="center"/>
    </xf>
    <xf numFmtId="0" fontId="49" fillId="33" borderId="13" xfId="26" applyFont="1" applyFill="1" applyBorder="1" applyAlignment="1">
      <alignment horizontal="center" vertical="center"/>
    </xf>
    <xf numFmtId="0" fontId="49" fillId="33" borderId="0" xfId="26" applyFont="1" applyFill="1" applyBorder="1" applyAlignment="1">
      <alignment horizontal="center" vertical="center"/>
    </xf>
    <xf numFmtId="0" fontId="49" fillId="33" borderId="15" xfId="26" applyFont="1" applyFill="1" applyBorder="1" applyAlignment="1">
      <alignment horizontal="center" vertical="center"/>
    </xf>
    <xf numFmtId="0" fontId="49" fillId="33" borderId="16" xfId="26" applyFont="1" applyFill="1" applyBorder="1" applyAlignment="1">
      <alignment horizontal="center" vertical="center"/>
    </xf>
    <xf numFmtId="0" fontId="50" fillId="33" borderId="12" xfId="26" applyFont="1" applyFill="1" applyBorder="1" applyAlignment="1">
      <alignment horizontal="center" vertical="center" wrapText="1"/>
    </xf>
    <xf numFmtId="0" fontId="50" fillId="33" borderId="14" xfId="26" applyFont="1" applyFill="1" applyBorder="1" applyAlignment="1">
      <alignment horizontal="center" vertical="center" wrapText="1"/>
    </xf>
    <xf numFmtId="0" fontId="50" fillId="33" borderId="17" xfId="26" applyFont="1" applyFill="1" applyBorder="1" applyAlignment="1">
      <alignment horizontal="center" vertical="center" wrapText="1"/>
    </xf>
    <xf numFmtId="0" fontId="49" fillId="33" borderId="18" xfId="26" applyFont="1" applyFill="1" applyBorder="1" applyAlignment="1">
      <alignment horizontal="center"/>
    </xf>
    <xf numFmtId="0" fontId="49" fillId="33" borderId="19" xfId="26" applyFont="1" applyFill="1" applyBorder="1" applyAlignment="1">
      <alignment horizontal="center"/>
    </xf>
    <xf numFmtId="0" fontId="49" fillId="33" borderId="20" xfId="26" applyFont="1" applyFill="1" applyBorder="1" applyAlignment="1">
      <alignment horizontal="center"/>
    </xf>
    <xf numFmtId="0" fontId="53" fillId="33" borderId="18" xfId="26" applyFont="1" applyFill="1" applyBorder="1" applyAlignment="1">
      <alignment horizontal="left"/>
    </xf>
    <xf numFmtId="0" fontId="53" fillId="33" borderId="20" xfId="26" applyFont="1" applyFill="1" applyBorder="1" applyAlignment="1">
      <alignment horizontal="left"/>
    </xf>
    <xf numFmtId="0" fontId="58" fillId="33" borderId="10" xfId="26" applyFont="1" applyFill="1" applyBorder="1" applyAlignment="1">
      <alignment horizontal="center" vertical="center"/>
    </xf>
    <xf numFmtId="0" fontId="58" fillId="33" borderId="11" xfId="26" applyFont="1" applyFill="1" applyBorder="1" applyAlignment="1">
      <alignment horizontal="center" vertical="center"/>
    </xf>
    <xf numFmtId="0" fontId="58" fillId="33" borderId="13" xfId="26" applyFont="1" applyFill="1" applyBorder="1" applyAlignment="1">
      <alignment horizontal="center" vertical="center"/>
    </xf>
    <xf numFmtId="0" fontId="58" fillId="33" borderId="0" xfId="26" applyFont="1" applyFill="1" applyBorder="1" applyAlignment="1">
      <alignment horizontal="center" vertical="center"/>
    </xf>
    <xf numFmtId="0" fontId="58" fillId="33" borderId="15" xfId="26" applyFont="1" applyFill="1" applyBorder="1" applyAlignment="1">
      <alignment horizontal="center" vertical="center"/>
    </xf>
    <xf numFmtId="0" fontId="58" fillId="33" borderId="16" xfId="26" applyFont="1" applyFill="1" applyBorder="1" applyAlignment="1">
      <alignment horizontal="center" vertical="center"/>
    </xf>
    <xf numFmtId="0" fontId="59" fillId="33" borderId="12" xfId="26" applyFont="1" applyFill="1" applyBorder="1" applyAlignment="1">
      <alignment horizontal="center" vertical="center" wrapText="1"/>
    </xf>
    <xf numFmtId="0" fontId="59" fillId="33" borderId="14" xfId="26" applyFont="1" applyFill="1" applyBorder="1" applyAlignment="1">
      <alignment horizontal="center" vertical="center" wrapText="1"/>
    </xf>
    <xf numFmtId="0" fontId="59" fillId="33" borderId="17" xfId="26" applyFont="1" applyFill="1" applyBorder="1" applyAlignment="1">
      <alignment horizontal="center" vertical="center" wrapText="1"/>
    </xf>
    <xf numFmtId="0" fontId="58" fillId="33" borderId="18" xfId="26" applyFont="1" applyFill="1" applyBorder="1" applyAlignment="1">
      <alignment horizontal="center"/>
    </xf>
    <xf numFmtId="0" fontId="58" fillId="33" borderId="19" xfId="26" applyFont="1" applyFill="1" applyBorder="1" applyAlignment="1">
      <alignment horizontal="center"/>
    </xf>
    <xf numFmtId="0" fontId="58" fillId="33" borderId="20" xfId="26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53" fillId="0" borderId="0" xfId="86" applyFont="1" applyFill="1" applyBorder="1" applyAlignment="1">
      <alignment horizontal="left" vertical="center"/>
    </xf>
    <xf numFmtId="0" fontId="53" fillId="0" borderId="14" xfId="86" applyFont="1" applyFill="1" applyBorder="1" applyAlignment="1">
      <alignment horizontal="left" vertical="center"/>
    </xf>
    <xf numFmtId="0" fontId="54" fillId="0" borderId="0" xfId="86" applyFont="1" applyFill="1" applyBorder="1" applyAlignment="1">
      <alignment horizontal="left" vertical="center" wrapText="1"/>
    </xf>
    <xf numFmtId="0" fontId="54" fillId="0" borderId="14" xfId="86" applyFont="1" applyFill="1" applyBorder="1" applyAlignment="1">
      <alignment horizontal="left" vertical="center" wrapText="1"/>
    </xf>
    <xf numFmtId="0" fontId="54" fillId="0" borderId="0" xfId="86" applyFont="1" applyFill="1" applyBorder="1" applyAlignment="1">
      <alignment horizontal="left" vertical="center"/>
    </xf>
    <xf numFmtId="0" fontId="54" fillId="0" borderId="14" xfId="86" applyFont="1" applyFill="1" applyBorder="1" applyAlignment="1">
      <alignment horizontal="left" vertical="center"/>
    </xf>
    <xf numFmtId="0" fontId="54" fillId="0" borderId="16" xfId="86" applyFont="1" applyFill="1" applyBorder="1" applyAlignment="1">
      <alignment horizontal="left" vertical="center"/>
    </xf>
    <xf numFmtId="0" fontId="54" fillId="0" borderId="17" xfId="86" applyFont="1" applyFill="1" applyBorder="1" applyAlignment="1">
      <alignment horizontal="left" vertical="center"/>
    </xf>
    <xf numFmtId="0" fontId="53" fillId="0" borderId="13" xfId="86" applyFont="1" applyFill="1" applyBorder="1" applyAlignment="1">
      <alignment horizontal="left" vertical="center" wrapText="1"/>
    </xf>
    <xf numFmtId="0" fontId="53" fillId="0" borderId="0" xfId="86" applyFont="1" applyFill="1" applyBorder="1" applyAlignment="1">
      <alignment horizontal="left" vertical="center" wrapText="1"/>
    </xf>
    <xf numFmtId="0" fontId="53" fillId="0" borderId="14" xfId="86" applyFont="1" applyFill="1" applyBorder="1" applyAlignment="1">
      <alignment horizontal="left" vertical="center" wrapText="1"/>
    </xf>
    <xf numFmtId="0" fontId="53" fillId="0" borderId="13" xfId="86" applyFont="1" applyFill="1" applyBorder="1" applyAlignment="1">
      <alignment horizontal="left" vertical="center"/>
    </xf>
    <xf numFmtId="0" fontId="54" fillId="0" borderId="13" xfId="86" applyFont="1" applyFill="1" applyBorder="1" applyAlignment="1">
      <alignment horizontal="left" vertical="center"/>
    </xf>
    <xf numFmtId="0" fontId="53" fillId="0" borderId="24" xfId="86" applyFont="1" applyFill="1" applyBorder="1" applyAlignment="1">
      <alignment horizontal="center" vertical="center"/>
    </xf>
    <xf numFmtId="0" fontId="53" fillId="0" borderId="22" xfId="86" applyFont="1" applyFill="1" applyBorder="1" applyAlignment="1">
      <alignment horizontal="center" vertical="center"/>
    </xf>
    <xf numFmtId="0" fontId="53" fillId="0" borderId="15" xfId="86" applyFont="1" applyFill="1" applyBorder="1" applyAlignment="1">
      <alignment horizontal="center" vertical="center"/>
    </xf>
    <xf numFmtId="0" fontId="53" fillId="0" borderId="16" xfId="86" applyFont="1" applyFill="1" applyBorder="1" applyAlignment="1">
      <alignment horizontal="center" vertical="center"/>
    </xf>
    <xf numFmtId="0" fontId="53" fillId="0" borderId="17" xfId="86" applyFont="1" applyFill="1" applyBorder="1" applyAlignment="1">
      <alignment horizontal="center" vertical="center"/>
    </xf>
    <xf numFmtId="0" fontId="54" fillId="0" borderId="10" xfId="86" applyFont="1" applyFill="1" applyBorder="1" applyAlignment="1">
      <alignment horizontal="justify" vertical="center"/>
    </xf>
    <xf numFmtId="0" fontId="54" fillId="0" borderId="11" xfId="86" applyFont="1" applyFill="1" applyBorder="1" applyAlignment="1">
      <alignment horizontal="justify" vertical="center"/>
    </xf>
    <xf numFmtId="0" fontId="54" fillId="0" borderId="12" xfId="86" applyFont="1" applyFill="1" applyBorder="1" applyAlignment="1">
      <alignment horizontal="justify" vertical="center"/>
    </xf>
    <xf numFmtId="0" fontId="53" fillId="0" borderId="10" xfId="86" applyFont="1" applyFill="1" applyBorder="1" applyAlignment="1">
      <alignment horizontal="center" vertical="center"/>
    </xf>
    <xf numFmtId="0" fontId="53" fillId="0" borderId="11" xfId="86" applyFont="1" applyFill="1" applyBorder="1" applyAlignment="1">
      <alignment horizontal="center" vertical="center"/>
    </xf>
    <xf numFmtId="0" fontId="53" fillId="0" borderId="12" xfId="86" applyFont="1" applyFill="1" applyBorder="1" applyAlignment="1">
      <alignment horizontal="center" vertical="center"/>
    </xf>
    <xf numFmtId="0" fontId="53" fillId="0" borderId="13" xfId="86" applyFont="1" applyFill="1" applyBorder="1" applyAlignment="1">
      <alignment horizontal="center" vertical="center"/>
    </xf>
    <xf numFmtId="0" fontId="53" fillId="0" borderId="0" xfId="86" applyFont="1" applyFill="1" applyBorder="1" applyAlignment="1">
      <alignment horizontal="center" vertical="center"/>
    </xf>
    <xf numFmtId="0" fontId="53" fillId="0" borderId="14" xfId="86" applyFont="1" applyFill="1" applyBorder="1" applyAlignment="1">
      <alignment horizontal="center" vertical="center"/>
    </xf>
    <xf numFmtId="0" fontId="79" fillId="0" borderId="15" xfId="86" applyFont="1" applyFill="1" applyBorder="1" applyAlignment="1">
      <alignment horizontal="center" vertical="center"/>
    </xf>
    <xf numFmtId="0" fontId="79" fillId="0" borderId="16" xfId="86" applyFont="1" applyFill="1" applyBorder="1" applyAlignment="1">
      <alignment horizontal="center" vertical="center"/>
    </xf>
    <xf numFmtId="0" fontId="79" fillId="0" borderId="17" xfId="86" applyFont="1" applyFill="1" applyBorder="1" applyAlignment="1">
      <alignment horizontal="center" vertical="center"/>
    </xf>
    <xf numFmtId="0" fontId="53" fillId="0" borderId="18" xfId="86" applyFont="1" applyFill="1" applyBorder="1" applyAlignment="1">
      <alignment horizontal="center" vertical="center"/>
    </xf>
    <xf numFmtId="0" fontId="53" fillId="0" borderId="19" xfId="86" applyFont="1" applyFill="1" applyBorder="1" applyAlignment="1">
      <alignment horizontal="center" vertical="center"/>
    </xf>
    <xf numFmtId="0" fontId="53" fillId="0" borderId="20" xfId="86" applyFont="1" applyFill="1" applyBorder="1" applyAlignment="1">
      <alignment horizontal="center" vertical="center"/>
    </xf>
    <xf numFmtId="0" fontId="53" fillId="0" borderId="23" xfId="86" applyFont="1" applyFill="1" applyBorder="1" applyAlignment="1">
      <alignment horizontal="center" vertical="center"/>
    </xf>
    <xf numFmtId="0" fontId="53" fillId="0" borderId="24" xfId="86" applyFont="1" applyFill="1" applyBorder="1" applyAlignment="1">
      <alignment horizontal="center" vertical="center" wrapText="1"/>
    </xf>
    <xf numFmtId="0" fontId="53" fillId="0" borderId="22" xfId="86" applyFont="1" applyFill="1" applyBorder="1" applyAlignment="1">
      <alignment horizontal="center" vertical="center" wrapText="1"/>
    </xf>
  </cellXfs>
  <cellStyles count="605">
    <cellStyle name="20% - Énfasis1" xfId="3" builtinId="30" customBuiltin="1"/>
    <cellStyle name="20% - Énfasis1 2" xfId="112"/>
    <cellStyle name="20% - Énfasis1 2 2" xfId="172"/>
    <cellStyle name="20% - Énfasis1 2 2 2" xfId="254"/>
    <cellStyle name="20% - Énfasis1 2 2 2 2" xfId="584"/>
    <cellStyle name="20% - Énfasis1 2 2 2 3" xfId="419"/>
    <cellStyle name="20% - Énfasis1 2 2 3" xfId="503"/>
    <cellStyle name="20% - Énfasis1 2 2 4" xfId="338"/>
    <cellStyle name="20% - Énfasis1 2 3" xfId="211"/>
    <cellStyle name="20% - Énfasis1 2 3 2" xfId="541"/>
    <cellStyle name="20% - Énfasis1 2 3 3" xfId="376"/>
    <cellStyle name="20% - Énfasis1 2 4" xfId="460"/>
    <cellStyle name="20% - Énfasis1 2 5" xfId="295"/>
    <cellStyle name="20% - Énfasis1 3" xfId="154"/>
    <cellStyle name="20% - Énfasis1 3 2" xfId="236"/>
    <cellStyle name="20% - Énfasis1 3 2 2" xfId="566"/>
    <cellStyle name="20% - Énfasis1 3 2 3" xfId="401"/>
    <cellStyle name="20% - Énfasis1 3 3" xfId="485"/>
    <cellStyle name="20% - Énfasis1 3 4" xfId="320"/>
    <cellStyle name="20% - Énfasis1 4" xfId="193"/>
    <cellStyle name="20% - Énfasis1 4 2" xfId="523"/>
    <cellStyle name="20% - Énfasis1 4 3" xfId="358"/>
    <cellStyle name="20% - Énfasis1 5" xfId="441"/>
    <cellStyle name="20% - Énfasis1 6" xfId="276"/>
    <cellStyle name="20% - Énfasis2" xfId="7" builtinId="34" customBuiltin="1"/>
    <cellStyle name="20% - Énfasis2 2" xfId="114"/>
    <cellStyle name="20% - Énfasis2 2 2" xfId="174"/>
    <cellStyle name="20% - Énfasis2 2 2 2" xfId="256"/>
    <cellStyle name="20% - Énfasis2 2 2 2 2" xfId="586"/>
    <cellStyle name="20% - Énfasis2 2 2 2 3" xfId="421"/>
    <cellStyle name="20% - Énfasis2 2 2 3" xfId="505"/>
    <cellStyle name="20% - Énfasis2 2 2 4" xfId="340"/>
    <cellStyle name="20% - Énfasis2 2 3" xfId="213"/>
    <cellStyle name="20% - Énfasis2 2 3 2" xfId="543"/>
    <cellStyle name="20% - Énfasis2 2 3 3" xfId="378"/>
    <cellStyle name="20% - Énfasis2 2 4" xfId="462"/>
    <cellStyle name="20% - Énfasis2 2 5" xfId="297"/>
    <cellStyle name="20% - Énfasis2 3" xfId="156"/>
    <cellStyle name="20% - Énfasis2 3 2" xfId="238"/>
    <cellStyle name="20% - Énfasis2 3 2 2" xfId="568"/>
    <cellStyle name="20% - Énfasis2 3 2 3" xfId="403"/>
    <cellStyle name="20% - Énfasis2 3 3" xfId="487"/>
    <cellStyle name="20% - Énfasis2 3 4" xfId="322"/>
    <cellStyle name="20% - Énfasis2 4" xfId="195"/>
    <cellStyle name="20% - Énfasis2 4 2" xfId="525"/>
    <cellStyle name="20% - Énfasis2 4 3" xfId="360"/>
    <cellStyle name="20% - Énfasis2 5" xfId="443"/>
    <cellStyle name="20% - Énfasis2 6" xfId="278"/>
    <cellStyle name="20% - Énfasis3" xfId="11" builtinId="38" customBuiltin="1"/>
    <cellStyle name="20% - Énfasis3 2" xfId="116"/>
    <cellStyle name="20% - Énfasis3 2 2" xfId="176"/>
    <cellStyle name="20% - Énfasis3 2 2 2" xfId="258"/>
    <cellStyle name="20% - Énfasis3 2 2 2 2" xfId="588"/>
    <cellStyle name="20% - Énfasis3 2 2 2 3" xfId="423"/>
    <cellStyle name="20% - Énfasis3 2 2 3" xfId="507"/>
    <cellStyle name="20% - Énfasis3 2 2 4" xfId="342"/>
    <cellStyle name="20% - Énfasis3 2 3" xfId="215"/>
    <cellStyle name="20% - Énfasis3 2 3 2" xfId="545"/>
    <cellStyle name="20% - Énfasis3 2 3 3" xfId="380"/>
    <cellStyle name="20% - Énfasis3 2 4" xfId="464"/>
    <cellStyle name="20% - Énfasis3 2 5" xfId="299"/>
    <cellStyle name="20% - Énfasis3 3" xfId="158"/>
    <cellStyle name="20% - Énfasis3 3 2" xfId="240"/>
    <cellStyle name="20% - Énfasis3 3 2 2" xfId="570"/>
    <cellStyle name="20% - Énfasis3 3 2 3" xfId="405"/>
    <cellStyle name="20% - Énfasis3 3 3" xfId="489"/>
    <cellStyle name="20% - Énfasis3 3 4" xfId="324"/>
    <cellStyle name="20% - Énfasis3 4" xfId="197"/>
    <cellStyle name="20% - Énfasis3 4 2" xfId="527"/>
    <cellStyle name="20% - Énfasis3 4 3" xfId="362"/>
    <cellStyle name="20% - Énfasis3 5" xfId="445"/>
    <cellStyle name="20% - Énfasis3 6" xfId="280"/>
    <cellStyle name="20% - Énfasis4" xfId="15" builtinId="42" customBuiltin="1"/>
    <cellStyle name="20% - Énfasis4 2" xfId="118"/>
    <cellStyle name="20% - Énfasis4 2 2" xfId="178"/>
    <cellStyle name="20% - Énfasis4 2 2 2" xfId="260"/>
    <cellStyle name="20% - Énfasis4 2 2 2 2" xfId="590"/>
    <cellStyle name="20% - Énfasis4 2 2 2 3" xfId="425"/>
    <cellStyle name="20% - Énfasis4 2 2 3" xfId="509"/>
    <cellStyle name="20% - Énfasis4 2 2 4" xfId="344"/>
    <cellStyle name="20% - Énfasis4 2 3" xfId="217"/>
    <cellStyle name="20% - Énfasis4 2 3 2" xfId="547"/>
    <cellStyle name="20% - Énfasis4 2 3 3" xfId="382"/>
    <cellStyle name="20% - Énfasis4 2 4" xfId="466"/>
    <cellStyle name="20% - Énfasis4 2 5" xfId="301"/>
    <cellStyle name="20% - Énfasis4 3" xfId="160"/>
    <cellStyle name="20% - Énfasis4 3 2" xfId="242"/>
    <cellStyle name="20% - Énfasis4 3 2 2" xfId="572"/>
    <cellStyle name="20% - Énfasis4 3 2 3" xfId="407"/>
    <cellStyle name="20% - Énfasis4 3 3" xfId="491"/>
    <cellStyle name="20% - Énfasis4 3 4" xfId="326"/>
    <cellStyle name="20% - Énfasis4 4" xfId="199"/>
    <cellStyle name="20% - Énfasis4 4 2" xfId="529"/>
    <cellStyle name="20% - Énfasis4 4 3" xfId="364"/>
    <cellStyle name="20% - Énfasis4 5" xfId="447"/>
    <cellStyle name="20% - Énfasis4 6" xfId="282"/>
    <cellStyle name="20% - Énfasis5" xfId="19" builtinId="46" customBuiltin="1"/>
    <cellStyle name="20% - Énfasis5 2" xfId="120"/>
    <cellStyle name="20% - Énfasis5 2 2" xfId="180"/>
    <cellStyle name="20% - Énfasis5 2 2 2" xfId="262"/>
    <cellStyle name="20% - Énfasis5 2 2 2 2" xfId="592"/>
    <cellStyle name="20% - Énfasis5 2 2 2 3" xfId="427"/>
    <cellStyle name="20% - Énfasis5 2 2 3" xfId="511"/>
    <cellStyle name="20% - Énfasis5 2 2 4" xfId="346"/>
    <cellStyle name="20% - Énfasis5 2 3" xfId="219"/>
    <cellStyle name="20% - Énfasis5 2 3 2" xfId="549"/>
    <cellStyle name="20% - Énfasis5 2 3 3" xfId="384"/>
    <cellStyle name="20% - Énfasis5 2 4" xfId="468"/>
    <cellStyle name="20% - Énfasis5 2 5" xfId="303"/>
    <cellStyle name="20% - Énfasis5 3" xfId="162"/>
    <cellStyle name="20% - Énfasis5 3 2" xfId="244"/>
    <cellStyle name="20% - Énfasis5 3 2 2" xfId="574"/>
    <cellStyle name="20% - Énfasis5 3 2 3" xfId="409"/>
    <cellStyle name="20% - Énfasis5 3 3" xfId="493"/>
    <cellStyle name="20% - Énfasis5 3 4" xfId="328"/>
    <cellStyle name="20% - Énfasis5 4" xfId="201"/>
    <cellStyle name="20% - Énfasis5 4 2" xfId="531"/>
    <cellStyle name="20% - Énfasis5 4 3" xfId="366"/>
    <cellStyle name="20% - Énfasis5 5" xfId="449"/>
    <cellStyle name="20% - Énfasis5 6" xfId="284"/>
    <cellStyle name="20% - Énfasis6" xfId="23" builtinId="50" customBuiltin="1"/>
    <cellStyle name="20% - Énfasis6 2" xfId="122"/>
    <cellStyle name="20% - Énfasis6 2 2" xfId="182"/>
    <cellStyle name="20% - Énfasis6 2 2 2" xfId="264"/>
    <cellStyle name="20% - Énfasis6 2 2 2 2" xfId="594"/>
    <cellStyle name="20% - Énfasis6 2 2 2 3" xfId="429"/>
    <cellStyle name="20% - Énfasis6 2 2 3" xfId="513"/>
    <cellStyle name="20% - Énfasis6 2 2 4" xfId="348"/>
    <cellStyle name="20% - Énfasis6 2 3" xfId="221"/>
    <cellStyle name="20% - Énfasis6 2 3 2" xfId="551"/>
    <cellStyle name="20% - Énfasis6 2 3 3" xfId="386"/>
    <cellStyle name="20% - Énfasis6 2 4" xfId="470"/>
    <cellStyle name="20% - Énfasis6 2 5" xfId="305"/>
    <cellStyle name="20% - Énfasis6 3" xfId="164"/>
    <cellStyle name="20% - Énfasis6 3 2" xfId="246"/>
    <cellStyle name="20% - Énfasis6 3 2 2" xfId="576"/>
    <cellStyle name="20% - Énfasis6 3 2 3" xfId="411"/>
    <cellStyle name="20% - Énfasis6 3 3" xfId="495"/>
    <cellStyle name="20% - Énfasis6 3 4" xfId="330"/>
    <cellStyle name="20% - Énfasis6 4" xfId="203"/>
    <cellStyle name="20% - Énfasis6 4 2" xfId="533"/>
    <cellStyle name="20% - Énfasis6 4 3" xfId="368"/>
    <cellStyle name="20% - Énfasis6 5" xfId="451"/>
    <cellStyle name="20% - Énfasis6 6" xfId="286"/>
    <cellStyle name="40% - Énfasis1" xfId="4" builtinId="31" customBuiltin="1"/>
    <cellStyle name="40% - Énfasis1 2" xfId="113"/>
    <cellStyle name="40% - Énfasis1 2 2" xfId="173"/>
    <cellStyle name="40% - Énfasis1 2 2 2" xfId="255"/>
    <cellStyle name="40% - Énfasis1 2 2 2 2" xfId="585"/>
    <cellStyle name="40% - Énfasis1 2 2 2 3" xfId="420"/>
    <cellStyle name="40% - Énfasis1 2 2 3" xfId="504"/>
    <cellStyle name="40% - Énfasis1 2 2 4" xfId="339"/>
    <cellStyle name="40% - Énfasis1 2 3" xfId="212"/>
    <cellStyle name="40% - Énfasis1 2 3 2" xfId="542"/>
    <cellStyle name="40% - Énfasis1 2 3 3" xfId="377"/>
    <cellStyle name="40% - Énfasis1 2 4" xfId="461"/>
    <cellStyle name="40% - Énfasis1 2 5" xfId="296"/>
    <cellStyle name="40% - Énfasis1 3" xfId="155"/>
    <cellStyle name="40% - Énfasis1 3 2" xfId="237"/>
    <cellStyle name="40% - Énfasis1 3 2 2" xfId="567"/>
    <cellStyle name="40% - Énfasis1 3 2 3" xfId="402"/>
    <cellStyle name="40% - Énfasis1 3 3" xfId="486"/>
    <cellStyle name="40% - Énfasis1 3 4" xfId="321"/>
    <cellStyle name="40% - Énfasis1 4" xfId="194"/>
    <cellStyle name="40% - Énfasis1 4 2" xfId="524"/>
    <cellStyle name="40% - Énfasis1 4 3" xfId="359"/>
    <cellStyle name="40% - Énfasis1 5" xfId="442"/>
    <cellStyle name="40% - Énfasis1 6" xfId="277"/>
    <cellStyle name="40% - Énfasis2" xfId="8" builtinId="35" customBuiltin="1"/>
    <cellStyle name="40% - Énfasis2 2" xfId="115"/>
    <cellStyle name="40% - Énfasis2 2 2" xfId="175"/>
    <cellStyle name="40% - Énfasis2 2 2 2" xfId="257"/>
    <cellStyle name="40% - Énfasis2 2 2 2 2" xfId="587"/>
    <cellStyle name="40% - Énfasis2 2 2 2 3" xfId="422"/>
    <cellStyle name="40% - Énfasis2 2 2 3" xfId="506"/>
    <cellStyle name="40% - Énfasis2 2 2 4" xfId="341"/>
    <cellStyle name="40% - Énfasis2 2 3" xfId="214"/>
    <cellStyle name="40% - Énfasis2 2 3 2" xfId="544"/>
    <cellStyle name="40% - Énfasis2 2 3 3" xfId="379"/>
    <cellStyle name="40% - Énfasis2 2 4" xfId="463"/>
    <cellStyle name="40% - Énfasis2 2 5" xfId="298"/>
    <cellStyle name="40% - Énfasis2 3" xfId="157"/>
    <cellStyle name="40% - Énfasis2 3 2" xfId="239"/>
    <cellStyle name="40% - Énfasis2 3 2 2" xfId="569"/>
    <cellStyle name="40% - Énfasis2 3 2 3" xfId="404"/>
    <cellStyle name="40% - Énfasis2 3 3" xfId="488"/>
    <cellStyle name="40% - Énfasis2 3 4" xfId="323"/>
    <cellStyle name="40% - Énfasis2 4" xfId="196"/>
    <cellStyle name="40% - Énfasis2 4 2" xfId="526"/>
    <cellStyle name="40% - Énfasis2 4 3" xfId="361"/>
    <cellStyle name="40% - Énfasis2 5" xfId="444"/>
    <cellStyle name="40% - Énfasis2 6" xfId="279"/>
    <cellStyle name="40% - Énfasis3" xfId="12" builtinId="39" customBuiltin="1"/>
    <cellStyle name="40% - Énfasis3 2" xfId="117"/>
    <cellStyle name="40% - Énfasis3 2 2" xfId="177"/>
    <cellStyle name="40% - Énfasis3 2 2 2" xfId="259"/>
    <cellStyle name="40% - Énfasis3 2 2 2 2" xfId="589"/>
    <cellStyle name="40% - Énfasis3 2 2 2 3" xfId="424"/>
    <cellStyle name="40% - Énfasis3 2 2 3" xfId="508"/>
    <cellStyle name="40% - Énfasis3 2 2 4" xfId="343"/>
    <cellStyle name="40% - Énfasis3 2 3" xfId="216"/>
    <cellStyle name="40% - Énfasis3 2 3 2" xfId="546"/>
    <cellStyle name="40% - Énfasis3 2 3 3" xfId="381"/>
    <cellStyle name="40% - Énfasis3 2 4" xfId="465"/>
    <cellStyle name="40% - Énfasis3 2 5" xfId="300"/>
    <cellStyle name="40% - Énfasis3 3" xfId="159"/>
    <cellStyle name="40% - Énfasis3 3 2" xfId="241"/>
    <cellStyle name="40% - Énfasis3 3 2 2" xfId="571"/>
    <cellStyle name="40% - Énfasis3 3 2 3" xfId="406"/>
    <cellStyle name="40% - Énfasis3 3 3" xfId="490"/>
    <cellStyle name="40% - Énfasis3 3 4" xfId="325"/>
    <cellStyle name="40% - Énfasis3 4" xfId="198"/>
    <cellStyle name="40% - Énfasis3 4 2" xfId="528"/>
    <cellStyle name="40% - Énfasis3 4 3" xfId="363"/>
    <cellStyle name="40% - Énfasis3 5" xfId="446"/>
    <cellStyle name="40% - Énfasis3 6" xfId="281"/>
    <cellStyle name="40% - Énfasis4" xfId="16" builtinId="43" customBuiltin="1"/>
    <cellStyle name="40% - Énfasis4 2" xfId="119"/>
    <cellStyle name="40% - Énfasis4 2 2" xfId="179"/>
    <cellStyle name="40% - Énfasis4 2 2 2" xfId="261"/>
    <cellStyle name="40% - Énfasis4 2 2 2 2" xfId="591"/>
    <cellStyle name="40% - Énfasis4 2 2 2 3" xfId="426"/>
    <cellStyle name="40% - Énfasis4 2 2 3" xfId="510"/>
    <cellStyle name="40% - Énfasis4 2 2 4" xfId="345"/>
    <cellStyle name="40% - Énfasis4 2 3" xfId="218"/>
    <cellStyle name="40% - Énfasis4 2 3 2" xfId="548"/>
    <cellStyle name="40% - Énfasis4 2 3 3" xfId="383"/>
    <cellStyle name="40% - Énfasis4 2 4" xfId="467"/>
    <cellStyle name="40% - Énfasis4 2 5" xfId="302"/>
    <cellStyle name="40% - Énfasis4 3" xfId="161"/>
    <cellStyle name="40% - Énfasis4 3 2" xfId="243"/>
    <cellStyle name="40% - Énfasis4 3 2 2" xfId="573"/>
    <cellStyle name="40% - Énfasis4 3 2 3" xfId="408"/>
    <cellStyle name="40% - Énfasis4 3 3" xfId="492"/>
    <cellStyle name="40% - Énfasis4 3 4" xfId="327"/>
    <cellStyle name="40% - Énfasis4 4" xfId="200"/>
    <cellStyle name="40% - Énfasis4 4 2" xfId="530"/>
    <cellStyle name="40% - Énfasis4 4 3" xfId="365"/>
    <cellStyle name="40% - Énfasis4 5" xfId="448"/>
    <cellStyle name="40% - Énfasis4 6" xfId="283"/>
    <cellStyle name="40% - Énfasis5" xfId="20" builtinId="47" customBuiltin="1"/>
    <cellStyle name="40% - Énfasis5 2" xfId="121"/>
    <cellStyle name="40% - Énfasis5 2 2" xfId="181"/>
    <cellStyle name="40% - Énfasis5 2 2 2" xfId="263"/>
    <cellStyle name="40% - Énfasis5 2 2 2 2" xfId="593"/>
    <cellStyle name="40% - Énfasis5 2 2 2 3" xfId="428"/>
    <cellStyle name="40% - Énfasis5 2 2 3" xfId="512"/>
    <cellStyle name="40% - Énfasis5 2 2 4" xfId="347"/>
    <cellStyle name="40% - Énfasis5 2 3" xfId="220"/>
    <cellStyle name="40% - Énfasis5 2 3 2" xfId="550"/>
    <cellStyle name="40% - Énfasis5 2 3 3" xfId="385"/>
    <cellStyle name="40% - Énfasis5 2 4" xfId="469"/>
    <cellStyle name="40% - Énfasis5 2 5" xfId="304"/>
    <cellStyle name="40% - Énfasis5 3" xfId="163"/>
    <cellStyle name="40% - Énfasis5 3 2" xfId="245"/>
    <cellStyle name="40% - Énfasis5 3 2 2" xfId="575"/>
    <cellStyle name="40% - Énfasis5 3 2 3" xfId="410"/>
    <cellStyle name="40% - Énfasis5 3 3" xfId="494"/>
    <cellStyle name="40% - Énfasis5 3 4" xfId="329"/>
    <cellStyle name="40% - Énfasis5 4" xfId="202"/>
    <cellStyle name="40% - Énfasis5 4 2" xfId="532"/>
    <cellStyle name="40% - Énfasis5 4 3" xfId="367"/>
    <cellStyle name="40% - Énfasis5 5" xfId="450"/>
    <cellStyle name="40% - Énfasis5 6" xfId="285"/>
    <cellStyle name="40% - Énfasis6" xfId="24" builtinId="51" customBuiltin="1"/>
    <cellStyle name="40% - Énfasis6 2" xfId="123"/>
    <cellStyle name="40% - Énfasis6 2 2" xfId="183"/>
    <cellStyle name="40% - Énfasis6 2 2 2" xfId="265"/>
    <cellStyle name="40% - Énfasis6 2 2 2 2" xfId="595"/>
    <cellStyle name="40% - Énfasis6 2 2 2 3" xfId="430"/>
    <cellStyle name="40% - Énfasis6 2 2 3" xfId="514"/>
    <cellStyle name="40% - Énfasis6 2 2 4" xfId="349"/>
    <cellStyle name="40% - Énfasis6 2 3" xfId="222"/>
    <cellStyle name="40% - Énfasis6 2 3 2" xfId="552"/>
    <cellStyle name="40% - Énfasis6 2 3 3" xfId="387"/>
    <cellStyle name="40% - Énfasis6 2 4" xfId="471"/>
    <cellStyle name="40% - Énfasis6 2 5" xfId="306"/>
    <cellStyle name="40% - Énfasis6 3" xfId="165"/>
    <cellStyle name="40% - Énfasis6 3 2" xfId="247"/>
    <cellStyle name="40% - Énfasis6 3 2 2" xfId="577"/>
    <cellStyle name="40% - Énfasis6 3 2 3" xfId="412"/>
    <cellStyle name="40% - Énfasis6 3 3" xfId="496"/>
    <cellStyle name="40% - Énfasis6 3 4" xfId="331"/>
    <cellStyle name="40% - Énfasis6 4" xfId="204"/>
    <cellStyle name="40% - Énfasis6 4 2" xfId="534"/>
    <cellStyle name="40% - Énfasis6 4 3" xfId="369"/>
    <cellStyle name="40% - Énfasis6 5" xfId="452"/>
    <cellStyle name="40% - Énfasis6 6" xfId="287"/>
    <cellStyle name="60% - Énfasis1" xfId="5" builtinId="32" customBuiltin="1"/>
    <cellStyle name="60% - Énfasis2" xfId="9" builtinId="36" customBuiltin="1"/>
    <cellStyle name="60% - Énfasis3" xfId="13" builtinId="40" customBuiltin="1"/>
    <cellStyle name="60% - Énfasis4" xfId="17" builtinId="44" customBuiltin="1"/>
    <cellStyle name="60% - Énfasis5" xfId="21" builtinId="48" customBuiltin="1"/>
    <cellStyle name="60% - Énfasis6" xfId="25" builtinId="52" customBuiltin="1"/>
    <cellStyle name="Buena 2" xfId="98"/>
    <cellStyle name="Buena 3" xfId="129"/>
    <cellStyle name="Buena 4" xfId="31"/>
    <cellStyle name="Cálculo 2" xfId="103"/>
    <cellStyle name="Cálculo 3" xfId="134"/>
    <cellStyle name="Cálculo 4" xfId="36"/>
    <cellStyle name="Celda de comprobación 2" xfId="105"/>
    <cellStyle name="Celda de comprobación 3" xfId="136"/>
    <cellStyle name="Celda de comprobación 4" xfId="38"/>
    <cellStyle name="Celda vinculada 2" xfId="104"/>
    <cellStyle name="Celda vinculada 3" xfId="135"/>
    <cellStyle name="Celda vinculada 4" xfId="37"/>
    <cellStyle name="Encabezado 4 2" xfId="97"/>
    <cellStyle name="Encabezado 4 3" xfId="128"/>
    <cellStyle name="Encabezado 4 4" xfId="30"/>
    <cellStyle name="Énfasis1" xfId="2" builtinId="29" customBuiltin="1"/>
    <cellStyle name="Énfasis2" xfId="6" builtinId="33" customBuiltin="1"/>
    <cellStyle name="Énfasis3" xfId="10" builtinId="37" customBuiltin="1"/>
    <cellStyle name="Énfasis4" xfId="14" builtinId="41" customBuiltin="1"/>
    <cellStyle name="Énfasis5" xfId="18" builtinId="45" customBuiltin="1"/>
    <cellStyle name="Énfasis6" xfId="22" builtinId="49" customBuiltin="1"/>
    <cellStyle name="Entrada 2" xfId="101"/>
    <cellStyle name="Entrada 3" xfId="132"/>
    <cellStyle name="Entrada 4" xfId="34"/>
    <cellStyle name="Incorrecto 2" xfId="99"/>
    <cellStyle name="Incorrecto 3" xfId="130"/>
    <cellStyle name="Incorrecto 4" xfId="32"/>
    <cellStyle name="Millares" xfId="603" builtinId="3"/>
    <cellStyle name="Neutral 2" xfId="100"/>
    <cellStyle name="Neutral 3" xfId="131"/>
    <cellStyle name="Neutral 4" xfId="33"/>
    <cellStyle name="Normal" xfId="0" builtinId="0"/>
    <cellStyle name="Normal 2" xfId="84"/>
    <cellStyle name="Normal 2 2" xfId="143"/>
    <cellStyle name="Normal 2 2 2" xfId="187"/>
    <cellStyle name="Normal 2 2 2 2" xfId="268"/>
    <cellStyle name="Normal 2 2 2 2 2" xfId="598"/>
    <cellStyle name="Normal 2 2 2 2 3" xfId="433"/>
    <cellStyle name="Normal 2 2 2 3" xfId="517"/>
    <cellStyle name="Normal 2 2 2 4" xfId="352"/>
    <cellStyle name="Normal 2 2 3" xfId="225"/>
    <cellStyle name="Normal 2 2 3 2" xfId="555"/>
    <cellStyle name="Normal 2 2 3 3" xfId="390"/>
    <cellStyle name="Normal 2 2 4" xfId="474"/>
    <cellStyle name="Normal 2 2 5" xfId="309"/>
    <cellStyle name="Normal 2 3" xfId="168"/>
    <cellStyle name="Normal 2 3 2" xfId="250"/>
    <cellStyle name="Normal 2 3 2 2" xfId="580"/>
    <cellStyle name="Normal 2 3 2 3" xfId="415"/>
    <cellStyle name="Normal 2 3 3" xfId="499"/>
    <cellStyle name="Normal 2 3 4" xfId="334"/>
    <cellStyle name="Normal 2 4" xfId="148"/>
    <cellStyle name="Normal 2 4 2" xfId="230"/>
    <cellStyle name="Normal 2 4 2 2" xfId="560"/>
    <cellStyle name="Normal 2 4 2 3" xfId="395"/>
    <cellStyle name="Normal 2 4 3" xfId="479"/>
    <cellStyle name="Normal 2 4 4" xfId="314"/>
    <cellStyle name="Normal 2 5" xfId="207"/>
    <cellStyle name="Normal 2 5 2" xfId="537"/>
    <cellStyle name="Normal 2 5 3" xfId="372"/>
    <cellStyle name="Normal 2 6" xfId="92"/>
    <cellStyle name="Normal 2 6 2" xfId="456"/>
    <cellStyle name="Normal 2 6 3" xfId="291"/>
    <cellStyle name="Normal 2 7" xfId="439"/>
    <cellStyle name="Normal 2 8" xfId="274"/>
    <cellStyle name="Normal 29" xfId="604"/>
    <cellStyle name="Normal 3" xfId="43"/>
    <cellStyle name="Normal 3 2" xfId="85"/>
    <cellStyle name="Normal 3 2 2" xfId="142"/>
    <cellStyle name="Normal 3 2 2 2" xfId="186"/>
    <cellStyle name="Normal 3 2 2 2 2" xfId="267"/>
    <cellStyle name="Normal 3 2 2 2 2 2" xfId="597"/>
    <cellStyle name="Normal 3 2 2 2 2 3" xfId="432"/>
    <cellStyle name="Normal 3 2 2 2 3" xfId="516"/>
    <cellStyle name="Normal 3 2 2 2 4" xfId="351"/>
    <cellStyle name="Normal 3 2 2 3" xfId="224"/>
    <cellStyle name="Normal 3 2 2 3 2" xfId="554"/>
    <cellStyle name="Normal 3 2 2 3 3" xfId="389"/>
    <cellStyle name="Normal 3 2 2 4" xfId="473"/>
    <cellStyle name="Normal 3 2 2 5" xfId="308"/>
    <cellStyle name="Normal 3 2 3" xfId="167"/>
    <cellStyle name="Normal 3 2 3 2" xfId="249"/>
    <cellStyle name="Normal 3 2 3 2 2" xfId="579"/>
    <cellStyle name="Normal 3 2 3 2 3" xfId="414"/>
    <cellStyle name="Normal 3 2 3 3" xfId="498"/>
    <cellStyle name="Normal 3 2 3 4" xfId="333"/>
    <cellStyle name="Normal 3 2 4" xfId="153"/>
    <cellStyle name="Normal 3 2 4 2" xfId="235"/>
    <cellStyle name="Normal 3 2 4 2 2" xfId="565"/>
    <cellStyle name="Normal 3 2 4 2 3" xfId="400"/>
    <cellStyle name="Normal 3 2 4 3" xfId="484"/>
    <cellStyle name="Normal 3 2 4 4" xfId="319"/>
    <cellStyle name="Normal 3 2 5" xfId="206"/>
    <cellStyle name="Normal 3 2 5 2" xfId="536"/>
    <cellStyle name="Normal 3 2 5 3" xfId="371"/>
    <cellStyle name="Normal 3 2 6" xfId="91"/>
    <cellStyle name="Normal 3 2 6 2" xfId="455"/>
    <cellStyle name="Normal 3 2 6 3" xfId="290"/>
    <cellStyle name="Normal 3 2 7" xfId="440"/>
    <cellStyle name="Normal 3 2 8" xfId="275"/>
    <cellStyle name="Normal 3 3" xfId="141"/>
    <cellStyle name="Normal 3 3 2" xfId="185"/>
    <cellStyle name="Normal 3 3 2 2" xfId="266"/>
    <cellStyle name="Normal 3 3 2 2 2" xfId="596"/>
    <cellStyle name="Normal 3 3 2 2 3" xfId="431"/>
    <cellStyle name="Normal 3 3 2 3" xfId="515"/>
    <cellStyle name="Normal 3 3 2 4" xfId="350"/>
    <cellStyle name="Normal 3 3 3" xfId="152"/>
    <cellStyle name="Normal 3 3 3 2" xfId="234"/>
    <cellStyle name="Normal 3 3 3 2 2" xfId="564"/>
    <cellStyle name="Normal 3 3 3 2 3" xfId="399"/>
    <cellStyle name="Normal 3 3 3 3" xfId="483"/>
    <cellStyle name="Normal 3 3 3 4" xfId="318"/>
    <cellStyle name="Normal 3 3 4" xfId="223"/>
    <cellStyle name="Normal 3 3 4 2" xfId="553"/>
    <cellStyle name="Normal 3 3 4 3" xfId="388"/>
    <cellStyle name="Normal 3 3 5" xfId="472"/>
    <cellStyle name="Normal 3 3 6" xfId="307"/>
    <cellStyle name="Normal 3 4" xfId="90"/>
    <cellStyle name="Normal 3 4 2" xfId="166"/>
    <cellStyle name="Normal 3 4 2 2" xfId="248"/>
    <cellStyle name="Normal 3 4 2 2 2" xfId="578"/>
    <cellStyle name="Normal 3 4 2 2 3" xfId="413"/>
    <cellStyle name="Normal 3 4 2 3" xfId="497"/>
    <cellStyle name="Normal 3 4 2 4" xfId="332"/>
    <cellStyle name="Normal 3 4 3" xfId="205"/>
    <cellStyle name="Normal 3 4 3 2" xfId="535"/>
    <cellStyle name="Normal 3 4 3 3" xfId="370"/>
    <cellStyle name="Normal 3 4 4" xfId="454"/>
    <cellStyle name="Normal 3 4 5" xfId="289"/>
    <cellStyle name="Normal 3 5" xfId="149"/>
    <cellStyle name="Normal 3 5 2" xfId="231"/>
    <cellStyle name="Normal 3 5 2 2" xfId="561"/>
    <cellStyle name="Normal 3 5 2 3" xfId="396"/>
    <cellStyle name="Normal 3 5 3" xfId="480"/>
    <cellStyle name="Normal 3 5 4" xfId="315"/>
    <cellStyle name="Normal 3 6" xfId="192"/>
    <cellStyle name="Normal 3 6 2" xfId="522"/>
    <cellStyle name="Normal 3 6 3" xfId="357"/>
    <cellStyle name="Normal 3 7" xfId="89"/>
    <cellStyle name="Normal 3 7 2" xfId="453"/>
    <cellStyle name="Normal 3 7 3" xfId="288"/>
    <cellStyle name="Normal 3 8" xfId="438"/>
    <cellStyle name="Normal 3 9" xfId="273"/>
    <cellStyle name="Normal 4" xfId="124"/>
    <cellStyle name="Normal 4 2" xfId="184"/>
    <cellStyle name="Normal 4 3" xfId="150"/>
    <cellStyle name="Normal 4 3 2" xfId="232"/>
    <cellStyle name="Normal 4 3 2 2" xfId="562"/>
    <cellStyle name="Normal 4 3 2 3" xfId="397"/>
    <cellStyle name="Normal 4 3 3" xfId="481"/>
    <cellStyle name="Normal 4 3 4" xfId="316"/>
    <cellStyle name="Normal 5" xfId="110"/>
    <cellStyle name="Normal 5 2" xfId="145"/>
    <cellStyle name="Normal 5 2 2" xfId="189"/>
    <cellStyle name="Normal 5 2 2 2" xfId="270"/>
    <cellStyle name="Normal 5 2 2 2 2" xfId="600"/>
    <cellStyle name="Normal 5 2 2 2 3" xfId="435"/>
    <cellStyle name="Normal 5 2 2 3" xfId="519"/>
    <cellStyle name="Normal 5 2 2 4" xfId="354"/>
    <cellStyle name="Normal 5 2 3" xfId="227"/>
    <cellStyle name="Normal 5 2 3 2" xfId="557"/>
    <cellStyle name="Normal 5 2 3 3" xfId="392"/>
    <cellStyle name="Normal 5 2 4" xfId="476"/>
    <cellStyle name="Normal 5 2 5" xfId="311"/>
    <cellStyle name="Normal 5 3" xfId="147"/>
    <cellStyle name="Normal 5 3 2" xfId="191"/>
    <cellStyle name="Normal 5 3 2 2" xfId="272"/>
    <cellStyle name="Normal 5 3 2 2 2" xfId="602"/>
    <cellStyle name="Normal 5 3 2 2 3" xfId="437"/>
    <cellStyle name="Normal 5 3 2 3" xfId="521"/>
    <cellStyle name="Normal 5 3 2 4" xfId="356"/>
    <cellStyle name="Normal 5 3 3" xfId="229"/>
    <cellStyle name="Normal 5 3 3 2" xfId="559"/>
    <cellStyle name="Normal 5 3 3 3" xfId="394"/>
    <cellStyle name="Normal 5 3 4" xfId="478"/>
    <cellStyle name="Normal 5 3 5" xfId="313"/>
    <cellStyle name="Normal 5 4" xfId="170"/>
    <cellStyle name="Normal 5 4 2" xfId="252"/>
    <cellStyle name="Normal 5 4 2 2" xfId="582"/>
    <cellStyle name="Normal 5 4 2 3" xfId="417"/>
    <cellStyle name="Normal 5 4 3" xfId="501"/>
    <cellStyle name="Normal 5 4 4" xfId="336"/>
    <cellStyle name="Normal 5 5" xfId="151"/>
    <cellStyle name="Normal 5 5 2" xfId="233"/>
    <cellStyle name="Normal 5 5 2 2" xfId="563"/>
    <cellStyle name="Normal 5 5 2 3" xfId="398"/>
    <cellStyle name="Normal 5 5 3" xfId="482"/>
    <cellStyle name="Normal 5 5 4" xfId="317"/>
    <cellStyle name="Normal 5 6" xfId="209"/>
    <cellStyle name="Normal 5 6 2" xfId="539"/>
    <cellStyle name="Normal 5 6 3" xfId="374"/>
    <cellStyle name="Normal 5 7" xfId="458"/>
    <cellStyle name="Normal 5 8" xfId="293"/>
    <cellStyle name="Normal 6" xfId="146"/>
    <cellStyle name="Normal 6 2" xfId="190"/>
    <cellStyle name="Normal 6 2 2" xfId="271"/>
    <cellStyle name="Normal 6 2 2 2" xfId="601"/>
    <cellStyle name="Normal 6 2 2 3" xfId="436"/>
    <cellStyle name="Normal 6 2 3" xfId="520"/>
    <cellStyle name="Normal 6 2 4" xfId="355"/>
    <cellStyle name="Normal 6 3" xfId="228"/>
    <cellStyle name="Normal 6 3 2" xfId="558"/>
    <cellStyle name="Normal 6 3 3" xfId="393"/>
    <cellStyle name="Normal 6 4" xfId="477"/>
    <cellStyle name="Normal 6 5" xfId="312"/>
    <cellStyle name="Normal 7" xfId="86"/>
    <cellStyle name="Normal 8" xfId="26"/>
    <cellStyle name="Notas 2" xfId="107"/>
    <cellStyle name="Notas 2 2" xfId="144"/>
    <cellStyle name="Notas 2 2 2" xfId="188"/>
    <cellStyle name="Notas 2 2 2 2" xfId="269"/>
    <cellStyle name="Notas 2 2 2 2 2" xfId="599"/>
    <cellStyle name="Notas 2 2 2 2 3" xfId="434"/>
    <cellStyle name="Notas 2 2 2 3" xfId="518"/>
    <cellStyle name="Notas 2 2 2 4" xfId="353"/>
    <cellStyle name="Notas 2 2 3" xfId="226"/>
    <cellStyle name="Notas 2 2 3 2" xfId="556"/>
    <cellStyle name="Notas 2 2 3 3" xfId="391"/>
    <cellStyle name="Notas 2 2 4" xfId="475"/>
    <cellStyle name="Notas 2 2 5" xfId="310"/>
    <cellStyle name="Notas 2 3" xfId="169"/>
    <cellStyle name="Notas 2 3 2" xfId="251"/>
    <cellStyle name="Notas 2 3 2 2" xfId="581"/>
    <cellStyle name="Notas 2 3 2 3" xfId="416"/>
    <cellStyle name="Notas 2 3 3" xfId="500"/>
    <cellStyle name="Notas 2 3 4" xfId="335"/>
    <cellStyle name="Notas 2 4" xfId="208"/>
    <cellStyle name="Notas 2 4 2" xfId="538"/>
    <cellStyle name="Notas 2 4 3" xfId="373"/>
    <cellStyle name="Notas 2 5" xfId="457"/>
    <cellStyle name="Notas 2 6" xfId="292"/>
    <cellStyle name="Notas 3" xfId="138"/>
    <cellStyle name="Notas 4" xfId="111"/>
    <cellStyle name="Notas 4 2" xfId="171"/>
    <cellStyle name="Notas 4 2 2" xfId="253"/>
    <cellStyle name="Notas 4 2 2 2" xfId="583"/>
    <cellStyle name="Notas 4 2 2 3" xfId="418"/>
    <cellStyle name="Notas 4 2 3" xfId="502"/>
    <cellStyle name="Notas 4 2 4" xfId="337"/>
    <cellStyle name="Notas 4 3" xfId="210"/>
    <cellStyle name="Notas 4 3 2" xfId="540"/>
    <cellStyle name="Notas 4 3 3" xfId="375"/>
    <cellStyle name="Notas 4 4" xfId="459"/>
    <cellStyle name="Notas 4 5" xfId="294"/>
    <cellStyle name="Notas 5" xfId="40"/>
    <cellStyle name="Salida 2" xfId="102"/>
    <cellStyle name="Salida 3" xfId="133"/>
    <cellStyle name="Salida 4" xfId="35"/>
    <cellStyle name="SAPBEXaggData" xfId="44"/>
    <cellStyle name="SAPBEXaggDataEmph" xfId="45"/>
    <cellStyle name="SAPBEXaggItem" xfId="46"/>
    <cellStyle name="SAPBEXaggItemX" xfId="47"/>
    <cellStyle name="SAPBEXchaText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tem" xfId="59"/>
    <cellStyle name="SAPBEXfilterText" xfId="60"/>
    <cellStyle name="SAPBEXformats" xfId="61"/>
    <cellStyle name="SAPBEXheaderItem" xfId="62"/>
    <cellStyle name="SAPBEXheaderItem 2" xfId="87"/>
    <cellStyle name="SAPBEXheaderText" xfId="63"/>
    <cellStyle name="SAPBEXheaderText 2" xfId="88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inputData" xfId="72"/>
    <cellStyle name="SAPBEXresData" xfId="73"/>
    <cellStyle name="SAPBEXresDataEmph" xfId="74"/>
    <cellStyle name="SAPBEXresItem" xfId="75"/>
    <cellStyle name="SAPBEXresItemX" xfId="76"/>
    <cellStyle name="SAPBEXstdData" xfId="77"/>
    <cellStyle name="SAPBEXstdDataEmph" xfId="78"/>
    <cellStyle name="SAPBEXstdItem" xfId="79"/>
    <cellStyle name="SAPBEXstdItemX" xfId="80"/>
    <cellStyle name="SAPBEXtitle" xfId="81"/>
    <cellStyle name="SAPBEXundefined" xfId="82"/>
    <cellStyle name="Sheet Title" xfId="83"/>
    <cellStyle name="Texto de advertencia 2" xfId="106"/>
    <cellStyle name="Texto de advertencia 3" xfId="137"/>
    <cellStyle name="Texto de advertencia 4" xfId="39"/>
    <cellStyle name="Texto explicativo 2" xfId="108"/>
    <cellStyle name="Texto explicativo 3" xfId="139"/>
    <cellStyle name="Texto explicativo 4" xfId="41"/>
    <cellStyle name="Título" xfId="1" builtinId="15" customBuiltin="1"/>
    <cellStyle name="Título 1 2" xfId="94"/>
    <cellStyle name="Título 1 3" xfId="125"/>
    <cellStyle name="Título 1 4" xfId="27"/>
    <cellStyle name="Título 2 2" xfId="95"/>
    <cellStyle name="Título 2 3" xfId="126"/>
    <cellStyle name="Título 2 4" xfId="28"/>
    <cellStyle name="Título 3 2" xfId="96"/>
    <cellStyle name="Título 3 3" xfId="127"/>
    <cellStyle name="Título 3 4" xfId="29"/>
    <cellStyle name="Título 4" xfId="93"/>
    <cellStyle name="Total 2" xfId="109"/>
    <cellStyle name="Total 3" xfId="140"/>
    <cellStyle name="Total 4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2" Type="http://schemas.openxmlformats.org/officeDocument/2006/relationships/image" Target="../media/image6.gi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250032</xdr:colOff>
      <xdr:row>1</xdr:row>
      <xdr:rowOff>23814</xdr:rowOff>
    </xdr:from>
    <xdr:to>
      <xdr:col>2</xdr:col>
      <xdr:colOff>742950</xdr:colOff>
      <xdr:row>4</xdr:row>
      <xdr:rowOff>149637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xmlns="" id="{8BB0C1EC-3DCD-4EEE-8439-94AED20EB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2" y="23814"/>
          <a:ext cx="740568" cy="725898"/>
        </a:xfrm>
        <a:prstGeom prst="rect">
          <a:avLst/>
        </a:prstGeom>
      </xdr:spPr>
    </xdr:pic>
    <xdr:clientData/>
  </xdr:twoCellAnchor>
  <xdr:twoCellAnchor>
    <xdr:from>
      <xdr:col>2</xdr:col>
      <xdr:colOff>2018462</xdr:colOff>
      <xdr:row>89</xdr:row>
      <xdr:rowOff>185737</xdr:rowOff>
    </xdr:from>
    <xdr:to>
      <xdr:col>3</xdr:col>
      <xdr:colOff>708358</xdr:colOff>
      <xdr:row>90</xdr:row>
      <xdr:rowOff>0</xdr:rowOff>
    </xdr:to>
    <xdr:cxnSp macro="">
      <xdr:nvCxnSpPr>
        <xdr:cNvPr id="3" name="5 Conector recto"/>
        <xdr:cNvCxnSpPr/>
      </xdr:nvCxnSpPr>
      <xdr:spPr>
        <a:xfrm>
          <a:off x="2323262" y="10615612"/>
          <a:ext cx="3490496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18710</xdr:colOff>
      <xdr:row>2</xdr:row>
      <xdr:rowOff>40058</xdr:rowOff>
    </xdr:from>
    <xdr:to>
      <xdr:col>3</xdr:col>
      <xdr:colOff>306161</xdr:colOff>
      <xdr:row>4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10" y="259133"/>
          <a:ext cx="868476" cy="78861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1196975</xdr:colOff>
      <xdr:row>1</xdr:row>
      <xdr:rowOff>1587</xdr:rowOff>
    </xdr:to>
    <xdr:pic macro="[1]!DesignIconClicked">
      <xdr:nvPicPr>
        <xdr:cNvPr id="5" name="BExY1L7M7O43JDJQRBI0RU7PSBZ2" hidden="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0"/>
          <a:ext cx="1196975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749300</xdr:colOff>
      <xdr:row>1</xdr:row>
      <xdr:rowOff>1587</xdr:rowOff>
    </xdr:to>
    <xdr:pic macro="[1]!DesignIconClicked">
      <xdr:nvPicPr>
        <xdr:cNvPr id="6" name="BEx1IN619J4PXKKZMRK4KVYKNGQQ" hidden="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0"/>
          <a:ext cx="7493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844550</xdr:colOff>
      <xdr:row>1</xdr:row>
      <xdr:rowOff>1587</xdr:rowOff>
    </xdr:to>
    <xdr:pic macro="[1]!DesignIconClicked">
      <xdr:nvPicPr>
        <xdr:cNvPr id="3" name="BExB2U2MEIEGXNJ4V50POCIAVIAV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4550" cy="15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88106</xdr:colOff>
      <xdr:row>2</xdr:row>
      <xdr:rowOff>19648</xdr:rowOff>
    </xdr:from>
    <xdr:to>
      <xdr:col>0</xdr:col>
      <xdr:colOff>1095375</xdr:colOff>
      <xdr:row>4</xdr:row>
      <xdr:rowOff>209550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" y="238723"/>
          <a:ext cx="1007269" cy="78942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3</xdr:col>
      <xdr:colOff>749300</xdr:colOff>
      <xdr:row>1</xdr:row>
      <xdr:rowOff>1587</xdr:rowOff>
    </xdr:to>
    <xdr:pic macro="[1]!DesignIconClicked">
      <xdr:nvPicPr>
        <xdr:cNvPr id="3" name="BExMLKV9F5Q4TDHEU9DYAJN0HO2N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0"/>
          <a:ext cx="1206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3473450</xdr:colOff>
      <xdr:row>1</xdr:row>
      <xdr:rowOff>1587</xdr:rowOff>
    </xdr:to>
    <xdr:pic macro="[1]!DesignIconClicked">
      <xdr:nvPicPr>
        <xdr:cNvPr id="4" name="BEx3O6I8TX3JNRAYR5HIGSAZDTDJ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3325" cy="15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51859</xdr:rowOff>
    </xdr:from>
    <xdr:to>
      <xdr:col>0</xdr:col>
      <xdr:colOff>2579511</xdr:colOff>
      <xdr:row>5</xdr:row>
      <xdr:rowOff>75595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59"/>
          <a:ext cx="2579511" cy="83336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3" name="BExB3JEA8WJWW7ZJJXEIFWLPL6AL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4" name="BEx3DCG31N52PDLPV743MJ4P9VE5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5" name="BExIRADYB4DVAU70DUPZGNQIRIL6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6" name="BExCY8DK05DM5BSEY9N2HOI3KU1R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7" name="BExF5ON7GM7LWROVYTCETT5011BP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8" name="BEx9I7KVCY8TK4AGPU8OJVJD1CZ6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9" name="BExU9T8LJ8EB73V8F77O4P1X1GVF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10" name="BExCTT34E529TWFII0K8S7NM70IW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11" name="BExB3JEA8WJWW7ZJJXEIFWLPL6AL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12" name="BEx3DCG31N52PDLPV743MJ4P9VE5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13" name="BExIRADYB4DVAU70DUPZGNQIRIL6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14" name="BExCY8DK05DM5BSEY9N2HOI3KU1R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15" name="BExF5ON7GM7LWROVYTCETT5011BP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16" name="BEx9I7KVCY8TK4AGPU8OJVJD1CZ6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17" name="BExU9T8LJ8EB73V8F77O4P1X1GVF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18" name="BExCTT34E529TWFII0K8S7NM70IW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19" name="BExB3JEA8WJWW7ZJJXEIFWLPL6AL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20" name="BEx3DCG31N52PDLPV743MJ4P9VE5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21" name="BExIRADYB4DVAU70DUPZGNQIRIL6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22" name="BExCY8DK05DM5BSEY9N2HOI3KU1R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23" name="BExF5ON7GM7LWROVYTCETT5011BP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24" name="BEx9I7KVCY8TK4AGPU8OJVJD1CZ6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25" name="BExU9T8LJ8EB73V8F77O4P1X1GVF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26" name="BExCTT34E529TWFII0K8S7NM70IW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27" name="BEx1NNQKWLSSRTIT7QYKCKQIOYXP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28" name="BExGTR7L2KOVAVR5RGC3Q0ZC7RU1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29" name="BExSBKAGC9649EG55B1JQ8XRMB17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30" name="BEx1UR8AMC26TR8ZHUI9MCBKWHIV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31" name="BEx5B6EQ4ZTDMI23Y7MGCAB697K6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32" name="BExB779J8D4US61G3ZOIJECFEEJL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33" name="BExUCAUHTK39HWQRUZCIORQQ1U3F" descr="SortAscending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0</xdr:colOff>
      <xdr:row>287</xdr:row>
      <xdr:rowOff>0</xdr:rowOff>
    </xdr:from>
    <xdr:to>
      <xdr:col>6</xdr:col>
      <xdr:colOff>3175</xdr:colOff>
      <xdr:row>287</xdr:row>
      <xdr:rowOff>50800</xdr:rowOff>
    </xdr:to>
    <xdr:pic macro="[1]!DesignIconClicked">
      <xdr:nvPicPr>
        <xdr:cNvPr id="34" name="BExIT1MJLRQ2WG0ODXRLSBO35OXT" descr="SortDescendingT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0525" y="50615850"/>
          <a:ext cx="50800" cy="50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204788</xdr:colOff>
      <xdr:row>1</xdr:row>
      <xdr:rowOff>11906</xdr:rowOff>
    </xdr:from>
    <xdr:to>
      <xdr:col>3</xdr:col>
      <xdr:colOff>373341</xdr:colOff>
      <xdr:row>4</xdr:row>
      <xdr:rowOff>21432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8535AF23-32F3-43D4-8CDB-6185ABBD5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11906"/>
          <a:ext cx="616228" cy="495301"/>
        </a:xfrm>
        <a:prstGeom prst="rect">
          <a:avLst/>
        </a:prstGeom>
      </xdr:spPr>
    </xdr:pic>
    <xdr:clientData/>
  </xdr:twoCellAnchor>
  <xdr:twoCellAnchor>
    <xdr:from>
      <xdr:col>3</xdr:col>
      <xdr:colOff>2011949</xdr:colOff>
      <xdr:row>83</xdr:row>
      <xdr:rowOff>176212</xdr:rowOff>
    </xdr:from>
    <xdr:to>
      <xdr:col>6</xdr:col>
      <xdr:colOff>186235</xdr:colOff>
      <xdr:row>83</xdr:row>
      <xdr:rowOff>180975</xdr:rowOff>
    </xdr:to>
    <xdr:cxnSp macro="">
      <xdr:nvCxnSpPr>
        <xdr:cNvPr id="3" name="4 Conector recto"/>
        <xdr:cNvCxnSpPr/>
      </xdr:nvCxnSpPr>
      <xdr:spPr>
        <a:xfrm>
          <a:off x="2516774" y="14101762"/>
          <a:ext cx="2898686" cy="476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1485900</xdr:colOff>
      <xdr:row>69</xdr:row>
      <xdr:rowOff>177800</xdr:rowOff>
    </xdr:to>
    <xdr:pic macro="[1]!DesignIconClicked">
      <xdr:nvPicPr>
        <xdr:cNvPr id="2" name="BExMBRISDUD3PO158VON7RRRINUR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32000" cy="13322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BexGetData"/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91"/>
  <sheetViews>
    <sheetView tabSelected="1" topLeftCell="A2" workbookViewId="0">
      <selection activeCell="A2" sqref="A2"/>
    </sheetView>
  </sheetViews>
  <sheetFormatPr baseColWidth="10" defaultRowHeight="15" x14ac:dyDescent="0.25"/>
  <cols>
    <col min="1" max="1" width="1.5703125" style="139" customWidth="1"/>
    <col min="2" max="2" width="3" style="139" customWidth="1"/>
    <col min="3" max="3" width="72" style="139" customWidth="1"/>
    <col min="4" max="4" width="14.85546875" style="138" customWidth="1"/>
    <col min="5" max="6" width="14.140625" style="138" bestFit="1" customWidth="1"/>
    <col min="7" max="7" width="11.42578125" style="139"/>
    <col min="8" max="8" width="17.5703125" style="139" bestFit="1" customWidth="1"/>
    <col min="9" max="9" width="17.85546875" style="139" bestFit="1" customWidth="1"/>
    <col min="10" max="16384" width="11.42578125" style="139"/>
  </cols>
  <sheetData>
    <row r="1" spans="1:21" ht="15.75" hidden="1" thickBot="1" x14ac:dyDescent="0.3">
      <c r="A1" s="137" t="s">
        <v>342</v>
      </c>
      <c r="B1" s="137" t="s">
        <v>343</v>
      </c>
      <c r="C1" s="137" t="s">
        <v>344</v>
      </c>
      <c r="H1" s="139" t="s">
        <v>345</v>
      </c>
      <c r="I1" s="139" t="s">
        <v>346</v>
      </c>
      <c r="J1" s="139" t="s">
        <v>347</v>
      </c>
      <c r="K1" s="139" t="s">
        <v>44</v>
      </c>
      <c r="L1" s="140">
        <v>42735</v>
      </c>
      <c r="M1" s="139">
        <v>31</v>
      </c>
      <c r="Q1" s="139" t="s">
        <v>345</v>
      </c>
      <c r="T1" s="139" t="s">
        <v>348</v>
      </c>
      <c r="U1" s="139">
        <v>0</v>
      </c>
    </row>
    <row r="2" spans="1:21" ht="18" x14ac:dyDescent="0.2">
      <c r="B2" s="240" t="s">
        <v>0</v>
      </c>
      <c r="C2" s="241"/>
      <c r="D2" s="241"/>
      <c r="E2" s="241"/>
      <c r="F2" s="242"/>
    </row>
    <row r="3" spans="1:21" ht="15.75" x14ac:dyDescent="0.2">
      <c r="B3" s="243" t="s">
        <v>349</v>
      </c>
      <c r="C3" s="244"/>
      <c r="D3" s="244"/>
      <c r="E3" s="244"/>
      <c r="F3" s="245"/>
    </row>
    <row r="4" spans="1:21" ht="12.75" x14ac:dyDescent="0.2">
      <c r="B4" s="246" t="s">
        <v>350</v>
      </c>
      <c r="C4" s="247"/>
      <c r="D4" s="247"/>
      <c r="E4" s="247"/>
      <c r="F4" s="248"/>
    </row>
    <row r="5" spans="1:21" ht="13.5" thickBot="1" x14ac:dyDescent="0.25">
      <c r="B5" s="249"/>
      <c r="C5" s="250"/>
      <c r="D5" s="250"/>
      <c r="E5" s="250"/>
      <c r="F5" s="251"/>
    </row>
    <row r="6" spans="1:21" ht="3" customHeight="1" thickBot="1" x14ac:dyDescent="0.25">
      <c r="B6" s="141"/>
      <c r="C6" s="141"/>
      <c r="D6" s="142"/>
      <c r="E6" s="142"/>
      <c r="F6" s="142"/>
    </row>
    <row r="7" spans="1:21" ht="12.75" x14ac:dyDescent="0.2">
      <c r="B7" s="252" t="s">
        <v>351</v>
      </c>
      <c r="C7" s="253"/>
      <c r="D7" s="143" t="s">
        <v>352</v>
      </c>
      <c r="E7" s="256" t="s">
        <v>7</v>
      </c>
      <c r="F7" s="143" t="s">
        <v>353</v>
      </c>
    </row>
    <row r="8" spans="1:21" ht="13.5" thickBot="1" x14ac:dyDescent="0.25">
      <c r="B8" s="254"/>
      <c r="C8" s="255"/>
      <c r="D8" s="144" t="s">
        <v>354</v>
      </c>
      <c r="E8" s="257"/>
      <c r="F8" s="144" t="s">
        <v>355</v>
      </c>
    </row>
    <row r="9" spans="1:21" ht="3" customHeight="1" x14ac:dyDescent="0.2">
      <c r="B9" s="145"/>
      <c r="C9" s="146"/>
      <c r="D9" s="147"/>
      <c r="E9" s="147"/>
      <c r="F9" s="147"/>
    </row>
    <row r="10" spans="1:21" ht="12.75" x14ac:dyDescent="0.2">
      <c r="B10" s="145"/>
      <c r="C10" s="148" t="s">
        <v>356</v>
      </c>
      <c r="D10" s="147">
        <f>SUM(D11:D13)</f>
        <v>55029207896</v>
      </c>
      <c r="E10" s="147">
        <f t="shared" ref="E10:F10" si="0">SUM(E11:E13)</f>
        <v>14710725048</v>
      </c>
      <c r="F10" s="147">
        <f t="shared" si="0"/>
        <v>14710725048</v>
      </c>
      <c r="H10" s="149"/>
    </row>
    <row r="11" spans="1:21" ht="12.75" x14ac:dyDescent="0.2">
      <c r="B11" s="145"/>
      <c r="C11" s="150" t="s">
        <v>357</v>
      </c>
      <c r="D11" s="151">
        <v>31863449021</v>
      </c>
      <c r="E11" s="151">
        <v>9559745430</v>
      </c>
      <c r="F11" s="151">
        <v>9559745430</v>
      </c>
    </row>
    <row r="12" spans="1:21" ht="12.75" x14ac:dyDescent="0.2">
      <c r="B12" s="145"/>
      <c r="C12" s="150" t="s">
        <v>358</v>
      </c>
      <c r="D12" s="151">
        <v>20088430923</v>
      </c>
      <c r="E12" s="151">
        <v>5485045347</v>
      </c>
      <c r="F12" s="151">
        <v>5485045347</v>
      </c>
    </row>
    <row r="13" spans="1:21" ht="12.75" x14ac:dyDescent="0.2">
      <c r="B13" s="145"/>
      <c r="C13" s="150" t="s">
        <v>359</v>
      </c>
      <c r="D13" s="151">
        <f>D49</f>
        <v>3077327952</v>
      </c>
      <c r="E13" s="151">
        <f>E49</f>
        <v>-334065729</v>
      </c>
      <c r="F13" s="151">
        <f>F49</f>
        <v>-334065729</v>
      </c>
    </row>
    <row r="14" spans="1:21" ht="6" customHeight="1" x14ac:dyDescent="0.2">
      <c r="B14" s="152"/>
      <c r="C14" s="153"/>
      <c r="D14" s="147"/>
      <c r="E14" s="147"/>
      <c r="F14" s="147"/>
    </row>
    <row r="15" spans="1:21" ht="12.75" x14ac:dyDescent="0.2">
      <c r="B15" s="152"/>
      <c r="C15" s="148" t="s">
        <v>360</v>
      </c>
      <c r="D15" s="147">
        <f>SUM(D16:D17)</f>
        <v>55029207896</v>
      </c>
      <c r="E15" s="147">
        <f t="shared" ref="E15:F15" si="1">SUM(E16:E17)</f>
        <v>14957057774</v>
      </c>
      <c r="F15" s="147">
        <f t="shared" si="1"/>
        <v>13736548797</v>
      </c>
      <c r="H15" s="154"/>
      <c r="I15" s="149"/>
    </row>
    <row r="16" spans="1:21" ht="12.75" x14ac:dyDescent="0.2">
      <c r="B16" s="145"/>
      <c r="C16" s="150" t="s">
        <v>361</v>
      </c>
      <c r="D16" s="155">
        <v>35022767917</v>
      </c>
      <c r="E16" s="155">
        <f>11977103926-E46</f>
        <v>9626887355</v>
      </c>
      <c r="F16" s="155">
        <f>10968532327-F46</f>
        <v>8618315756</v>
      </c>
      <c r="H16" s="156"/>
    </row>
    <row r="17" spans="2:8" ht="12.75" x14ac:dyDescent="0.2">
      <c r="B17" s="145"/>
      <c r="C17" s="150" t="s">
        <v>362</v>
      </c>
      <c r="D17" s="155">
        <v>20006439979</v>
      </c>
      <c r="E17" s="155">
        <f>5330170419-E47</f>
        <v>5330170419</v>
      </c>
      <c r="F17" s="155">
        <f>5118233041-F47</f>
        <v>5118233041</v>
      </c>
      <c r="H17" s="154"/>
    </row>
    <row r="18" spans="2:8" ht="9" hidden="1" customHeight="1" x14ac:dyDescent="0.2">
      <c r="B18" s="145"/>
      <c r="C18" s="146"/>
      <c r="D18" s="147"/>
      <c r="E18" s="147"/>
      <c r="F18" s="147"/>
      <c r="H18" s="154"/>
    </row>
    <row r="19" spans="2:8" ht="12.75" x14ac:dyDescent="0.2">
      <c r="B19" s="145"/>
      <c r="C19" s="148" t="s">
        <v>363</v>
      </c>
      <c r="D19" s="147">
        <f>SUM(D20:D21)</f>
        <v>0</v>
      </c>
      <c r="E19" s="147">
        <f t="shared" ref="E19:F19" si="2">SUM(E20:E21)</f>
        <v>0</v>
      </c>
      <c r="F19" s="147">
        <f t="shared" si="2"/>
        <v>0</v>
      </c>
    </row>
    <row r="20" spans="2:8" ht="12.75" x14ac:dyDescent="0.2">
      <c r="B20" s="145"/>
      <c r="C20" s="150" t="s">
        <v>364</v>
      </c>
      <c r="D20" s="147"/>
      <c r="E20" s="147"/>
      <c r="F20" s="147"/>
    </row>
    <row r="21" spans="2:8" ht="12.75" x14ac:dyDescent="0.2">
      <c r="B21" s="145"/>
      <c r="C21" s="150" t="s">
        <v>365</v>
      </c>
      <c r="D21" s="147"/>
      <c r="E21" s="147"/>
      <c r="F21" s="147"/>
    </row>
    <row r="22" spans="2:8" ht="9.75" hidden="1" customHeight="1" x14ac:dyDescent="0.2">
      <c r="B22" s="145"/>
      <c r="C22" s="146"/>
      <c r="D22" s="147"/>
      <c r="E22" s="147"/>
      <c r="F22" s="147"/>
    </row>
    <row r="23" spans="2:8" ht="12.75" x14ac:dyDescent="0.2">
      <c r="B23" s="235"/>
      <c r="C23" s="148" t="s">
        <v>366</v>
      </c>
      <c r="D23" s="155">
        <f>+D10-D15+D19</f>
        <v>0</v>
      </c>
      <c r="E23" s="155">
        <f t="shared" ref="E23:F23" si="3">+E10-E15+E19</f>
        <v>-246332726</v>
      </c>
      <c r="F23" s="155">
        <f t="shared" si="3"/>
        <v>974176251</v>
      </c>
    </row>
    <row r="24" spans="2:8" ht="3.75" customHeight="1" x14ac:dyDescent="0.2">
      <c r="B24" s="235"/>
      <c r="C24" s="148"/>
      <c r="D24" s="155"/>
      <c r="E24" s="155"/>
      <c r="F24" s="155"/>
    </row>
    <row r="25" spans="2:8" ht="12.75" x14ac:dyDescent="0.2">
      <c r="B25" s="235"/>
      <c r="C25" s="148" t="s">
        <v>367</v>
      </c>
      <c r="D25" s="155">
        <f>+D23-D13</f>
        <v>-3077327952</v>
      </c>
      <c r="E25" s="155">
        <f t="shared" ref="E25:F25" si="4">+E23-E13</f>
        <v>87733003</v>
      </c>
      <c r="F25" s="155">
        <f t="shared" si="4"/>
        <v>1308241980</v>
      </c>
    </row>
    <row r="26" spans="2:8" ht="3.75" customHeight="1" x14ac:dyDescent="0.2">
      <c r="B26" s="235"/>
      <c r="C26" s="148"/>
      <c r="D26" s="155"/>
      <c r="E26" s="155"/>
      <c r="F26" s="155"/>
    </row>
    <row r="27" spans="2:8" ht="28.5" customHeight="1" x14ac:dyDescent="0.2">
      <c r="B27" s="145"/>
      <c r="C27" s="148" t="s">
        <v>368</v>
      </c>
      <c r="D27" s="155">
        <f>+D25-D19</f>
        <v>-3077327952</v>
      </c>
      <c r="E27" s="155">
        <f t="shared" ref="E27:F27" si="5">+E25-E19</f>
        <v>87733003</v>
      </c>
      <c r="F27" s="155">
        <f t="shared" si="5"/>
        <v>1308241980</v>
      </c>
    </row>
    <row r="28" spans="2:8" ht="3" customHeight="1" thickBot="1" x14ac:dyDescent="0.25">
      <c r="B28" s="157"/>
      <c r="C28" s="158"/>
      <c r="D28" s="159"/>
      <c r="E28" s="159"/>
      <c r="F28" s="159"/>
    </row>
    <row r="29" spans="2:8" ht="4.5" customHeight="1" thickBot="1" x14ac:dyDescent="0.25">
      <c r="B29" s="236"/>
      <c r="C29" s="236"/>
      <c r="D29" s="236"/>
      <c r="E29" s="236"/>
      <c r="F29" s="236"/>
    </row>
    <row r="30" spans="2:8" ht="13.5" thickBot="1" x14ac:dyDescent="0.25">
      <c r="B30" s="237" t="s">
        <v>369</v>
      </c>
      <c r="C30" s="238"/>
      <c r="D30" s="160" t="s">
        <v>370</v>
      </c>
      <c r="E30" s="160" t="s">
        <v>7</v>
      </c>
      <c r="F30" s="160" t="s">
        <v>371</v>
      </c>
    </row>
    <row r="31" spans="2:8" ht="12.75" hidden="1" x14ac:dyDescent="0.2">
      <c r="B31" s="145"/>
      <c r="C31" s="146"/>
      <c r="D31" s="147"/>
      <c r="E31" s="147"/>
      <c r="F31" s="147"/>
    </row>
    <row r="32" spans="2:8" ht="12.75" x14ac:dyDescent="0.2">
      <c r="B32" s="239"/>
      <c r="C32" s="148" t="s">
        <v>372</v>
      </c>
      <c r="D32" s="151">
        <f>SUM(D33:D34)</f>
        <v>1385357204.4899998</v>
      </c>
      <c r="E32" s="151">
        <f t="shared" ref="E32:F32" si="6">SUM(E33:E34)</f>
        <v>432974420</v>
      </c>
      <c r="F32" s="151">
        <f t="shared" si="6"/>
        <v>432046420</v>
      </c>
    </row>
    <row r="33" spans="2:6" ht="12.75" x14ac:dyDescent="0.2">
      <c r="B33" s="239"/>
      <c r="C33" s="150" t="s">
        <v>373</v>
      </c>
      <c r="D33" s="161">
        <v>1311251797.4899998</v>
      </c>
      <c r="E33" s="155">
        <v>432974420</v>
      </c>
      <c r="F33" s="155">
        <v>432046420</v>
      </c>
    </row>
    <row r="34" spans="2:6" ht="12.75" x14ac:dyDescent="0.2">
      <c r="B34" s="239"/>
      <c r="C34" s="150" t="s">
        <v>374</v>
      </c>
      <c r="D34" s="161">
        <v>74105407</v>
      </c>
      <c r="E34" s="155">
        <v>0</v>
      </c>
      <c r="F34" s="155">
        <v>0</v>
      </c>
    </row>
    <row r="35" spans="2:6" ht="12.75" hidden="1" x14ac:dyDescent="0.2">
      <c r="B35" s="152"/>
      <c r="C35" s="148"/>
      <c r="D35" s="147"/>
      <c r="E35" s="147"/>
      <c r="F35" s="147"/>
    </row>
    <row r="36" spans="2:6" ht="12.75" x14ac:dyDescent="0.2">
      <c r="B36" s="152"/>
      <c r="C36" s="148" t="s">
        <v>375</v>
      </c>
      <c r="D36" s="162">
        <f>+D27+D32</f>
        <v>-1691970747.5100002</v>
      </c>
      <c r="E36" s="162">
        <f t="shared" ref="E36:F36" si="7">+E27+E32</f>
        <v>520707423</v>
      </c>
      <c r="F36" s="162">
        <f t="shared" si="7"/>
        <v>1740288400</v>
      </c>
    </row>
    <row r="37" spans="2:6" ht="2.25" customHeight="1" thickBot="1" x14ac:dyDescent="0.25">
      <c r="B37" s="163"/>
      <c r="C37" s="158"/>
      <c r="D37" s="164"/>
      <c r="E37" s="164"/>
      <c r="F37" s="164"/>
    </row>
    <row r="38" spans="2:6" ht="4.5" customHeight="1" thickBot="1" x14ac:dyDescent="0.25">
      <c r="B38" s="165"/>
      <c r="C38" s="165"/>
      <c r="D38" s="166"/>
      <c r="E38" s="166"/>
      <c r="F38" s="166"/>
    </row>
    <row r="39" spans="2:6" ht="12.75" x14ac:dyDescent="0.2">
      <c r="B39" s="230" t="s">
        <v>369</v>
      </c>
      <c r="C39" s="231"/>
      <c r="D39" s="233" t="s">
        <v>376</v>
      </c>
      <c r="E39" s="228" t="s">
        <v>7</v>
      </c>
      <c r="F39" s="167" t="s">
        <v>353</v>
      </c>
    </row>
    <row r="40" spans="2:6" ht="13.5" thickBot="1" x14ac:dyDescent="0.25">
      <c r="B40" s="222"/>
      <c r="C40" s="232"/>
      <c r="D40" s="234"/>
      <c r="E40" s="229"/>
      <c r="F40" s="168" t="s">
        <v>371</v>
      </c>
    </row>
    <row r="41" spans="2:6" ht="3" customHeight="1" x14ac:dyDescent="0.2">
      <c r="B41" s="169"/>
      <c r="C41" s="170"/>
      <c r="D41" s="171"/>
      <c r="E41" s="171"/>
      <c r="F41" s="171"/>
    </row>
    <row r="42" spans="2:6" ht="12.75" x14ac:dyDescent="0.2">
      <c r="B42" s="172"/>
      <c r="C42" s="173" t="s">
        <v>377</v>
      </c>
      <c r="D42" s="171">
        <f>SUM(D43:D44)</f>
        <v>4500000000</v>
      </c>
      <c r="E42" s="171">
        <f t="shared" ref="E42:F42" si="8">SUM(E43:E44)</f>
        <v>2016150842</v>
      </c>
      <c r="F42" s="171">
        <f t="shared" si="8"/>
        <v>2016150842</v>
      </c>
    </row>
    <row r="43" spans="2:6" ht="12.75" x14ac:dyDescent="0.2">
      <c r="B43" s="226"/>
      <c r="C43" s="150" t="s">
        <v>378</v>
      </c>
      <c r="D43" s="155">
        <v>4500000000</v>
      </c>
      <c r="E43" s="155">
        <v>2016150842</v>
      </c>
      <c r="F43" s="155">
        <v>2016150842</v>
      </c>
    </row>
    <row r="44" spans="2:6" ht="12.75" x14ac:dyDescent="0.2">
      <c r="B44" s="226"/>
      <c r="C44" s="150" t="s">
        <v>379</v>
      </c>
      <c r="D44" s="174" t="s">
        <v>380</v>
      </c>
      <c r="E44" s="174" t="s">
        <v>380</v>
      </c>
      <c r="F44" s="174"/>
    </row>
    <row r="45" spans="2:6" ht="12.75" x14ac:dyDescent="0.2">
      <c r="B45" s="221"/>
      <c r="C45" s="173" t="s">
        <v>381</v>
      </c>
      <c r="D45" s="174">
        <f>SUM(D46:D47)</f>
        <v>1422672048</v>
      </c>
      <c r="E45" s="174">
        <f t="shared" ref="E45:F45" si="9">SUM(E46:E47)</f>
        <v>2350216571</v>
      </c>
      <c r="F45" s="174">
        <f t="shared" si="9"/>
        <v>2350216571</v>
      </c>
    </row>
    <row r="46" spans="2:6" ht="12.75" x14ac:dyDescent="0.2">
      <c r="B46" s="221"/>
      <c r="C46" s="150" t="s">
        <v>382</v>
      </c>
      <c r="D46" s="175">
        <v>1342646952</v>
      </c>
      <c r="E46" s="176">
        <v>2350216571</v>
      </c>
      <c r="F46" s="176">
        <v>2350216571</v>
      </c>
    </row>
    <row r="47" spans="2:6" ht="12.75" x14ac:dyDescent="0.2">
      <c r="B47" s="221"/>
      <c r="C47" s="150" t="s">
        <v>383</v>
      </c>
      <c r="D47" s="175">
        <v>80025096</v>
      </c>
      <c r="E47" s="176">
        <v>0</v>
      </c>
      <c r="F47" s="176">
        <v>0</v>
      </c>
    </row>
    <row r="48" spans="2:6" ht="12.75" hidden="1" x14ac:dyDescent="0.2">
      <c r="B48" s="172"/>
      <c r="C48" s="173"/>
      <c r="D48" s="171"/>
      <c r="E48" s="171"/>
      <c r="F48" s="171"/>
    </row>
    <row r="49" spans="2:6" ht="12.75" x14ac:dyDescent="0.2">
      <c r="B49" s="221"/>
      <c r="C49" s="173" t="s">
        <v>384</v>
      </c>
      <c r="D49" s="177">
        <f>+D42-D45</f>
        <v>3077327952</v>
      </c>
      <c r="E49" s="177">
        <f t="shared" ref="E49:F49" si="10">+E42-E45</f>
        <v>-334065729</v>
      </c>
      <c r="F49" s="177">
        <f t="shared" si="10"/>
        <v>-334065729</v>
      </c>
    </row>
    <row r="50" spans="2:6" ht="2.25" customHeight="1" thickBot="1" x14ac:dyDescent="0.25">
      <c r="B50" s="222"/>
      <c r="C50" s="178"/>
      <c r="D50" s="179"/>
      <c r="E50" s="179"/>
      <c r="F50" s="179"/>
    </row>
    <row r="51" spans="2:6" ht="4.5" customHeight="1" thickBot="1" x14ac:dyDescent="0.25">
      <c r="B51" s="165"/>
      <c r="C51" s="165"/>
      <c r="D51" s="166"/>
      <c r="E51" s="166"/>
      <c r="F51" s="166"/>
    </row>
    <row r="52" spans="2:6" ht="12.75" x14ac:dyDescent="0.2">
      <c r="B52" s="230" t="s">
        <v>369</v>
      </c>
      <c r="C52" s="231"/>
      <c r="D52" s="167" t="s">
        <v>352</v>
      </c>
      <c r="E52" s="228" t="s">
        <v>7</v>
      </c>
      <c r="F52" s="167" t="s">
        <v>353</v>
      </c>
    </row>
    <row r="53" spans="2:6" ht="13.5" thickBot="1" x14ac:dyDescent="0.25">
      <c r="B53" s="222"/>
      <c r="C53" s="232"/>
      <c r="D53" s="168" t="s">
        <v>370</v>
      </c>
      <c r="E53" s="229"/>
      <c r="F53" s="168" t="s">
        <v>371</v>
      </c>
    </row>
    <row r="54" spans="2:6" ht="12.75" hidden="1" x14ac:dyDescent="0.2">
      <c r="B54" s="224"/>
      <c r="C54" s="225"/>
      <c r="D54" s="171"/>
      <c r="E54" s="171"/>
      <c r="F54" s="171"/>
    </row>
    <row r="55" spans="2:6" ht="12.75" x14ac:dyDescent="0.2">
      <c r="B55" s="226"/>
      <c r="C55" s="150" t="s">
        <v>385</v>
      </c>
      <c r="D55" s="180">
        <f>D11</f>
        <v>31863449021</v>
      </c>
      <c r="E55" s="180">
        <f>E11</f>
        <v>9559745430</v>
      </c>
      <c r="F55" s="180">
        <f>F11</f>
        <v>9559745430</v>
      </c>
    </row>
    <row r="56" spans="2:6" ht="12.75" hidden="1" x14ac:dyDescent="0.2">
      <c r="B56" s="226"/>
      <c r="C56" s="150"/>
      <c r="D56" s="180"/>
      <c r="E56" s="180"/>
      <c r="F56" s="180"/>
    </row>
    <row r="57" spans="2:6" ht="24" x14ac:dyDescent="0.2">
      <c r="B57" s="226"/>
      <c r="C57" s="181" t="s">
        <v>386</v>
      </c>
      <c r="D57" s="182">
        <f>+D58-D59</f>
        <v>3157353048</v>
      </c>
      <c r="E57" s="182">
        <f t="shared" ref="E57:F57" si="11">+E58-E59</f>
        <v>-334065729</v>
      </c>
      <c r="F57" s="182">
        <f t="shared" si="11"/>
        <v>-334065729</v>
      </c>
    </row>
    <row r="58" spans="2:6" ht="12.75" x14ac:dyDescent="0.2">
      <c r="B58" s="226"/>
      <c r="C58" s="150" t="s">
        <v>378</v>
      </c>
      <c r="D58" s="175">
        <v>4500000000</v>
      </c>
      <c r="E58" s="176">
        <f>E43</f>
        <v>2016150842</v>
      </c>
      <c r="F58" s="176">
        <f>F43</f>
        <v>2016150842</v>
      </c>
    </row>
    <row r="59" spans="2:6" ht="12.75" x14ac:dyDescent="0.2">
      <c r="B59" s="226"/>
      <c r="C59" s="150" t="s">
        <v>382</v>
      </c>
      <c r="D59" s="175">
        <v>1342646952</v>
      </c>
      <c r="E59" s="176">
        <f>E46</f>
        <v>2350216571</v>
      </c>
      <c r="F59" s="176">
        <f>F46</f>
        <v>2350216571</v>
      </c>
    </row>
    <row r="60" spans="2:6" ht="12.75" hidden="1" x14ac:dyDescent="0.2">
      <c r="B60" s="226"/>
      <c r="C60" s="183"/>
      <c r="D60" s="174">
        <v>0</v>
      </c>
      <c r="E60" s="174">
        <v>0</v>
      </c>
      <c r="F60" s="174">
        <v>0</v>
      </c>
    </row>
    <row r="61" spans="2:6" ht="12.75" x14ac:dyDescent="0.2">
      <c r="B61" s="169"/>
      <c r="C61" s="150" t="s">
        <v>361</v>
      </c>
      <c r="D61" s="171">
        <f>D16</f>
        <v>35022767917</v>
      </c>
      <c r="E61" s="171">
        <f>E16</f>
        <v>9626887355</v>
      </c>
      <c r="F61" s="171">
        <f>F16</f>
        <v>8618315756</v>
      </c>
    </row>
    <row r="62" spans="2:6" ht="12.75" hidden="1" x14ac:dyDescent="0.2">
      <c r="B62" s="169"/>
      <c r="C62" s="183"/>
      <c r="D62" s="171" t="s">
        <v>387</v>
      </c>
      <c r="E62" s="171" t="s">
        <v>387</v>
      </c>
      <c r="F62" s="171" t="s">
        <v>387</v>
      </c>
    </row>
    <row r="63" spans="2:6" ht="12.75" x14ac:dyDescent="0.2">
      <c r="B63" s="169"/>
      <c r="C63" s="150" t="s">
        <v>364</v>
      </c>
      <c r="D63" s="184">
        <v>0</v>
      </c>
      <c r="E63" s="184">
        <v>0</v>
      </c>
      <c r="F63" s="184">
        <v>0</v>
      </c>
    </row>
    <row r="64" spans="2:6" ht="12.75" hidden="1" x14ac:dyDescent="0.2">
      <c r="B64" s="169"/>
      <c r="C64" s="183"/>
      <c r="D64" s="171"/>
      <c r="E64" s="171"/>
      <c r="F64" s="171"/>
    </row>
    <row r="65" spans="2:7" ht="12.75" x14ac:dyDescent="0.2">
      <c r="B65" s="221"/>
      <c r="C65" s="185" t="s">
        <v>388</v>
      </c>
      <c r="D65" s="177">
        <f>+D55+D57-D61+D63</f>
        <v>-1965848</v>
      </c>
      <c r="E65" s="177">
        <f t="shared" ref="E65:F65" si="12">+E55+E57-E61+E63</f>
        <v>-401207654</v>
      </c>
      <c r="F65" s="177">
        <f t="shared" si="12"/>
        <v>607363945</v>
      </c>
    </row>
    <row r="66" spans="2:7" ht="12.75" hidden="1" x14ac:dyDescent="0.2">
      <c r="B66" s="221"/>
      <c r="C66" s="185"/>
      <c r="D66" s="177"/>
      <c r="E66" s="177"/>
      <c r="F66" s="177"/>
    </row>
    <row r="67" spans="2:7" ht="12.75" x14ac:dyDescent="0.2">
      <c r="B67" s="221"/>
      <c r="C67" s="185" t="s">
        <v>389</v>
      </c>
      <c r="D67" s="177">
        <f>+D65-D57</f>
        <v>-3159318896</v>
      </c>
      <c r="E67" s="177">
        <f t="shared" ref="E67:F67" si="13">+E65-E57</f>
        <v>-67141925</v>
      </c>
      <c r="F67" s="177">
        <f t="shared" si="13"/>
        <v>941429674</v>
      </c>
    </row>
    <row r="68" spans="2:7" ht="3.75" customHeight="1" thickBot="1" x14ac:dyDescent="0.25">
      <c r="B68" s="222"/>
      <c r="C68" s="186"/>
      <c r="D68" s="179"/>
      <c r="E68" s="179"/>
      <c r="F68" s="179"/>
    </row>
    <row r="69" spans="2:7" ht="3.75" customHeight="1" thickBot="1" x14ac:dyDescent="0.25">
      <c r="B69" s="165"/>
      <c r="C69" s="165"/>
      <c r="D69" s="166"/>
      <c r="E69" s="166"/>
      <c r="F69" s="166"/>
    </row>
    <row r="70" spans="2:7" ht="12.75" x14ac:dyDescent="0.2">
      <c r="B70" s="230" t="s">
        <v>369</v>
      </c>
      <c r="C70" s="231"/>
      <c r="D70" s="233" t="s">
        <v>376</v>
      </c>
      <c r="E70" s="228" t="s">
        <v>7</v>
      </c>
      <c r="F70" s="167" t="s">
        <v>353</v>
      </c>
    </row>
    <row r="71" spans="2:7" ht="13.5" thickBot="1" x14ac:dyDescent="0.25">
      <c r="B71" s="222"/>
      <c r="C71" s="232"/>
      <c r="D71" s="234"/>
      <c r="E71" s="229"/>
      <c r="F71" s="168" t="s">
        <v>371</v>
      </c>
    </row>
    <row r="72" spans="2:7" ht="12.75" hidden="1" x14ac:dyDescent="0.2">
      <c r="B72" s="224"/>
      <c r="C72" s="225"/>
      <c r="D72" s="171"/>
      <c r="E72" s="171"/>
      <c r="F72" s="171"/>
    </row>
    <row r="73" spans="2:7" x14ac:dyDescent="0.2">
      <c r="B73" s="226"/>
      <c r="C73" s="150" t="s">
        <v>358</v>
      </c>
      <c r="D73" s="227">
        <f>D12</f>
        <v>20088430923</v>
      </c>
      <c r="E73" s="227">
        <f>E12</f>
        <v>5485045347</v>
      </c>
      <c r="F73" s="227">
        <f>F12</f>
        <v>5485045347</v>
      </c>
      <c r="G73" s="187"/>
    </row>
    <row r="74" spans="2:7" hidden="1" x14ac:dyDescent="0.2">
      <c r="B74" s="226"/>
      <c r="C74" s="150"/>
      <c r="D74" s="227"/>
      <c r="E74" s="227"/>
      <c r="F74" s="227"/>
      <c r="G74" s="187"/>
    </row>
    <row r="75" spans="2:7" ht="24" x14ac:dyDescent="0.2">
      <c r="B75" s="226"/>
      <c r="C75" s="181" t="s">
        <v>390</v>
      </c>
      <c r="D75" s="174">
        <f>+D76-D77</f>
        <v>-80025096</v>
      </c>
      <c r="E75" s="174">
        <f t="shared" ref="E75:F75" si="14">+E76-E77</f>
        <v>0</v>
      </c>
      <c r="F75" s="174">
        <f t="shared" si="14"/>
        <v>0</v>
      </c>
    </row>
    <row r="76" spans="2:7" ht="12.75" x14ac:dyDescent="0.2">
      <c r="B76" s="226"/>
      <c r="C76" s="150" t="s">
        <v>379</v>
      </c>
      <c r="D76" s="175">
        <v>0</v>
      </c>
      <c r="E76" s="176">
        <v>0</v>
      </c>
      <c r="F76" s="176">
        <v>0</v>
      </c>
    </row>
    <row r="77" spans="2:7" ht="12.75" x14ac:dyDescent="0.2">
      <c r="B77" s="226"/>
      <c r="C77" s="150" t="s">
        <v>383</v>
      </c>
      <c r="D77" s="175">
        <f>D47</f>
        <v>80025096</v>
      </c>
      <c r="E77" s="176">
        <f>E47</f>
        <v>0</v>
      </c>
      <c r="F77" s="176">
        <v>0</v>
      </c>
    </row>
    <row r="78" spans="2:7" ht="12.75" hidden="1" x14ac:dyDescent="0.2">
      <c r="B78" s="226"/>
      <c r="C78" s="183"/>
      <c r="D78" s="174">
        <v>0</v>
      </c>
      <c r="E78" s="174">
        <v>0</v>
      </c>
      <c r="F78" s="174">
        <v>0</v>
      </c>
    </row>
    <row r="79" spans="2:7" ht="12.75" x14ac:dyDescent="0.2">
      <c r="B79" s="169"/>
      <c r="C79" s="150" t="s">
        <v>391</v>
      </c>
      <c r="D79" s="175">
        <f>D17</f>
        <v>20006439979</v>
      </c>
      <c r="E79" s="176">
        <f>E17</f>
        <v>5330170419</v>
      </c>
      <c r="F79" s="176">
        <f>F17</f>
        <v>5118233041</v>
      </c>
    </row>
    <row r="80" spans="2:7" ht="12.75" hidden="1" x14ac:dyDescent="0.2">
      <c r="B80" s="169"/>
      <c r="C80" s="183"/>
      <c r="D80" s="188"/>
      <c r="E80" s="188"/>
      <c r="F80" s="188"/>
    </row>
    <row r="81" spans="2:11" ht="12.75" x14ac:dyDescent="0.2">
      <c r="B81" s="169"/>
      <c r="C81" s="150" t="s">
        <v>365</v>
      </c>
      <c r="D81" s="175">
        <v>0</v>
      </c>
      <c r="E81" s="176">
        <v>0</v>
      </c>
      <c r="F81" s="176">
        <v>0</v>
      </c>
    </row>
    <row r="82" spans="2:11" ht="12.75" hidden="1" x14ac:dyDescent="0.2">
      <c r="B82" s="169"/>
      <c r="C82" s="183"/>
      <c r="D82" s="171"/>
      <c r="E82" s="171"/>
      <c r="F82" s="171"/>
    </row>
    <row r="83" spans="2:11" ht="12.75" x14ac:dyDescent="0.2">
      <c r="B83" s="221"/>
      <c r="C83" s="185" t="s">
        <v>392</v>
      </c>
      <c r="D83" s="174">
        <f>+D73+D75-D79+D81</f>
        <v>1965848</v>
      </c>
      <c r="E83" s="174">
        <f t="shared" ref="E83:F83" si="15">+E73+E75-E79+E81</f>
        <v>154874928</v>
      </c>
      <c r="F83" s="174">
        <f t="shared" si="15"/>
        <v>366812306</v>
      </c>
    </row>
    <row r="84" spans="2:11" ht="12.75" hidden="1" x14ac:dyDescent="0.2">
      <c r="B84" s="221"/>
      <c r="C84" s="185"/>
      <c r="D84" s="177"/>
      <c r="E84" s="177"/>
      <c r="F84" s="177"/>
    </row>
    <row r="85" spans="2:11" ht="12.75" x14ac:dyDescent="0.2">
      <c r="B85" s="221"/>
      <c r="C85" s="185" t="s">
        <v>393</v>
      </c>
      <c r="D85" s="174">
        <f>+D83-D75</f>
        <v>81990944</v>
      </c>
      <c r="E85" s="174">
        <f t="shared" ref="E85:F85" si="16">+E83-E75</f>
        <v>154874928</v>
      </c>
      <c r="F85" s="174">
        <f t="shared" si="16"/>
        <v>366812306</v>
      </c>
    </row>
    <row r="86" spans="2:11" ht="3" customHeight="1" thickBot="1" x14ac:dyDescent="0.25">
      <c r="B86" s="222"/>
      <c r="C86" s="186"/>
      <c r="D86" s="179"/>
      <c r="E86" s="179"/>
      <c r="F86" s="179"/>
    </row>
    <row r="87" spans="2:11" ht="12.75" x14ac:dyDescent="0.2">
      <c r="B87" s="189"/>
      <c r="C87" s="189"/>
      <c r="D87" s="190"/>
      <c r="E87" s="190"/>
      <c r="F87" s="190"/>
    </row>
    <row r="88" spans="2:11" ht="12.75" x14ac:dyDescent="0.2">
      <c r="B88" s="189"/>
      <c r="C88" s="189"/>
      <c r="D88" s="190"/>
      <c r="E88" s="190"/>
      <c r="F88" s="190"/>
    </row>
    <row r="89" spans="2:11" ht="12.75" x14ac:dyDescent="0.2">
      <c r="B89" s="189"/>
      <c r="C89" s="189"/>
      <c r="D89" s="190"/>
      <c r="E89" s="190"/>
      <c r="F89" s="190"/>
    </row>
    <row r="90" spans="2:11" x14ac:dyDescent="0.25">
      <c r="B90" s="189"/>
      <c r="C90" s="191"/>
      <c r="D90" s="191"/>
      <c r="E90"/>
      <c r="F90"/>
      <c r="G90"/>
      <c r="H90"/>
      <c r="I90"/>
      <c r="J90"/>
      <c r="K90"/>
    </row>
    <row r="91" spans="2:11" ht="15" customHeight="1" x14ac:dyDescent="0.2">
      <c r="B91" s="223" t="s">
        <v>394</v>
      </c>
      <c r="C91" s="223"/>
      <c r="D91" s="223"/>
      <c r="E91" s="223"/>
      <c r="F91" s="223"/>
      <c r="G91" s="192"/>
      <c r="H91" s="192"/>
      <c r="I91" s="192"/>
      <c r="J91" s="192"/>
      <c r="K91" s="192"/>
    </row>
    <row r="92" spans="2:11" ht="15" customHeight="1" x14ac:dyDescent="0.2">
      <c r="B92" s="223" t="s">
        <v>395</v>
      </c>
      <c r="C92" s="223"/>
      <c r="D92" s="223"/>
      <c r="E92" s="223"/>
      <c r="F92" s="223"/>
      <c r="G92" s="192"/>
      <c r="H92" s="192"/>
      <c r="I92" s="192"/>
      <c r="J92" s="192"/>
      <c r="K92" s="192"/>
    </row>
    <row r="93" spans="2:11" ht="12.75" x14ac:dyDescent="0.2">
      <c r="B93" s="189"/>
      <c r="C93" s="189"/>
      <c r="D93" s="190"/>
      <c r="E93" s="190"/>
      <c r="F93" s="190"/>
    </row>
    <row r="94" spans="2:11" ht="12.75" x14ac:dyDescent="0.2">
      <c r="B94" s="189"/>
      <c r="C94" s="189"/>
      <c r="D94" s="190"/>
      <c r="E94" s="190"/>
      <c r="F94" s="190"/>
    </row>
    <row r="95" spans="2:11" ht="12.75" x14ac:dyDescent="0.2">
      <c r="B95" s="189"/>
      <c r="C95" s="189"/>
      <c r="D95" s="190"/>
      <c r="E95" s="190"/>
      <c r="F95" s="190"/>
    </row>
    <row r="96" spans="2:11" ht="12.75" x14ac:dyDescent="0.2">
      <c r="B96" s="189"/>
      <c r="C96" s="189"/>
      <c r="D96" s="190"/>
      <c r="E96" s="190"/>
      <c r="F96" s="190"/>
    </row>
    <row r="97" spans="2:6" ht="12.75" x14ac:dyDescent="0.2">
      <c r="B97" s="189"/>
      <c r="C97" s="189"/>
      <c r="D97" s="190"/>
      <c r="E97" s="190"/>
      <c r="F97" s="190"/>
    </row>
    <row r="98" spans="2:6" ht="12.75" x14ac:dyDescent="0.2">
      <c r="B98" s="189"/>
      <c r="C98" s="189"/>
      <c r="D98" s="190"/>
      <c r="E98" s="190"/>
      <c r="F98" s="190"/>
    </row>
    <row r="99" spans="2:6" ht="12.75" x14ac:dyDescent="0.2">
      <c r="B99" s="189"/>
      <c r="C99" s="189"/>
      <c r="D99" s="190"/>
      <c r="E99" s="190"/>
      <c r="F99" s="190"/>
    </row>
    <row r="100" spans="2:6" ht="12.75" x14ac:dyDescent="0.2">
      <c r="B100" s="189"/>
      <c r="C100" s="189"/>
      <c r="D100" s="190"/>
      <c r="E100" s="190"/>
      <c r="F100" s="190"/>
    </row>
    <row r="101" spans="2:6" ht="12.75" x14ac:dyDescent="0.2">
      <c r="B101" s="189"/>
      <c r="C101" s="189"/>
      <c r="D101" s="190"/>
      <c r="E101" s="190"/>
      <c r="F101" s="190"/>
    </row>
    <row r="102" spans="2:6" ht="12.75" x14ac:dyDescent="0.2">
      <c r="B102" s="189"/>
      <c r="C102" s="189"/>
      <c r="D102" s="190"/>
      <c r="E102" s="190"/>
      <c r="F102" s="190"/>
    </row>
    <row r="103" spans="2:6" ht="12.75" x14ac:dyDescent="0.2">
      <c r="B103" s="189"/>
      <c r="C103" s="189"/>
      <c r="D103" s="190"/>
      <c r="E103" s="190"/>
      <c r="F103" s="190"/>
    </row>
    <row r="104" spans="2:6" ht="12.75" x14ac:dyDescent="0.2">
      <c r="B104" s="189"/>
      <c r="C104" s="189"/>
      <c r="D104" s="190"/>
      <c r="E104" s="190"/>
      <c r="F104" s="190"/>
    </row>
    <row r="105" spans="2:6" ht="12.75" x14ac:dyDescent="0.2">
      <c r="B105" s="189"/>
      <c r="C105" s="189"/>
      <c r="D105" s="190"/>
      <c r="E105" s="190"/>
      <c r="F105" s="190"/>
    </row>
    <row r="106" spans="2:6" ht="12.75" x14ac:dyDescent="0.2">
      <c r="B106" s="189"/>
      <c r="C106" s="189"/>
      <c r="D106" s="190"/>
      <c r="E106" s="190"/>
      <c r="F106" s="190"/>
    </row>
    <row r="107" spans="2:6" ht="12.75" x14ac:dyDescent="0.2">
      <c r="B107" s="189"/>
      <c r="C107" s="189"/>
      <c r="D107" s="190"/>
      <c r="E107" s="190"/>
      <c r="F107" s="190"/>
    </row>
    <row r="108" spans="2:6" ht="12.75" x14ac:dyDescent="0.2">
      <c r="B108" s="189"/>
      <c r="C108" s="189"/>
      <c r="D108" s="190"/>
      <c r="E108" s="190"/>
      <c r="F108" s="190"/>
    </row>
    <row r="109" spans="2:6" ht="12.75" x14ac:dyDescent="0.2">
      <c r="B109" s="189"/>
      <c r="C109" s="189"/>
      <c r="D109" s="190"/>
      <c r="E109" s="190"/>
      <c r="F109" s="190"/>
    </row>
    <row r="110" spans="2:6" ht="12.75" x14ac:dyDescent="0.2">
      <c r="B110" s="189"/>
      <c r="C110" s="189"/>
      <c r="D110" s="190"/>
      <c r="E110" s="190"/>
      <c r="F110" s="190"/>
    </row>
    <row r="111" spans="2:6" ht="12.75" x14ac:dyDescent="0.2">
      <c r="B111" s="189"/>
      <c r="C111" s="189"/>
      <c r="D111" s="190"/>
      <c r="E111" s="190"/>
      <c r="F111" s="190"/>
    </row>
    <row r="112" spans="2:6" ht="12.75" x14ac:dyDescent="0.2">
      <c r="B112" s="189"/>
      <c r="C112" s="189"/>
      <c r="D112" s="190"/>
      <c r="E112" s="190"/>
      <c r="F112" s="190"/>
    </row>
    <row r="113" spans="2:6" ht="12.75" x14ac:dyDescent="0.2">
      <c r="B113" s="189"/>
      <c r="C113" s="189"/>
      <c r="D113" s="190"/>
      <c r="E113" s="190"/>
      <c r="F113" s="190"/>
    </row>
    <row r="114" spans="2:6" ht="12.75" x14ac:dyDescent="0.2">
      <c r="B114" s="189"/>
      <c r="C114" s="189"/>
      <c r="D114" s="190"/>
      <c r="E114" s="190"/>
      <c r="F114" s="190"/>
    </row>
    <row r="115" spans="2:6" ht="12.75" x14ac:dyDescent="0.2">
      <c r="B115" s="189"/>
      <c r="C115" s="189"/>
      <c r="D115" s="190"/>
      <c r="E115" s="190"/>
      <c r="F115" s="190"/>
    </row>
    <row r="116" spans="2:6" ht="12.75" x14ac:dyDescent="0.2">
      <c r="B116" s="189"/>
      <c r="C116" s="189"/>
      <c r="D116" s="190"/>
      <c r="E116" s="190"/>
      <c r="F116" s="190"/>
    </row>
    <row r="117" spans="2:6" ht="12.75" x14ac:dyDescent="0.2">
      <c r="B117" s="189"/>
      <c r="C117" s="189"/>
      <c r="D117" s="190"/>
      <c r="E117" s="190"/>
      <c r="F117" s="190"/>
    </row>
    <row r="118" spans="2:6" ht="12.75" x14ac:dyDescent="0.2">
      <c r="B118" s="189"/>
      <c r="C118" s="189"/>
      <c r="D118" s="190"/>
      <c r="E118" s="190"/>
      <c r="F118" s="190"/>
    </row>
    <row r="119" spans="2:6" ht="12.75" x14ac:dyDescent="0.2">
      <c r="B119" s="189"/>
      <c r="C119" s="189"/>
      <c r="D119" s="190"/>
      <c r="E119" s="190"/>
      <c r="F119" s="190"/>
    </row>
    <row r="120" spans="2:6" ht="12.75" x14ac:dyDescent="0.2">
      <c r="B120" s="189"/>
      <c r="C120" s="189"/>
      <c r="D120" s="190"/>
      <c r="E120" s="190"/>
      <c r="F120" s="190"/>
    </row>
    <row r="121" spans="2:6" ht="12.75" x14ac:dyDescent="0.2">
      <c r="B121" s="189"/>
      <c r="C121" s="189"/>
      <c r="D121" s="190"/>
      <c r="E121" s="190"/>
      <c r="F121" s="190"/>
    </row>
    <row r="122" spans="2:6" ht="12.75" x14ac:dyDescent="0.2">
      <c r="B122" s="189"/>
      <c r="C122" s="189"/>
      <c r="D122" s="190"/>
      <c r="E122" s="190"/>
      <c r="F122" s="190"/>
    </row>
    <row r="123" spans="2:6" ht="12.75" x14ac:dyDescent="0.2">
      <c r="B123" s="189"/>
      <c r="C123" s="189"/>
      <c r="D123" s="190"/>
      <c r="E123" s="190"/>
      <c r="F123" s="190"/>
    </row>
    <row r="124" spans="2:6" ht="12.75" x14ac:dyDescent="0.2">
      <c r="B124" s="189"/>
      <c r="C124" s="189"/>
      <c r="D124" s="190"/>
      <c r="E124" s="190"/>
      <c r="F124" s="190"/>
    </row>
    <row r="125" spans="2:6" ht="12.75" x14ac:dyDescent="0.2">
      <c r="B125" s="189"/>
      <c r="C125" s="189"/>
      <c r="D125" s="190"/>
      <c r="E125" s="190"/>
      <c r="F125" s="190"/>
    </row>
    <row r="126" spans="2:6" ht="12.75" x14ac:dyDescent="0.2">
      <c r="B126" s="189"/>
      <c r="C126" s="189"/>
      <c r="D126" s="190"/>
      <c r="E126" s="190"/>
      <c r="F126" s="190"/>
    </row>
    <row r="127" spans="2:6" ht="12.75" x14ac:dyDescent="0.2">
      <c r="B127" s="189"/>
      <c r="C127" s="189"/>
      <c r="D127" s="190"/>
      <c r="E127" s="190"/>
      <c r="F127" s="190"/>
    </row>
    <row r="128" spans="2:6" ht="12.75" x14ac:dyDescent="0.2">
      <c r="B128" s="189"/>
      <c r="C128" s="189"/>
      <c r="D128" s="190"/>
      <c r="E128" s="190"/>
      <c r="F128" s="190"/>
    </row>
    <row r="129" spans="2:6" ht="12.75" x14ac:dyDescent="0.2">
      <c r="B129" s="189"/>
      <c r="C129" s="189"/>
      <c r="D129" s="190"/>
      <c r="E129" s="190"/>
      <c r="F129" s="190"/>
    </row>
    <row r="130" spans="2:6" ht="12.75" x14ac:dyDescent="0.2">
      <c r="B130" s="189"/>
      <c r="C130" s="189"/>
      <c r="D130" s="190"/>
      <c r="E130" s="190"/>
      <c r="F130" s="190"/>
    </row>
    <row r="131" spans="2:6" ht="12.75" x14ac:dyDescent="0.2">
      <c r="B131" s="189"/>
      <c r="C131" s="189"/>
      <c r="D131" s="190"/>
      <c r="E131" s="190"/>
      <c r="F131" s="190"/>
    </row>
    <row r="132" spans="2:6" ht="12.75" x14ac:dyDescent="0.2">
      <c r="B132" s="189"/>
      <c r="C132" s="189"/>
      <c r="D132" s="190"/>
      <c r="E132" s="190"/>
      <c r="F132" s="190"/>
    </row>
    <row r="133" spans="2:6" ht="12.75" x14ac:dyDescent="0.2">
      <c r="B133" s="189"/>
      <c r="C133" s="189"/>
      <c r="D133" s="190"/>
      <c r="E133" s="190"/>
      <c r="F133" s="190"/>
    </row>
    <row r="134" spans="2:6" ht="12.75" x14ac:dyDescent="0.2">
      <c r="B134" s="189"/>
      <c r="C134" s="189"/>
      <c r="D134" s="190"/>
      <c r="E134" s="190"/>
      <c r="F134" s="190"/>
    </row>
    <row r="135" spans="2:6" ht="12.75" x14ac:dyDescent="0.2">
      <c r="B135" s="189"/>
      <c r="C135" s="189"/>
      <c r="D135" s="190"/>
      <c r="E135" s="190"/>
      <c r="F135" s="190"/>
    </row>
    <row r="136" spans="2:6" ht="12.75" x14ac:dyDescent="0.2">
      <c r="B136" s="189"/>
      <c r="C136" s="189"/>
      <c r="D136" s="190"/>
      <c r="E136" s="190"/>
      <c r="F136" s="190"/>
    </row>
    <row r="137" spans="2:6" ht="12.75" x14ac:dyDescent="0.2">
      <c r="B137" s="189"/>
      <c r="C137" s="189"/>
      <c r="D137" s="190"/>
      <c r="E137" s="190"/>
      <c r="F137" s="190"/>
    </row>
    <row r="138" spans="2:6" ht="12.75" x14ac:dyDescent="0.2">
      <c r="B138" s="189"/>
      <c r="C138" s="189"/>
      <c r="D138" s="190"/>
      <c r="E138" s="190"/>
      <c r="F138" s="190"/>
    </row>
    <row r="139" spans="2:6" ht="12.75" x14ac:dyDescent="0.2">
      <c r="B139" s="189"/>
      <c r="C139" s="189"/>
      <c r="D139" s="190"/>
      <c r="E139" s="190"/>
      <c r="F139" s="190"/>
    </row>
    <row r="140" spans="2:6" ht="12.75" x14ac:dyDescent="0.2">
      <c r="B140" s="189"/>
      <c r="C140" s="189"/>
      <c r="D140" s="190"/>
      <c r="E140" s="190"/>
      <c r="F140" s="190"/>
    </row>
    <row r="141" spans="2:6" ht="12.75" x14ac:dyDescent="0.2">
      <c r="B141" s="189"/>
      <c r="C141" s="189"/>
      <c r="D141" s="190"/>
      <c r="E141" s="190"/>
      <c r="F141" s="190"/>
    </row>
    <row r="142" spans="2:6" ht="12.75" x14ac:dyDescent="0.2">
      <c r="B142" s="189"/>
      <c r="C142" s="189"/>
      <c r="D142" s="190"/>
      <c r="E142" s="190"/>
      <c r="F142" s="190"/>
    </row>
    <row r="143" spans="2:6" ht="12.75" x14ac:dyDescent="0.2">
      <c r="B143" s="189"/>
      <c r="C143" s="189"/>
      <c r="D143" s="190"/>
      <c r="E143" s="190"/>
      <c r="F143" s="190"/>
    </row>
    <row r="144" spans="2:6" ht="12.75" x14ac:dyDescent="0.2">
      <c r="B144" s="189"/>
      <c r="C144" s="189"/>
      <c r="D144" s="190"/>
      <c r="E144" s="190"/>
      <c r="F144" s="190"/>
    </row>
    <row r="145" spans="2:6" ht="12.75" x14ac:dyDescent="0.2">
      <c r="B145" s="189"/>
      <c r="C145" s="189"/>
      <c r="D145" s="190"/>
      <c r="E145" s="190"/>
      <c r="F145" s="190"/>
    </row>
    <row r="146" spans="2:6" ht="12.75" x14ac:dyDescent="0.2">
      <c r="B146" s="189"/>
      <c r="C146" s="189"/>
      <c r="D146" s="190"/>
      <c r="E146" s="190"/>
      <c r="F146" s="190"/>
    </row>
    <row r="147" spans="2:6" ht="12.75" x14ac:dyDescent="0.2">
      <c r="B147" s="189"/>
      <c r="C147" s="189"/>
      <c r="D147" s="190"/>
      <c r="E147" s="190"/>
      <c r="F147" s="190"/>
    </row>
    <row r="148" spans="2:6" ht="12.75" x14ac:dyDescent="0.2">
      <c r="B148" s="189"/>
      <c r="C148" s="189"/>
      <c r="D148" s="190"/>
      <c r="E148" s="190"/>
      <c r="F148" s="190"/>
    </row>
    <row r="149" spans="2:6" ht="12.75" x14ac:dyDescent="0.2">
      <c r="B149" s="189"/>
      <c r="C149" s="189"/>
      <c r="D149" s="190"/>
      <c r="E149" s="190"/>
      <c r="F149" s="190"/>
    </row>
    <row r="150" spans="2:6" ht="12.75" x14ac:dyDescent="0.2">
      <c r="B150" s="189"/>
      <c r="C150" s="189"/>
      <c r="D150" s="190"/>
      <c r="E150" s="190"/>
      <c r="F150" s="190"/>
    </row>
    <row r="151" spans="2:6" ht="12.75" x14ac:dyDescent="0.2">
      <c r="B151" s="189"/>
      <c r="C151" s="189"/>
      <c r="D151" s="190"/>
      <c r="E151" s="190"/>
      <c r="F151" s="190"/>
    </row>
    <row r="152" spans="2:6" ht="12.75" x14ac:dyDescent="0.2">
      <c r="B152" s="189"/>
      <c r="C152" s="189"/>
      <c r="D152" s="190"/>
      <c r="E152" s="190"/>
      <c r="F152" s="190"/>
    </row>
    <row r="153" spans="2:6" ht="12.75" x14ac:dyDescent="0.2">
      <c r="B153" s="189"/>
      <c r="C153" s="189"/>
      <c r="D153" s="190"/>
      <c r="E153" s="190"/>
      <c r="F153" s="190"/>
    </row>
    <row r="154" spans="2:6" ht="12.75" x14ac:dyDescent="0.2">
      <c r="B154" s="189"/>
      <c r="C154" s="189"/>
      <c r="D154" s="190"/>
      <c r="E154" s="190"/>
      <c r="F154" s="190"/>
    </row>
    <row r="155" spans="2:6" ht="12.75" x14ac:dyDescent="0.2">
      <c r="B155" s="189"/>
      <c r="C155" s="189"/>
      <c r="D155" s="190"/>
      <c r="E155" s="190"/>
      <c r="F155" s="190"/>
    </row>
    <row r="156" spans="2:6" ht="12.75" x14ac:dyDescent="0.2">
      <c r="B156" s="189"/>
      <c r="C156" s="189"/>
      <c r="D156" s="190"/>
      <c r="E156" s="190"/>
      <c r="F156" s="190"/>
    </row>
    <row r="157" spans="2:6" ht="12.75" x14ac:dyDescent="0.2">
      <c r="B157" s="189"/>
      <c r="C157" s="189"/>
      <c r="D157" s="190"/>
      <c r="E157" s="190"/>
      <c r="F157" s="190"/>
    </row>
    <row r="158" spans="2:6" ht="12.75" x14ac:dyDescent="0.2">
      <c r="B158" s="189"/>
      <c r="C158" s="189"/>
      <c r="D158" s="190"/>
      <c r="E158" s="190"/>
      <c r="F158" s="190"/>
    </row>
    <row r="159" spans="2:6" ht="12.75" x14ac:dyDescent="0.2">
      <c r="B159" s="189"/>
      <c r="C159" s="189"/>
      <c r="D159" s="190"/>
      <c r="E159" s="190"/>
      <c r="F159" s="190"/>
    </row>
    <row r="160" spans="2:6" ht="12.75" x14ac:dyDescent="0.2">
      <c r="B160" s="189"/>
      <c r="C160" s="189"/>
      <c r="D160" s="190"/>
      <c r="E160" s="190"/>
      <c r="F160" s="190"/>
    </row>
    <row r="161" spans="2:6" ht="12.75" x14ac:dyDescent="0.2">
      <c r="B161" s="189"/>
      <c r="C161" s="189"/>
      <c r="D161" s="190"/>
      <c r="E161" s="190"/>
      <c r="F161" s="190"/>
    </row>
    <row r="162" spans="2:6" ht="12.75" x14ac:dyDescent="0.2">
      <c r="B162" s="189"/>
      <c r="C162" s="189"/>
      <c r="D162" s="190"/>
      <c r="E162" s="190"/>
      <c r="F162" s="190"/>
    </row>
    <row r="163" spans="2:6" ht="12.75" x14ac:dyDescent="0.2">
      <c r="B163" s="189"/>
      <c r="C163" s="189"/>
      <c r="D163" s="190"/>
      <c r="E163" s="190"/>
      <c r="F163" s="190"/>
    </row>
    <row r="164" spans="2:6" ht="12.75" x14ac:dyDescent="0.2">
      <c r="B164" s="189"/>
      <c r="C164" s="189"/>
      <c r="D164" s="190"/>
      <c r="E164" s="190"/>
      <c r="F164" s="190"/>
    </row>
    <row r="165" spans="2:6" ht="12.75" x14ac:dyDescent="0.2">
      <c r="B165" s="189"/>
      <c r="C165" s="189"/>
      <c r="D165" s="190"/>
      <c r="E165" s="190"/>
      <c r="F165" s="190"/>
    </row>
    <row r="166" spans="2:6" ht="12.75" x14ac:dyDescent="0.2">
      <c r="B166" s="189"/>
      <c r="C166" s="189"/>
      <c r="D166" s="190"/>
      <c r="E166" s="190"/>
      <c r="F166" s="190"/>
    </row>
    <row r="167" spans="2:6" ht="12.75" x14ac:dyDescent="0.2">
      <c r="B167" s="189"/>
      <c r="C167" s="189"/>
      <c r="D167" s="190"/>
      <c r="E167" s="190"/>
      <c r="F167" s="190"/>
    </row>
    <row r="168" spans="2:6" ht="12.75" x14ac:dyDescent="0.2">
      <c r="B168" s="189"/>
      <c r="C168" s="189"/>
      <c r="D168" s="190"/>
      <c r="E168" s="190"/>
      <c r="F168" s="190"/>
    </row>
    <row r="169" spans="2:6" ht="12.75" x14ac:dyDescent="0.2">
      <c r="B169" s="189"/>
      <c r="C169" s="189"/>
      <c r="D169" s="190"/>
      <c r="E169" s="190"/>
      <c r="F169" s="190"/>
    </row>
    <row r="170" spans="2:6" ht="12.75" x14ac:dyDescent="0.2">
      <c r="B170" s="189"/>
      <c r="C170" s="189"/>
      <c r="D170" s="190"/>
      <c r="E170" s="190"/>
      <c r="F170" s="190"/>
    </row>
    <row r="171" spans="2:6" ht="12.75" x14ac:dyDescent="0.2">
      <c r="B171" s="189"/>
      <c r="C171" s="189"/>
      <c r="D171" s="190"/>
      <c r="E171" s="190"/>
      <c r="F171" s="190"/>
    </row>
    <row r="172" spans="2:6" ht="12.75" x14ac:dyDescent="0.2">
      <c r="B172" s="189"/>
      <c r="C172" s="189"/>
      <c r="D172" s="190"/>
      <c r="E172" s="190"/>
      <c r="F172" s="190"/>
    </row>
    <row r="173" spans="2:6" ht="12.75" x14ac:dyDescent="0.2">
      <c r="B173" s="189"/>
      <c r="C173" s="189"/>
      <c r="D173" s="190"/>
      <c r="E173" s="190"/>
      <c r="F173" s="190"/>
    </row>
    <row r="174" spans="2:6" ht="12.75" x14ac:dyDescent="0.2">
      <c r="B174" s="189"/>
      <c r="C174" s="189"/>
      <c r="D174" s="190"/>
      <c r="E174" s="190"/>
      <c r="F174" s="190"/>
    </row>
    <row r="175" spans="2:6" ht="12.75" x14ac:dyDescent="0.2">
      <c r="B175" s="189"/>
      <c r="C175" s="189"/>
      <c r="D175" s="190"/>
      <c r="E175" s="190"/>
      <c r="F175" s="190"/>
    </row>
    <row r="176" spans="2:6" ht="12.75" x14ac:dyDescent="0.2">
      <c r="B176" s="189"/>
      <c r="C176" s="189"/>
      <c r="D176" s="190"/>
      <c r="E176" s="190"/>
      <c r="F176" s="190"/>
    </row>
    <row r="177" spans="2:6" ht="12.75" x14ac:dyDescent="0.2">
      <c r="B177" s="189"/>
      <c r="C177" s="189"/>
      <c r="D177" s="190"/>
      <c r="E177" s="190"/>
      <c r="F177" s="190"/>
    </row>
    <row r="178" spans="2:6" ht="12.75" x14ac:dyDescent="0.2">
      <c r="B178" s="189"/>
      <c r="C178" s="189"/>
      <c r="D178" s="190"/>
      <c r="E178" s="190"/>
      <c r="F178" s="190"/>
    </row>
    <row r="179" spans="2:6" ht="12.75" x14ac:dyDescent="0.2">
      <c r="B179" s="189"/>
      <c r="C179" s="189"/>
      <c r="D179" s="190"/>
      <c r="E179" s="190"/>
      <c r="F179" s="190"/>
    </row>
    <row r="180" spans="2:6" ht="12.75" x14ac:dyDescent="0.2">
      <c r="B180" s="189"/>
      <c r="C180" s="189"/>
      <c r="D180" s="190"/>
      <c r="E180" s="190"/>
      <c r="F180" s="190"/>
    </row>
    <row r="181" spans="2:6" ht="12.75" x14ac:dyDescent="0.2">
      <c r="B181" s="189"/>
      <c r="C181" s="189"/>
      <c r="D181" s="190"/>
      <c r="E181" s="190"/>
      <c r="F181" s="190"/>
    </row>
    <row r="182" spans="2:6" ht="12.75" x14ac:dyDescent="0.2">
      <c r="B182" s="189"/>
      <c r="C182" s="189"/>
      <c r="D182" s="190"/>
      <c r="E182" s="190"/>
      <c r="F182" s="190"/>
    </row>
    <row r="183" spans="2:6" ht="12.75" x14ac:dyDescent="0.2">
      <c r="B183" s="189"/>
      <c r="C183" s="189"/>
      <c r="D183" s="190"/>
      <c r="E183" s="190"/>
      <c r="F183" s="190"/>
    </row>
    <row r="184" spans="2:6" ht="12.75" x14ac:dyDescent="0.2">
      <c r="B184" s="189"/>
      <c r="C184" s="189"/>
      <c r="D184" s="190"/>
      <c r="E184" s="190"/>
      <c r="F184" s="190"/>
    </row>
    <row r="185" spans="2:6" ht="12.75" x14ac:dyDescent="0.2">
      <c r="B185" s="189"/>
      <c r="C185" s="189"/>
      <c r="D185" s="190"/>
      <c r="E185" s="190"/>
      <c r="F185" s="190"/>
    </row>
    <row r="186" spans="2:6" ht="12.75" x14ac:dyDescent="0.2">
      <c r="B186" s="189"/>
      <c r="C186" s="189"/>
      <c r="D186" s="190"/>
      <c r="E186" s="190"/>
      <c r="F186" s="190"/>
    </row>
    <row r="187" spans="2:6" ht="12.75" x14ac:dyDescent="0.2">
      <c r="B187" s="189"/>
      <c r="C187" s="189"/>
      <c r="D187" s="190"/>
      <c r="E187" s="190"/>
      <c r="F187" s="190"/>
    </row>
    <row r="188" spans="2:6" ht="12.75" x14ac:dyDescent="0.2">
      <c r="B188" s="189"/>
      <c r="C188" s="189"/>
      <c r="D188" s="190"/>
      <c r="E188" s="190"/>
      <c r="F188" s="190"/>
    </row>
    <row r="189" spans="2:6" ht="12.75" x14ac:dyDescent="0.2">
      <c r="B189" s="189"/>
      <c r="C189" s="189"/>
      <c r="D189" s="190"/>
      <c r="E189" s="190"/>
      <c r="F189" s="190"/>
    </row>
    <row r="190" spans="2:6" ht="12.75" x14ac:dyDescent="0.2">
      <c r="B190" s="189"/>
      <c r="C190" s="189"/>
      <c r="D190" s="190"/>
      <c r="E190" s="190"/>
      <c r="F190" s="190"/>
    </row>
    <row r="191" spans="2:6" ht="12.75" x14ac:dyDescent="0.2">
      <c r="B191" s="189"/>
      <c r="C191" s="189"/>
      <c r="D191" s="190"/>
      <c r="E191" s="190"/>
      <c r="F191" s="190"/>
    </row>
  </sheetData>
  <mergeCells count="34">
    <mergeCell ref="B2:F2"/>
    <mergeCell ref="B3:F3"/>
    <mergeCell ref="B4:F4"/>
    <mergeCell ref="B5:F5"/>
    <mergeCell ref="B7:C8"/>
    <mergeCell ref="E7:E8"/>
    <mergeCell ref="B23:B26"/>
    <mergeCell ref="B29:F29"/>
    <mergeCell ref="B30:C30"/>
    <mergeCell ref="B32:B34"/>
    <mergeCell ref="B39:C40"/>
    <mergeCell ref="D39:D40"/>
    <mergeCell ref="E39:E40"/>
    <mergeCell ref="E70:E71"/>
    <mergeCell ref="B43:B44"/>
    <mergeCell ref="B45:B47"/>
    <mergeCell ref="B49:B50"/>
    <mergeCell ref="B52:C53"/>
    <mergeCell ref="E52:E53"/>
    <mergeCell ref="B54:C54"/>
    <mergeCell ref="B55:B56"/>
    <mergeCell ref="B57:B60"/>
    <mergeCell ref="B65:B68"/>
    <mergeCell ref="B70:C71"/>
    <mergeCell ref="D70:D71"/>
    <mergeCell ref="B83:B86"/>
    <mergeCell ref="B91:F91"/>
    <mergeCell ref="B92:F92"/>
    <mergeCell ref="B72:C72"/>
    <mergeCell ref="B73:B74"/>
    <mergeCell ref="D73:D74"/>
    <mergeCell ref="E73:E74"/>
    <mergeCell ref="F73:F74"/>
    <mergeCell ref="B75:B78"/>
  </mergeCells>
  <pageMargins left="0.7" right="0.7" top="0.75" bottom="0.75" header="0.3" footer="0.3"/>
  <pageSetup paperSize="128" scale="7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opLeftCell="A2" zoomScaleNormal="100" workbookViewId="0">
      <selection activeCell="L28" sqref="L28"/>
    </sheetView>
  </sheetViews>
  <sheetFormatPr baseColWidth="10" defaultRowHeight="16.5" x14ac:dyDescent="0.3"/>
  <cols>
    <col min="1" max="1" width="2.28515625" style="17" customWidth="1"/>
    <col min="2" max="2" width="4.28515625" style="17" customWidth="1"/>
    <col min="3" max="3" width="2.140625" style="17" customWidth="1"/>
    <col min="4" max="4" width="22.28515625" style="17" customWidth="1"/>
    <col min="5" max="5" width="6" style="17" customWidth="1"/>
    <col min="6" max="6" width="7.5703125" style="18" hidden="1" customWidth="1"/>
    <col min="7" max="7" width="12.7109375" style="17" bestFit="1" customWidth="1"/>
    <col min="8" max="8" width="11.140625" style="17" bestFit="1" customWidth="1"/>
    <col min="9" max="11" width="12.7109375" style="17" bestFit="1" customWidth="1"/>
    <col min="12" max="12" width="13.140625" style="17" bestFit="1" customWidth="1"/>
    <col min="13" max="16384" width="11.42578125" style="17"/>
  </cols>
  <sheetData>
    <row r="1" spans="1:12" s="16" customFormat="1" ht="17.25" hidden="1" customHeight="1" x14ac:dyDescent="0.3">
      <c r="A1" s="15" t="s">
        <v>69</v>
      </c>
      <c r="B1" s="15"/>
      <c r="C1" s="15" t="s">
        <v>67</v>
      </c>
      <c r="E1" s="15" t="s">
        <v>68</v>
      </c>
      <c r="F1" s="16" t="str">
        <f>IF(AND(LEN(E1)&gt;0,LEN(E1)&lt;=2),MID(E1,1,2),MID(E1,1,FIND(".",E1)-1))</f>
        <v>1</v>
      </c>
      <c r="G1" s="16" t="str">
        <f>IF(LEN(E1)&gt;2,MID(E1,FIND(".",E1)+2,2),0)</f>
        <v>3</v>
      </c>
      <c r="H1" s="16" t="str">
        <f>IF(F1="1","Enero",IF(F1="2","Febrero",IF(F1="3","Marzo",IF(F1="4","Abril",IF(F1="5","Mayo",IF(F1="6","Junio",IF(F1="7","Julio",IF(F1="8","Agosto",IF(F1="9","Septiembre",IF(F1="10","Octubre",IF(F1="11","Noviembre","Diciembre")))))))))))</f>
        <v>Enero</v>
      </c>
      <c r="I1" s="16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Marzo</v>
      </c>
      <c r="J1" s="16" t="str">
        <f>IF(OR(G1="13",G1="14",G1="15",G1="16"),12,G1)</f>
        <v>3</v>
      </c>
    </row>
    <row r="2" spans="1:12" ht="17.25" thickBot="1" x14ac:dyDescent="0.35"/>
    <row r="3" spans="1:12" ht="18.75" x14ac:dyDescent="0.3">
      <c r="A3" s="264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6"/>
    </row>
    <row r="4" spans="1:12" x14ac:dyDescent="0.3">
      <c r="A4" s="267" t="s">
        <v>32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9"/>
    </row>
    <row r="5" spans="1:12" ht="33.75" customHeight="1" thickBot="1" x14ac:dyDescent="0.35">
      <c r="A5" s="270" t="str">
        <f>IF( G1=0,CONCATENATE(H1," del ",A1),CONCATENATE("Del ",1," de ", H1, " al ",DAY(EOMONTH(DATE(A1,J1,1),0))," de ",I1," del ",A1))</f>
        <v>Del 1 de Enero al 31 de Marzo del 2017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2"/>
    </row>
    <row r="6" spans="1:12" ht="17.25" hidden="1" thickBot="1" x14ac:dyDescent="0.35">
      <c r="A6" s="273" t="str">
        <f>CONCATENATE("Elaborado el ",MID(C1,1,2), " de ",IF(MID(C1,4,2)="01","Enero",IF(MID(C1,4,2)="02","Febrero",IF(MID(C1,4,2)="03","Marzo",IF(MID(C1,4,2)="04","Abril",IF(MID(C1,4,2)="05","Mayo",IF(MID(C1,4,2)="06","Junio",IF(MID(C1,4,2)="07","Julio",IF(MID(C1,4,2)="08","Agosto",IF(MID(C1,4,2)="09","Septiembre",IF(MID(C1,4,2)="10","Octubre",IF(MID(C1,4,2)="11","Noviembre","Diciembre")))))))))))," del ",MID(C1,7,4))</f>
        <v>Elaborado el 13 de Mayo del 2017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5"/>
    </row>
    <row r="7" spans="1:12" ht="17.25" thickBot="1" x14ac:dyDescent="0.35">
      <c r="A7" s="276" t="s">
        <v>1</v>
      </c>
      <c r="B7" s="277"/>
      <c r="C7" s="277"/>
      <c r="D7" s="277"/>
      <c r="E7" s="277"/>
      <c r="F7" s="282" t="s">
        <v>2</v>
      </c>
      <c r="G7" s="285" t="s">
        <v>3</v>
      </c>
      <c r="H7" s="286"/>
      <c r="I7" s="286"/>
      <c r="J7" s="286"/>
      <c r="K7" s="287"/>
      <c r="L7" s="19"/>
    </row>
    <row r="8" spans="1:12" ht="27.75" thickBot="1" x14ac:dyDescent="0.35">
      <c r="A8" s="278"/>
      <c r="B8" s="279"/>
      <c r="C8" s="279"/>
      <c r="D8" s="279"/>
      <c r="E8" s="279"/>
      <c r="F8" s="283"/>
      <c r="G8" s="20" t="s">
        <v>4</v>
      </c>
      <c r="H8" s="21" t="s">
        <v>5</v>
      </c>
      <c r="I8" s="20" t="s">
        <v>6</v>
      </c>
      <c r="J8" s="22" t="s">
        <v>7</v>
      </c>
      <c r="K8" s="20" t="s">
        <v>8</v>
      </c>
      <c r="L8" s="23" t="s">
        <v>9</v>
      </c>
    </row>
    <row r="9" spans="1:12" ht="17.25" thickBot="1" x14ac:dyDescent="0.35">
      <c r="A9" s="280"/>
      <c r="B9" s="281"/>
      <c r="C9" s="281"/>
      <c r="D9" s="281"/>
      <c r="E9" s="281"/>
      <c r="F9" s="284"/>
      <c r="G9" s="24" t="s">
        <v>10</v>
      </c>
      <c r="H9" s="25" t="s">
        <v>11</v>
      </c>
      <c r="I9" s="24" t="s">
        <v>12</v>
      </c>
      <c r="J9" s="25" t="s">
        <v>13</v>
      </c>
      <c r="K9" s="24" t="s">
        <v>14</v>
      </c>
      <c r="L9" s="26" t="s">
        <v>37</v>
      </c>
    </row>
    <row r="10" spans="1:12" ht="7.5" customHeight="1" x14ac:dyDescent="0.3">
      <c r="A10" s="27"/>
      <c r="B10" s="28"/>
      <c r="C10" s="28"/>
      <c r="D10" s="28"/>
      <c r="E10" s="28"/>
      <c r="F10" s="29"/>
      <c r="G10" s="30"/>
      <c r="H10" s="30"/>
      <c r="I10" s="30"/>
      <c r="J10" s="30"/>
      <c r="K10" s="30"/>
      <c r="L10" s="31"/>
    </row>
    <row r="11" spans="1:12" x14ac:dyDescent="0.3">
      <c r="A11" s="32" t="s">
        <v>26</v>
      </c>
      <c r="B11" s="33"/>
      <c r="C11" s="33"/>
      <c r="D11" s="33"/>
      <c r="E11" s="33"/>
      <c r="F11" s="34"/>
      <c r="G11" s="30"/>
      <c r="H11" s="30"/>
      <c r="I11" s="30"/>
      <c r="J11" s="30"/>
      <c r="K11" s="30"/>
      <c r="L11" s="31"/>
    </row>
    <row r="12" spans="1:12" s="41" customFormat="1" ht="12.75" x14ac:dyDescent="0.25">
      <c r="A12" s="27"/>
      <c r="B12" s="28" t="s">
        <v>15</v>
      </c>
      <c r="C12" s="28"/>
      <c r="D12" s="28"/>
      <c r="E12" s="28"/>
      <c r="F12" s="29">
        <v>1</v>
      </c>
      <c r="G12" s="30">
        <v>2884280750</v>
      </c>
      <c r="H12" s="30">
        <v>0</v>
      </c>
      <c r="I12" s="30">
        <v>2884280750</v>
      </c>
      <c r="J12" s="30">
        <v>818600194.5</v>
      </c>
      <c r="K12" s="30">
        <v>818600194.5</v>
      </c>
      <c r="L12" s="30">
        <v>-2065680555.5</v>
      </c>
    </row>
    <row r="13" spans="1:12" s="41" customFormat="1" ht="12.75" x14ac:dyDescent="0.25">
      <c r="A13" s="27"/>
      <c r="B13" s="28"/>
      <c r="C13" s="28"/>
      <c r="D13" s="36" t="s">
        <v>27</v>
      </c>
      <c r="E13" s="28"/>
      <c r="F13" s="29"/>
      <c r="G13" s="30">
        <v>2884280750</v>
      </c>
      <c r="H13" s="30">
        <v>0</v>
      </c>
      <c r="I13" s="30">
        <v>2884280750</v>
      </c>
      <c r="J13" s="30">
        <v>818600194.5</v>
      </c>
      <c r="K13" s="30">
        <v>818600194.5</v>
      </c>
      <c r="L13" s="31">
        <v>-2065680555.5</v>
      </c>
    </row>
    <row r="14" spans="1:12" s="41" customFormat="1" ht="8.1" customHeight="1" x14ac:dyDescent="0.25">
      <c r="A14" s="27"/>
      <c r="B14" s="28"/>
      <c r="C14" s="28"/>
      <c r="D14" s="36"/>
      <c r="E14" s="28"/>
      <c r="F14" s="29"/>
      <c r="G14" s="30"/>
      <c r="H14" s="30"/>
      <c r="I14" s="30"/>
      <c r="J14" s="30"/>
      <c r="K14" s="30"/>
      <c r="L14" s="31"/>
    </row>
    <row r="15" spans="1:12" s="41" customFormat="1" ht="12.75" x14ac:dyDescent="0.25">
      <c r="A15" s="27"/>
      <c r="B15" s="28" t="s">
        <v>16</v>
      </c>
      <c r="C15" s="28"/>
      <c r="D15" s="28"/>
      <c r="E15" s="28"/>
      <c r="F15" s="29">
        <v>3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1">
        <v>0</v>
      </c>
    </row>
    <row r="16" spans="1:12" s="41" customFormat="1" ht="8.1" customHeight="1" x14ac:dyDescent="0.25">
      <c r="A16" s="27"/>
      <c r="B16" s="28"/>
      <c r="C16" s="28"/>
      <c r="D16" s="36"/>
      <c r="E16" s="28"/>
      <c r="F16" s="29"/>
      <c r="G16" s="30"/>
      <c r="H16" s="30"/>
      <c r="I16" s="30"/>
      <c r="J16" s="30"/>
      <c r="K16" s="30"/>
      <c r="L16" s="31"/>
    </row>
    <row r="17" spans="1:12" s="41" customFormat="1" ht="12.75" x14ac:dyDescent="0.25">
      <c r="A17" s="27"/>
      <c r="B17" s="28" t="s">
        <v>17</v>
      </c>
      <c r="C17" s="28"/>
      <c r="D17" s="28"/>
      <c r="E17" s="28"/>
      <c r="F17" s="29">
        <v>4</v>
      </c>
      <c r="G17" s="30">
        <v>1725981511</v>
      </c>
      <c r="H17" s="30">
        <v>0</v>
      </c>
      <c r="I17" s="30">
        <v>1725981511</v>
      </c>
      <c r="J17" s="30">
        <v>653391273.44000006</v>
      </c>
      <c r="K17" s="30">
        <v>653391273.44000006</v>
      </c>
      <c r="L17" s="30">
        <v>-1072590237.5599999</v>
      </c>
    </row>
    <row r="18" spans="1:12" s="41" customFormat="1" ht="12.75" x14ac:dyDescent="0.25">
      <c r="A18" s="27"/>
      <c r="B18" s="28"/>
      <c r="C18" s="28"/>
      <c r="D18" s="36" t="s">
        <v>27</v>
      </c>
      <c r="E18" s="28"/>
      <c r="F18" s="29"/>
      <c r="G18" s="30">
        <v>1725981511</v>
      </c>
      <c r="H18" s="30">
        <v>0</v>
      </c>
      <c r="I18" s="30">
        <v>1725981511</v>
      </c>
      <c r="J18" s="30">
        <v>653391273.44000006</v>
      </c>
      <c r="K18" s="30">
        <v>653391273.44000006</v>
      </c>
      <c r="L18" s="31">
        <v>-1072590237.5599999</v>
      </c>
    </row>
    <row r="19" spans="1:12" s="41" customFormat="1" ht="12.75" x14ac:dyDescent="0.25">
      <c r="A19" s="27"/>
      <c r="B19" s="28"/>
      <c r="C19" s="28"/>
      <c r="D19" s="36" t="s">
        <v>39</v>
      </c>
      <c r="E19" s="28"/>
      <c r="F19" s="29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1">
        <v>0</v>
      </c>
    </row>
    <row r="20" spans="1:12" s="41" customFormat="1" ht="12.75" x14ac:dyDescent="0.25">
      <c r="A20" s="27"/>
      <c r="B20" s="28"/>
      <c r="C20" s="28"/>
      <c r="D20" s="36" t="s">
        <v>28</v>
      </c>
      <c r="E20" s="28"/>
      <c r="F20" s="29"/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1">
        <v>0</v>
      </c>
    </row>
    <row r="21" spans="1:12" s="41" customFormat="1" ht="8.1" customHeight="1" x14ac:dyDescent="0.25">
      <c r="A21" s="27"/>
      <c r="B21" s="28"/>
      <c r="C21" s="28"/>
      <c r="D21" s="36"/>
      <c r="E21" s="28"/>
      <c r="F21" s="29"/>
      <c r="G21" s="30"/>
      <c r="H21" s="30"/>
      <c r="I21" s="30"/>
      <c r="J21" s="30"/>
      <c r="K21" s="30"/>
      <c r="L21" s="31"/>
    </row>
    <row r="22" spans="1:12" s="41" customFormat="1" ht="12.75" x14ac:dyDescent="0.25">
      <c r="A22" s="27"/>
      <c r="B22" s="28" t="s">
        <v>18</v>
      </c>
      <c r="C22" s="28"/>
      <c r="D22" s="28"/>
      <c r="E22" s="28"/>
      <c r="F22" s="29">
        <v>5</v>
      </c>
      <c r="G22" s="30">
        <v>45792731</v>
      </c>
      <c r="H22" s="30">
        <v>0</v>
      </c>
      <c r="I22" s="30">
        <v>45792731</v>
      </c>
      <c r="J22" s="30">
        <v>27109548.739999998</v>
      </c>
      <c r="K22" s="30">
        <v>27109548.739999998</v>
      </c>
      <c r="L22" s="30">
        <v>-18683182.259999998</v>
      </c>
    </row>
    <row r="23" spans="1:12" s="41" customFormat="1" ht="12.75" x14ac:dyDescent="0.25">
      <c r="A23" s="27"/>
      <c r="B23" s="28"/>
      <c r="C23" s="28" t="s">
        <v>19</v>
      </c>
      <c r="D23" s="28"/>
      <c r="E23" s="28"/>
      <c r="F23" s="29">
        <v>51</v>
      </c>
      <c r="G23" s="30">
        <v>39003916</v>
      </c>
      <c r="H23" s="30">
        <v>0</v>
      </c>
      <c r="I23" s="30">
        <v>39003916</v>
      </c>
      <c r="J23" s="30">
        <v>25645156.969999999</v>
      </c>
      <c r="K23" s="30">
        <v>25645156.969999999</v>
      </c>
      <c r="L23" s="30">
        <v>-13358759.029999997</v>
      </c>
    </row>
    <row r="24" spans="1:12" s="41" customFormat="1" ht="12.75" x14ac:dyDescent="0.25">
      <c r="A24" s="27"/>
      <c r="B24" s="28"/>
      <c r="C24" s="28"/>
      <c r="D24" s="36" t="s">
        <v>27</v>
      </c>
      <c r="E24" s="28"/>
      <c r="F24" s="29"/>
      <c r="G24" s="30">
        <v>22337308</v>
      </c>
      <c r="H24" s="30">
        <v>0</v>
      </c>
      <c r="I24" s="30">
        <v>22337308</v>
      </c>
      <c r="J24" s="30">
        <v>19520831.219999999</v>
      </c>
      <c r="K24" s="30">
        <v>19520831.219999999</v>
      </c>
      <c r="L24" s="31">
        <v>-2816476.7800000012</v>
      </c>
    </row>
    <row r="25" spans="1:12" s="41" customFormat="1" ht="12.75" x14ac:dyDescent="0.25">
      <c r="A25" s="27"/>
      <c r="B25" s="28"/>
      <c r="C25" s="28"/>
      <c r="D25" s="36" t="s">
        <v>36</v>
      </c>
      <c r="E25" s="28"/>
      <c r="F25" s="29"/>
      <c r="G25" s="30">
        <v>16550884</v>
      </c>
      <c r="H25" s="30">
        <v>0</v>
      </c>
      <c r="I25" s="30">
        <v>16550884</v>
      </c>
      <c r="J25" s="30">
        <v>2478896.92</v>
      </c>
      <c r="K25" s="30">
        <v>2478896.92</v>
      </c>
      <c r="L25" s="31">
        <v>-14071987.08</v>
      </c>
    </row>
    <row r="26" spans="1:12" s="41" customFormat="1" ht="12.75" x14ac:dyDescent="0.25">
      <c r="A26" s="27"/>
      <c r="B26" s="28"/>
      <c r="C26" s="28"/>
      <c r="D26" s="36" t="s">
        <v>28</v>
      </c>
      <c r="E26" s="28"/>
      <c r="F26" s="29"/>
      <c r="G26" s="30">
        <v>283</v>
      </c>
      <c r="H26" s="30">
        <v>0</v>
      </c>
      <c r="I26" s="30">
        <v>283</v>
      </c>
      <c r="J26" s="30">
        <v>3633432.06</v>
      </c>
      <c r="K26" s="30">
        <v>3633432.06</v>
      </c>
      <c r="L26" s="31">
        <v>3633149.06</v>
      </c>
    </row>
    <row r="27" spans="1:12" s="41" customFormat="1" ht="12.75" x14ac:dyDescent="0.25">
      <c r="A27" s="27"/>
      <c r="B27" s="28"/>
      <c r="C27" s="28"/>
      <c r="D27" s="36" t="s">
        <v>29</v>
      </c>
      <c r="E27" s="28"/>
      <c r="F27" s="29"/>
      <c r="G27" s="30">
        <v>104291</v>
      </c>
      <c r="H27" s="30">
        <v>0</v>
      </c>
      <c r="I27" s="30">
        <v>104291</v>
      </c>
      <c r="J27" s="30">
        <v>9787.2099999999991</v>
      </c>
      <c r="K27" s="30">
        <v>9787.2099999999991</v>
      </c>
      <c r="L27" s="31">
        <v>-94503.790000000008</v>
      </c>
    </row>
    <row r="28" spans="1:12" s="41" customFormat="1" ht="12.75" x14ac:dyDescent="0.25">
      <c r="A28" s="27"/>
      <c r="B28" s="28"/>
      <c r="C28" s="28"/>
      <c r="D28" s="36" t="s">
        <v>38</v>
      </c>
      <c r="E28" s="28"/>
      <c r="F28" s="29"/>
      <c r="G28" s="30">
        <v>11150</v>
      </c>
      <c r="H28" s="30">
        <v>0</v>
      </c>
      <c r="I28" s="30">
        <v>11150</v>
      </c>
      <c r="J28" s="30">
        <v>2209.56</v>
      </c>
      <c r="K28" s="30">
        <v>2209.56</v>
      </c>
      <c r="L28" s="31">
        <v>-8940.44</v>
      </c>
    </row>
    <row r="29" spans="1:12" s="41" customFormat="1" ht="12.75" x14ac:dyDescent="0.25">
      <c r="A29" s="27"/>
      <c r="B29" s="28"/>
      <c r="C29" s="28" t="s">
        <v>20</v>
      </c>
      <c r="D29" s="28"/>
      <c r="E29" s="28"/>
      <c r="F29" s="29">
        <v>52</v>
      </c>
      <c r="G29" s="30">
        <v>6788815</v>
      </c>
      <c r="H29" s="30">
        <v>0</v>
      </c>
      <c r="I29" s="30">
        <v>6788815</v>
      </c>
      <c r="J29" s="30">
        <v>1464391.77</v>
      </c>
      <c r="K29" s="30">
        <v>1464391.77</v>
      </c>
      <c r="L29" s="30">
        <v>-5324423.2300000004</v>
      </c>
    </row>
    <row r="30" spans="1:12" s="41" customFormat="1" ht="12.75" x14ac:dyDescent="0.25">
      <c r="A30" s="27"/>
      <c r="B30" s="28"/>
      <c r="C30" s="28"/>
      <c r="D30" s="36" t="s">
        <v>27</v>
      </c>
      <c r="E30" s="28"/>
      <c r="F30" s="29"/>
      <c r="G30" s="30">
        <v>6788815</v>
      </c>
      <c r="H30" s="30">
        <v>0</v>
      </c>
      <c r="I30" s="30">
        <v>6788815</v>
      </c>
      <c r="J30" s="30">
        <v>1464391.77</v>
      </c>
      <c r="K30" s="30">
        <v>1464391.77</v>
      </c>
      <c r="L30" s="31">
        <v>-5324423.2300000004</v>
      </c>
    </row>
    <row r="31" spans="1:12" s="41" customFormat="1" ht="8.1" customHeight="1" x14ac:dyDescent="0.25">
      <c r="A31" s="27"/>
      <c r="B31" s="28"/>
      <c r="C31" s="28"/>
      <c r="D31" s="36"/>
      <c r="E31" s="28"/>
      <c r="F31" s="29"/>
      <c r="G31" s="30"/>
      <c r="H31" s="30"/>
      <c r="I31" s="30"/>
      <c r="J31" s="30"/>
      <c r="K31" s="30"/>
      <c r="L31" s="31"/>
    </row>
    <row r="32" spans="1:12" s="41" customFormat="1" ht="12.75" x14ac:dyDescent="0.25">
      <c r="A32" s="27"/>
      <c r="B32" s="28" t="s">
        <v>21</v>
      </c>
      <c r="C32" s="28"/>
      <c r="D32" s="28"/>
      <c r="E32" s="28"/>
      <c r="F32" s="29">
        <v>6</v>
      </c>
      <c r="G32" s="30">
        <v>1961829144</v>
      </c>
      <c r="H32" s="30">
        <v>0</v>
      </c>
      <c r="I32" s="30">
        <v>1961829144</v>
      </c>
      <c r="J32" s="30">
        <v>655284933.04000008</v>
      </c>
      <c r="K32" s="30">
        <v>655284933.04000008</v>
      </c>
      <c r="L32" s="30">
        <v>-1306544210.96</v>
      </c>
    </row>
    <row r="33" spans="1:12" s="41" customFormat="1" ht="12.75" x14ac:dyDescent="0.25">
      <c r="A33" s="27"/>
      <c r="B33" s="28"/>
      <c r="C33" s="28" t="s">
        <v>19</v>
      </c>
      <c r="D33" s="28"/>
      <c r="E33" s="28"/>
      <c r="F33" s="29">
        <v>61</v>
      </c>
      <c r="G33" s="30">
        <v>1960068474</v>
      </c>
      <c r="H33" s="30">
        <v>0</v>
      </c>
      <c r="I33" s="30">
        <v>1960068474</v>
      </c>
      <c r="J33" s="30">
        <v>654883427.60000002</v>
      </c>
      <c r="K33" s="30">
        <v>654883427.60000002</v>
      </c>
      <c r="L33" s="30">
        <v>-1305185046.4000001</v>
      </c>
    </row>
    <row r="34" spans="1:12" s="41" customFormat="1" ht="12.75" x14ac:dyDescent="0.25">
      <c r="A34" s="27"/>
      <c r="B34" s="28"/>
      <c r="C34" s="28"/>
      <c r="D34" s="36" t="s">
        <v>27</v>
      </c>
      <c r="E34" s="28"/>
      <c r="F34" s="29"/>
      <c r="G34" s="30">
        <v>1929859665</v>
      </c>
      <c r="H34" s="30">
        <v>0</v>
      </c>
      <c r="I34" s="30">
        <v>1929859665</v>
      </c>
      <c r="J34" s="30">
        <v>649556600.15999997</v>
      </c>
      <c r="K34" s="30">
        <v>649556600.15999997</v>
      </c>
      <c r="L34" s="31">
        <v>-1280303064.8400002</v>
      </c>
    </row>
    <row r="35" spans="1:12" s="41" customFormat="1" ht="12.75" x14ac:dyDescent="0.25">
      <c r="A35" s="27"/>
      <c r="B35" s="28"/>
      <c r="C35" s="28"/>
      <c r="D35" s="36" t="s">
        <v>36</v>
      </c>
      <c r="E35" s="28"/>
      <c r="F35" s="29"/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1">
        <v>0</v>
      </c>
    </row>
    <row r="36" spans="1:12" s="41" customFormat="1" ht="12.75" x14ac:dyDescent="0.25">
      <c r="A36" s="27"/>
      <c r="B36" s="28"/>
      <c r="C36" s="28"/>
      <c r="D36" s="36" t="s">
        <v>28</v>
      </c>
      <c r="E36" s="28"/>
      <c r="F36" s="29"/>
      <c r="G36" s="30">
        <v>30208809</v>
      </c>
      <c r="H36" s="30">
        <v>0</v>
      </c>
      <c r="I36" s="30">
        <v>30208809</v>
      </c>
      <c r="J36" s="30">
        <v>5326827.4400000004</v>
      </c>
      <c r="K36" s="30">
        <v>5326827.4400000004</v>
      </c>
      <c r="L36" s="31">
        <v>-24881981.559999999</v>
      </c>
    </row>
    <row r="37" spans="1:12" s="41" customFormat="1" ht="12.75" x14ac:dyDescent="0.25">
      <c r="A37" s="27"/>
      <c r="B37" s="28"/>
      <c r="C37" s="28" t="s">
        <v>20</v>
      </c>
      <c r="D37" s="28"/>
      <c r="E37" s="28"/>
      <c r="F37" s="29">
        <v>69</v>
      </c>
      <c r="G37" s="30">
        <v>1760670</v>
      </c>
      <c r="H37" s="30">
        <v>0</v>
      </c>
      <c r="I37" s="30">
        <v>1760670</v>
      </c>
      <c r="J37" s="30">
        <v>401505.44</v>
      </c>
      <c r="K37" s="30">
        <v>401505.44</v>
      </c>
      <c r="L37" s="30">
        <v>-1359164.56</v>
      </c>
    </row>
    <row r="38" spans="1:12" s="41" customFormat="1" ht="12.75" x14ac:dyDescent="0.25">
      <c r="A38" s="27"/>
      <c r="B38" s="28"/>
      <c r="C38" s="28"/>
      <c r="D38" s="36" t="s">
        <v>27</v>
      </c>
      <c r="E38" s="28"/>
      <c r="F38" s="29"/>
      <c r="G38" s="30">
        <v>1760670</v>
      </c>
      <c r="H38" s="30">
        <v>0</v>
      </c>
      <c r="I38" s="30">
        <v>1760670</v>
      </c>
      <c r="J38" s="30">
        <v>401505.44</v>
      </c>
      <c r="K38" s="30">
        <v>401505.44</v>
      </c>
      <c r="L38" s="31">
        <v>-1359164.56</v>
      </c>
    </row>
    <row r="39" spans="1:12" s="41" customFormat="1" ht="8.1" customHeight="1" x14ac:dyDescent="0.25">
      <c r="A39" s="27"/>
      <c r="B39" s="28"/>
      <c r="C39" s="28"/>
      <c r="D39" s="36"/>
      <c r="E39" s="28"/>
      <c r="F39" s="29"/>
      <c r="G39" s="30"/>
      <c r="H39" s="30"/>
      <c r="I39" s="30"/>
      <c r="J39" s="30"/>
      <c r="K39" s="30"/>
      <c r="L39" s="31"/>
    </row>
    <row r="40" spans="1:12" s="41" customFormat="1" ht="12.75" x14ac:dyDescent="0.25">
      <c r="A40" s="27"/>
      <c r="B40" s="28" t="s">
        <v>22</v>
      </c>
      <c r="C40" s="28"/>
      <c r="D40" s="28"/>
      <c r="E40" s="28"/>
      <c r="F40" s="29">
        <v>8</v>
      </c>
      <c r="G40" s="30">
        <v>34974309022</v>
      </c>
      <c r="H40" s="30">
        <v>0</v>
      </c>
      <c r="I40" s="30">
        <v>34974309022</v>
      </c>
      <c r="J40" s="30">
        <v>10578129236.869999</v>
      </c>
      <c r="K40" s="30">
        <v>10578129236.869999</v>
      </c>
      <c r="L40" s="30">
        <v>-24396179785.129997</v>
      </c>
    </row>
    <row r="41" spans="1:12" s="41" customFormat="1" ht="12.75" x14ac:dyDescent="0.25">
      <c r="A41" s="27"/>
      <c r="B41" s="28"/>
      <c r="C41" s="28"/>
      <c r="D41" s="36" t="s">
        <v>27</v>
      </c>
      <c r="E41" s="28"/>
      <c r="F41" s="29"/>
      <c r="G41" s="30">
        <v>5131973464</v>
      </c>
      <c r="H41" s="30">
        <v>0</v>
      </c>
      <c r="I41" s="30">
        <v>5131973464</v>
      </c>
      <c r="J41" s="30">
        <v>1844271628.72</v>
      </c>
      <c r="K41" s="30">
        <v>1844271628.72</v>
      </c>
      <c r="L41" s="31">
        <v>-3287701835.2799997</v>
      </c>
    </row>
    <row r="42" spans="1:12" s="41" customFormat="1" ht="12.75" x14ac:dyDescent="0.25">
      <c r="A42" s="27"/>
      <c r="B42" s="28"/>
      <c r="C42" s="28"/>
      <c r="D42" s="36" t="s">
        <v>36</v>
      </c>
      <c r="E42" s="28"/>
      <c r="F42" s="29"/>
      <c r="G42" s="30">
        <v>8092269370</v>
      </c>
      <c r="H42" s="30">
        <v>0</v>
      </c>
      <c r="I42" s="30">
        <v>8092269370</v>
      </c>
      <c r="J42" s="30">
        <v>1825691887.98</v>
      </c>
      <c r="K42" s="30">
        <v>1825691887.98</v>
      </c>
      <c r="L42" s="31">
        <v>-6266577482.0200005</v>
      </c>
    </row>
    <row r="43" spans="1:12" s="41" customFormat="1" ht="12.75" x14ac:dyDescent="0.25">
      <c r="A43" s="27"/>
      <c r="B43" s="28"/>
      <c r="C43" s="28"/>
      <c r="D43" s="36" t="s">
        <v>66</v>
      </c>
      <c r="E43" s="28"/>
      <c r="F43" s="29"/>
      <c r="G43" s="30">
        <v>0</v>
      </c>
      <c r="H43" s="30">
        <v>0</v>
      </c>
      <c r="I43" s="30">
        <v>0</v>
      </c>
      <c r="J43" s="30">
        <v>10.31</v>
      </c>
      <c r="K43" s="30">
        <v>10.31</v>
      </c>
      <c r="L43" s="31">
        <v>10.31</v>
      </c>
    </row>
    <row r="44" spans="1:12" s="41" customFormat="1" ht="12.75" x14ac:dyDescent="0.25">
      <c r="A44" s="27"/>
      <c r="B44" s="28"/>
      <c r="C44" s="28"/>
      <c r="D44" s="36" t="s">
        <v>28</v>
      </c>
      <c r="E44" s="28"/>
      <c r="F44" s="29"/>
      <c r="G44" s="30">
        <v>20941480836</v>
      </c>
      <c r="H44" s="30">
        <v>0</v>
      </c>
      <c r="I44" s="30">
        <v>20941480836</v>
      </c>
      <c r="J44" s="30">
        <v>6779309824.8599997</v>
      </c>
      <c r="K44" s="30">
        <v>6779309824.8599997</v>
      </c>
      <c r="L44" s="31">
        <v>-14162171011.139999</v>
      </c>
    </row>
    <row r="45" spans="1:12" s="41" customFormat="1" ht="12.75" x14ac:dyDescent="0.25">
      <c r="A45" s="27"/>
      <c r="B45" s="28"/>
      <c r="C45" s="28"/>
      <c r="D45" s="36" t="s">
        <v>29</v>
      </c>
      <c r="E45" s="28"/>
      <c r="F45" s="29"/>
      <c r="G45" s="30">
        <v>808585352</v>
      </c>
      <c r="H45" s="30">
        <v>0</v>
      </c>
      <c r="I45" s="30">
        <v>808585352</v>
      </c>
      <c r="J45" s="30">
        <v>128855885</v>
      </c>
      <c r="K45" s="30">
        <v>128855885</v>
      </c>
      <c r="L45" s="31">
        <v>-679729467</v>
      </c>
    </row>
    <row r="46" spans="1:12" s="41" customFormat="1" ht="12.75" x14ac:dyDescent="0.25">
      <c r="A46" s="27"/>
      <c r="B46" s="28"/>
      <c r="C46" s="28"/>
      <c r="D46" s="36" t="s">
        <v>38</v>
      </c>
      <c r="E46" s="28"/>
      <c r="F46" s="29"/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1">
        <v>0</v>
      </c>
    </row>
    <row r="47" spans="1:12" s="41" customFormat="1" ht="8.1" customHeight="1" x14ac:dyDescent="0.25">
      <c r="A47" s="27"/>
      <c r="B47" s="28"/>
      <c r="C47" s="28"/>
      <c r="D47" s="36"/>
      <c r="E47" s="28"/>
      <c r="F47" s="29"/>
      <c r="G47" s="30"/>
      <c r="H47" s="30"/>
      <c r="I47" s="30"/>
      <c r="J47" s="30"/>
      <c r="K47" s="30"/>
      <c r="L47" s="31"/>
    </row>
    <row r="48" spans="1:12" s="41" customFormat="1" ht="12.75" x14ac:dyDescent="0.25">
      <c r="A48" s="27"/>
      <c r="B48" s="28" t="s">
        <v>23</v>
      </c>
      <c r="C48" s="28"/>
      <c r="D48" s="28"/>
      <c r="E48" s="28"/>
      <c r="F48" s="29">
        <v>9</v>
      </c>
      <c r="G48" s="30">
        <v>3168127067</v>
      </c>
      <c r="H48" s="30">
        <v>0</v>
      </c>
      <c r="I48" s="30">
        <v>3168127067</v>
      </c>
      <c r="J48" s="30">
        <v>449810457.31</v>
      </c>
      <c r="K48" s="30">
        <v>449810457.31</v>
      </c>
      <c r="L48" s="30">
        <v>-2718316609.6900001</v>
      </c>
    </row>
    <row r="49" spans="1:12" s="41" customFormat="1" ht="12.75" x14ac:dyDescent="0.25">
      <c r="A49" s="27"/>
      <c r="B49" s="28"/>
      <c r="C49" s="28"/>
      <c r="D49" s="36" t="s">
        <v>27</v>
      </c>
      <c r="E49" s="28"/>
      <c r="F49" s="29"/>
      <c r="G49" s="30">
        <v>86075000</v>
      </c>
      <c r="H49" s="30">
        <v>0</v>
      </c>
      <c r="I49" s="30">
        <v>86075000</v>
      </c>
      <c r="J49" s="30">
        <v>0</v>
      </c>
      <c r="K49" s="30">
        <v>0</v>
      </c>
      <c r="L49" s="31">
        <v>-86075000</v>
      </c>
    </row>
    <row r="50" spans="1:12" s="41" customFormat="1" ht="12.75" x14ac:dyDescent="0.25">
      <c r="A50" s="27"/>
      <c r="B50" s="28"/>
      <c r="C50" s="28"/>
      <c r="D50" s="36" t="s">
        <v>28</v>
      </c>
      <c r="E50" s="28"/>
      <c r="F50" s="29"/>
      <c r="G50" s="30">
        <v>3082052067</v>
      </c>
      <c r="H50" s="30">
        <v>0</v>
      </c>
      <c r="I50" s="30">
        <v>3082052067</v>
      </c>
      <c r="J50" s="30">
        <v>449810457.31</v>
      </c>
      <c r="K50" s="30">
        <v>449810457.31</v>
      </c>
      <c r="L50" s="31">
        <v>-2632241609.6900001</v>
      </c>
    </row>
    <row r="51" spans="1:12" s="41" customFormat="1" ht="8.1" customHeight="1" x14ac:dyDescent="0.25">
      <c r="A51" s="27"/>
      <c r="B51" s="28"/>
      <c r="C51" s="28"/>
      <c r="D51" s="36"/>
      <c r="E51" s="28"/>
      <c r="F51" s="29"/>
      <c r="G51" s="30"/>
      <c r="H51" s="30"/>
      <c r="I51" s="30"/>
      <c r="J51" s="30"/>
      <c r="K51" s="30"/>
      <c r="L51" s="31"/>
    </row>
    <row r="52" spans="1:12" s="41" customFormat="1" ht="12.75" x14ac:dyDescent="0.25">
      <c r="A52" s="37" t="s">
        <v>33</v>
      </c>
      <c r="B52" s="38"/>
      <c r="C52" s="28"/>
      <c r="D52" s="36"/>
      <c r="E52" s="28"/>
      <c r="F52" s="29"/>
      <c r="G52" s="30"/>
      <c r="H52" s="30"/>
      <c r="I52" s="30"/>
      <c r="J52" s="30"/>
      <c r="K52" s="30"/>
      <c r="L52" s="31"/>
    </row>
    <row r="53" spans="1:12" s="41" customFormat="1" ht="12.75" x14ac:dyDescent="0.25">
      <c r="A53" s="42"/>
      <c r="B53" s="36" t="s">
        <v>34</v>
      </c>
      <c r="C53" s="36"/>
      <c r="D53" s="36"/>
      <c r="E53" s="28"/>
      <c r="F53" s="29"/>
      <c r="G53" s="30"/>
      <c r="H53" s="30"/>
      <c r="I53" s="30"/>
      <c r="J53" s="30"/>
      <c r="K53" s="30"/>
      <c r="L53" s="31"/>
    </row>
    <row r="54" spans="1:12" s="41" customFormat="1" ht="12.75" x14ac:dyDescent="0.25">
      <c r="A54" s="42"/>
      <c r="B54" s="36" t="s">
        <v>35</v>
      </c>
      <c r="C54" s="36"/>
      <c r="D54" s="36"/>
      <c r="E54" s="28"/>
      <c r="F54" s="29"/>
      <c r="G54" s="30">
        <v>4788853</v>
      </c>
      <c r="H54" s="30">
        <v>0</v>
      </c>
      <c r="I54" s="30">
        <v>4788853</v>
      </c>
      <c r="J54" s="30">
        <v>695537.05</v>
      </c>
      <c r="K54" s="30">
        <v>695537.05</v>
      </c>
      <c r="L54" s="30">
        <v>-4093315.95</v>
      </c>
    </row>
    <row r="55" spans="1:12" s="41" customFormat="1" ht="12.75" x14ac:dyDescent="0.25">
      <c r="A55" s="42"/>
      <c r="B55" s="36"/>
      <c r="C55" s="36"/>
      <c r="D55" s="36" t="s">
        <v>27</v>
      </c>
      <c r="E55" s="28"/>
      <c r="F55" s="29"/>
      <c r="G55" s="30">
        <v>4788853</v>
      </c>
      <c r="H55" s="30">
        <v>0</v>
      </c>
      <c r="I55" s="30">
        <v>4788853</v>
      </c>
      <c r="J55" s="30">
        <v>695537.05</v>
      </c>
      <c r="K55" s="30">
        <v>695537.05</v>
      </c>
      <c r="L55" s="31">
        <v>-4093315.95</v>
      </c>
    </row>
    <row r="56" spans="1:12" s="41" customFormat="1" ht="12.75" x14ac:dyDescent="0.25">
      <c r="A56" s="42"/>
      <c r="B56" s="36"/>
      <c r="C56" s="36"/>
      <c r="D56" s="36" t="s">
        <v>28</v>
      </c>
      <c r="E56" s="28"/>
      <c r="F56" s="29"/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1">
        <v>0</v>
      </c>
    </row>
    <row r="57" spans="1:12" s="41" customFormat="1" ht="12.75" x14ac:dyDescent="0.25">
      <c r="A57" s="42"/>
      <c r="B57" s="36" t="s">
        <v>23</v>
      </c>
      <c r="C57" s="36"/>
      <c r="D57" s="36"/>
      <c r="E57" s="28"/>
      <c r="F57" s="29"/>
      <c r="G57" s="30">
        <v>7186770866</v>
      </c>
      <c r="H57" s="30">
        <v>0</v>
      </c>
      <c r="I57" s="30">
        <v>7186770866</v>
      </c>
      <c r="J57" s="30">
        <v>1861769596.1300001</v>
      </c>
      <c r="K57" s="30">
        <v>1861769596.1300001</v>
      </c>
      <c r="L57" s="31">
        <v>-5325001269.8699999</v>
      </c>
    </row>
    <row r="58" spans="1:12" s="41" customFormat="1" ht="8.1" customHeight="1" x14ac:dyDescent="0.25">
      <c r="A58" s="27"/>
      <c r="B58" s="28"/>
      <c r="C58" s="28"/>
      <c r="D58" s="36"/>
      <c r="E58" s="28"/>
      <c r="F58" s="29"/>
      <c r="G58" s="30"/>
      <c r="H58" s="30"/>
      <c r="I58" s="30"/>
      <c r="J58" s="30"/>
      <c r="K58" s="30"/>
      <c r="L58" s="31"/>
    </row>
    <row r="59" spans="1:12" s="41" customFormat="1" ht="12.75" x14ac:dyDescent="0.25">
      <c r="A59" s="37" t="s">
        <v>30</v>
      </c>
      <c r="B59" s="28"/>
      <c r="C59" s="28"/>
      <c r="D59" s="28"/>
      <c r="E59" s="28"/>
      <c r="F59" s="29"/>
      <c r="G59" s="30"/>
      <c r="H59" s="30"/>
      <c r="I59" s="30"/>
      <c r="J59" s="30"/>
      <c r="K59" s="30"/>
      <c r="L59" s="31"/>
    </row>
    <row r="60" spans="1:12" s="41" customFormat="1" ht="12.75" x14ac:dyDescent="0.25">
      <c r="A60" s="27"/>
      <c r="B60" s="28" t="s">
        <v>24</v>
      </c>
      <c r="C60" s="28"/>
      <c r="D60" s="28"/>
      <c r="E60" s="28"/>
      <c r="F60" s="29">
        <v>0</v>
      </c>
      <c r="G60" s="30">
        <v>4500000000</v>
      </c>
      <c r="H60" s="30">
        <v>0</v>
      </c>
      <c r="I60" s="30">
        <v>4500000000</v>
      </c>
      <c r="J60" s="30">
        <v>2016150842.1400001</v>
      </c>
      <c r="K60" s="30">
        <v>2016150842.1400001</v>
      </c>
      <c r="L60" s="30">
        <v>-2483849157.8599997</v>
      </c>
    </row>
    <row r="61" spans="1:12" s="41" customFormat="1" ht="12.75" x14ac:dyDescent="0.25">
      <c r="A61" s="27"/>
      <c r="B61" s="28"/>
      <c r="C61" s="28"/>
      <c r="D61" s="36" t="s">
        <v>31</v>
      </c>
      <c r="E61" s="28"/>
      <c r="F61" s="29"/>
      <c r="G61" s="30">
        <v>4500000000</v>
      </c>
      <c r="H61" s="30">
        <v>0</v>
      </c>
      <c r="I61" s="30">
        <v>4500000000</v>
      </c>
      <c r="J61" s="30">
        <v>2016150842.1400001</v>
      </c>
      <c r="K61" s="30">
        <v>2016150842.1400001</v>
      </c>
      <c r="L61" s="31">
        <v>-2483849157.8599997</v>
      </c>
    </row>
    <row r="62" spans="1:12" ht="9" customHeight="1" thickBot="1" x14ac:dyDescent="0.35">
      <c r="A62" s="27"/>
      <c r="B62" s="28"/>
      <c r="C62" s="28"/>
      <c r="D62" s="28"/>
      <c r="E62" s="28"/>
      <c r="F62" s="29"/>
      <c r="G62" s="30"/>
      <c r="H62" s="30"/>
      <c r="I62" s="30"/>
      <c r="J62" s="30"/>
      <c r="K62" s="30"/>
      <c r="L62" s="31"/>
    </row>
    <row r="63" spans="1:12" ht="17.25" thickBot="1" x14ac:dyDescent="0.35">
      <c r="A63" s="258" t="s">
        <v>25</v>
      </c>
      <c r="B63" s="259"/>
      <c r="C63" s="259"/>
      <c r="D63" s="259"/>
      <c r="E63" s="259"/>
      <c r="F63" s="39"/>
      <c r="G63" s="40">
        <f>SUM(G12,G15,G17,G22,G32,G40,G48,G53,G54,G57,G60)</f>
        <v>56451879944</v>
      </c>
      <c r="H63" s="40">
        <f>SUM(H12,H15,H17,H22,H32,H40,H48,H53,H54,H57,H60)</f>
        <v>0</v>
      </c>
      <c r="I63" s="40">
        <f>SUM(I12,I15,I17,I22,I32,I40,I48,I53,I54,I57,I60)</f>
        <v>56451879944</v>
      </c>
      <c r="J63" s="40">
        <f>SUM(J12,J15,J17,J22,J32,J40,J48,J53,J54,J57,J60)</f>
        <v>17060941619.219997</v>
      </c>
      <c r="K63" s="40">
        <f>SUM(K12,K15,K17,K22,K32,K40,K48,K53,K54,K57,K60)</f>
        <v>17060941619.219997</v>
      </c>
      <c r="L63" s="260">
        <f>IF(SUM(L12,L15,L17,L22,L32,L40,L48,L53,L54,L57,L60)&gt;0,SUM(L12,L15,L17,L22,L32,L40,L48,L53,L54,L57,L60),0)</f>
        <v>0</v>
      </c>
    </row>
    <row r="64" spans="1:12" ht="17.25" thickBot="1" x14ac:dyDescent="0.35">
      <c r="A64" s="35"/>
      <c r="B64" s="35"/>
      <c r="C64" s="35"/>
      <c r="D64" s="35"/>
      <c r="E64" s="35"/>
      <c r="F64" s="35"/>
      <c r="G64" s="35"/>
      <c r="H64" s="35"/>
      <c r="I64" s="35"/>
      <c r="J64" s="258" t="s">
        <v>70</v>
      </c>
      <c r="K64" s="262"/>
      <c r="L64" s="261"/>
    </row>
    <row r="65" spans="1:12" ht="10.5" customHeight="1" x14ac:dyDescent="0.3">
      <c r="A65" s="263" t="s">
        <v>71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</row>
    <row r="66" spans="1:12" x14ac:dyDescent="0.3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</row>
  </sheetData>
  <mergeCells count="11">
    <mergeCell ref="A63:E63"/>
    <mergeCell ref="L63:L64"/>
    <mergeCell ref="J64:K64"/>
    <mergeCell ref="A65:L66"/>
    <mergeCell ref="A3:L3"/>
    <mergeCell ref="A4:L4"/>
    <mergeCell ref="A5:L5"/>
    <mergeCell ref="A6:L6"/>
    <mergeCell ref="A7:E9"/>
    <mergeCell ref="F7:F9"/>
    <mergeCell ref="G7:K7"/>
  </mergeCells>
  <pageMargins left="0.7" right="0.7" top="0.75" bottom="0.75" header="0.3" footer="0.3"/>
  <pageSetup paperSize="128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2" workbookViewId="0">
      <selection activeCell="L28" sqref="L28"/>
    </sheetView>
  </sheetViews>
  <sheetFormatPr baseColWidth="10" defaultRowHeight="16.5" x14ac:dyDescent="0.3"/>
  <cols>
    <col min="1" max="1" width="37.140625" style="17" customWidth="1"/>
    <col min="2" max="2" width="9.140625" style="17" bestFit="1" customWidth="1"/>
    <col min="3" max="3" width="0" style="17" hidden="1" customWidth="1"/>
    <col min="4" max="4" width="1.85546875" style="17" customWidth="1"/>
    <col min="5" max="5" width="3.85546875" style="18" hidden="1" customWidth="1"/>
    <col min="6" max="6" width="12.7109375" style="17" bestFit="1" customWidth="1"/>
    <col min="7" max="7" width="12.28515625" style="17" bestFit="1" customWidth="1"/>
    <col min="8" max="10" width="12.7109375" style="17" bestFit="1" customWidth="1"/>
    <col min="11" max="11" width="13.140625" style="17" bestFit="1" customWidth="1"/>
    <col min="12" max="16384" width="11.42578125" style="17"/>
  </cols>
  <sheetData>
    <row r="1" spans="1:11" s="16" customFormat="1" hidden="1" x14ac:dyDescent="0.3">
      <c r="A1" s="15" t="s">
        <v>69</v>
      </c>
      <c r="D1" s="15" t="s">
        <v>68</v>
      </c>
      <c r="E1" s="16" t="str">
        <f>IF(AND(LEN(D1)&gt;0,LEN(D1)&lt;=2),MID(D1,1,2),MID(D1,1,FIND(".",D1)-1))</f>
        <v>1</v>
      </c>
      <c r="F1" s="16" t="str">
        <f>IF(LEN(D1)&gt;2,MID(D1,FIND(".",D1)+2,2),0)</f>
        <v>3</v>
      </c>
      <c r="G1" s="16" t="str">
        <f>IF(E1="1","Enero",IF(E1="2","Febrero",IF(E1="3","Marzo",IF(E1="4","Abril",IF(E1="5","Mayo",IF(E1="6","Junio",IF(E1="7","Julio",IF(E1="8","Agosto",IF(E1="9","Septiembre",IF(E1="10","Octubre",IF(E1="11","Noviembre","Diciembre")))))))))))</f>
        <v>Enero</v>
      </c>
      <c r="H1" s="16" t="str">
        <f>IF(F1&lt;&gt;0,IF(F1="1","Enero",IF(F1="2","Febrero",IF(F1="3","Marzo",IF(F1="4","Abril",IF(F1="5","Mayo",IF(F1="6","Junio",IF(F1="7","Julio",IF(F1="8","Agosto",IF(F1="9","Septiembre",IF(F1="10","Octubre",IF(F1="11","Noviembre","Diciembre"))))))))))),0)</f>
        <v>Marzo</v>
      </c>
      <c r="I1" s="16" t="str">
        <f>IF(OR(F1="13",F1="14",F1="15",F1="16"),12,F1)</f>
        <v>3</v>
      </c>
    </row>
    <row r="2" spans="1:11" ht="17.25" thickBot="1" x14ac:dyDescent="0.35"/>
    <row r="3" spans="1:11" ht="18.75" x14ac:dyDescent="0.3">
      <c r="A3" s="264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x14ac:dyDescent="0.3">
      <c r="A4" s="267" t="s">
        <v>72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17.25" thickBot="1" x14ac:dyDescent="0.35">
      <c r="A5" s="270" t="str">
        <f>IF( F1=0,CONCATENATE(G1," del ",A1),CONCATENATE("Del ",1," de ", G1, " al ",DAY(EOMONTH(DATE(A1,I1,1),0))," de ",H1," del ",A1))</f>
        <v>Del 1 de Enero al 31 de Marzo del 2017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</row>
    <row r="6" spans="1:11" ht="17.25" hidden="1" thickBot="1" x14ac:dyDescent="0.35">
      <c r="A6" s="273" t="e">
        <f>CONCATENATE("Elaborado el ",MID(#REF!,1,2), " de ",IF(MID(#REF!,4,2)="01","Enero",IF(MID(#REF!,4,2)="02","Febrero",IF(MID(#REF!,4,2)="03","Marzo",IF(MID(#REF!,4,2)="04","Abril",IF(MID(#REF!,4,2)="05","Mayo",IF(MID(#REF!,4,2)="06","Junio",IF(MID(#REF!,4,2)="07","Julio",IF(MID(#REF!,4,2)="08","Agosto",IF(MID(#REF!,4,2)="09","Septiembre",IF(MID(#REF!,4,2)="10","Octubre",IF(MID(#REF!,4,2)="11","Noviembre","Diciembre")))))))))))," del ",MID(#REF!,7,4))</f>
        <v>#REF!</v>
      </c>
      <c r="B6" s="274"/>
      <c r="C6" s="274"/>
      <c r="D6" s="274"/>
      <c r="E6" s="274"/>
      <c r="F6" s="274"/>
      <c r="G6" s="274"/>
      <c r="H6" s="274"/>
      <c r="I6" s="274"/>
      <c r="J6" s="274"/>
      <c r="K6" s="275"/>
    </row>
    <row r="7" spans="1:11" ht="17.25" thickBot="1" x14ac:dyDescent="0.35">
      <c r="A7" s="290" t="s">
        <v>1</v>
      </c>
      <c r="B7" s="291"/>
      <c r="C7" s="291"/>
      <c r="D7" s="291"/>
      <c r="E7" s="296" t="s">
        <v>2</v>
      </c>
      <c r="F7" s="299" t="s">
        <v>3</v>
      </c>
      <c r="G7" s="300"/>
      <c r="H7" s="300"/>
      <c r="I7" s="300"/>
      <c r="J7" s="301"/>
      <c r="K7" s="43"/>
    </row>
    <row r="8" spans="1:11" ht="27.75" thickBot="1" x14ac:dyDescent="0.35">
      <c r="A8" s="292"/>
      <c r="B8" s="293"/>
      <c r="C8" s="293"/>
      <c r="D8" s="293"/>
      <c r="E8" s="297"/>
      <c r="F8" s="44" t="s">
        <v>4</v>
      </c>
      <c r="G8" s="45" t="s">
        <v>5</v>
      </c>
      <c r="H8" s="44" t="s">
        <v>6</v>
      </c>
      <c r="I8" s="46" t="s">
        <v>7</v>
      </c>
      <c r="J8" s="44" t="s">
        <v>8</v>
      </c>
      <c r="K8" s="47" t="s">
        <v>9</v>
      </c>
    </row>
    <row r="9" spans="1:11" ht="17.25" thickBot="1" x14ac:dyDescent="0.35">
      <c r="A9" s="294"/>
      <c r="B9" s="295"/>
      <c r="C9" s="295"/>
      <c r="D9" s="295"/>
      <c r="E9" s="298"/>
      <c r="F9" s="48" t="s">
        <v>10</v>
      </c>
      <c r="G9" s="49" t="s">
        <v>11</v>
      </c>
      <c r="H9" s="48" t="s">
        <v>12</v>
      </c>
      <c r="I9" s="49" t="s">
        <v>13</v>
      </c>
      <c r="J9" s="48" t="s">
        <v>14</v>
      </c>
      <c r="K9" s="50" t="s">
        <v>37</v>
      </c>
    </row>
    <row r="10" spans="1:11" x14ac:dyDescent="0.3">
      <c r="A10" s="27" t="s">
        <v>15</v>
      </c>
      <c r="B10" s="28"/>
      <c r="C10" s="28"/>
      <c r="D10" s="28"/>
      <c r="E10" s="29">
        <v>1</v>
      </c>
      <c r="F10" s="30">
        <v>2884280750</v>
      </c>
      <c r="G10" s="30">
        <v>0</v>
      </c>
      <c r="H10" s="30">
        <v>2884280750</v>
      </c>
      <c r="I10" s="30">
        <v>818600194.5</v>
      </c>
      <c r="J10" s="30">
        <v>818600194.5</v>
      </c>
      <c r="K10" s="31">
        <v>-2065680555.5</v>
      </c>
    </row>
    <row r="11" spans="1:11" x14ac:dyDescent="0.3">
      <c r="A11" s="27" t="s">
        <v>73</v>
      </c>
      <c r="B11" s="28"/>
      <c r="C11" s="28"/>
      <c r="D11" s="28"/>
      <c r="E11" s="29">
        <v>2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1">
        <v>0</v>
      </c>
    </row>
    <row r="12" spans="1:11" x14ac:dyDescent="0.3">
      <c r="A12" s="27" t="s">
        <v>16</v>
      </c>
      <c r="B12" s="28"/>
      <c r="C12" s="28"/>
      <c r="D12" s="28"/>
      <c r="E12" s="29">
        <v>3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</row>
    <row r="13" spans="1:11" x14ac:dyDescent="0.3">
      <c r="A13" s="27" t="s">
        <v>17</v>
      </c>
      <c r="B13" s="28"/>
      <c r="C13" s="28"/>
      <c r="D13" s="28"/>
      <c r="E13" s="29">
        <v>4</v>
      </c>
      <c r="F13" s="30">
        <v>1725981511</v>
      </c>
      <c r="G13" s="30">
        <v>0</v>
      </c>
      <c r="H13" s="30">
        <v>1725981511</v>
      </c>
      <c r="I13" s="30">
        <v>653391273.44000006</v>
      </c>
      <c r="J13" s="30">
        <v>653391273.44000006</v>
      </c>
      <c r="K13" s="31">
        <v>-1072590237.5599999</v>
      </c>
    </row>
    <row r="14" spans="1:11" x14ac:dyDescent="0.3">
      <c r="A14" s="27" t="s">
        <v>18</v>
      </c>
      <c r="B14" s="28"/>
      <c r="C14" s="28"/>
      <c r="D14" s="28"/>
      <c r="E14" s="29">
        <v>5</v>
      </c>
      <c r="F14" s="30">
        <v>45792731</v>
      </c>
      <c r="G14" s="30">
        <v>0</v>
      </c>
      <c r="H14" s="30">
        <v>45792731</v>
      </c>
      <c r="I14" s="30">
        <v>27109548.739999998</v>
      </c>
      <c r="J14" s="30">
        <v>27109548.739999998</v>
      </c>
      <c r="K14" s="30">
        <v>-18683182.260000002</v>
      </c>
    </row>
    <row r="15" spans="1:11" x14ac:dyDescent="0.3">
      <c r="A15" s="27"/>
      <c r="B15" s="28" t="s">
        <v>19</v>
      </c>
      <c r="C15" s="35"/>
      <c r="D15" s="35"/>
      <c r="E15" s="51">
        <v>51</v>
      </c>
      <c r="F15" s="30">
        <v>39003916</v>
      </c>
      <c r="G15" s="30">
        <v>0</v>
      </c>
      <c r="H15" s="30">
        <v>39003916</v>
      </c>
      <c r="I15" s="30">
        <v>25645156.969999999</v>
      </c>
      <c r="J15" s="30">
        <v>25645156.969999999</v>
      </c>
      <c r="K15" s="31">
        <v>-13358759.030000001</v>
      </c>
    </row>
    <row r="16" spans="1:11" x14ac:dyDescent="0.3">
      <c r="A16" s="27"/>
      <c r="B16" s="28" t="s">
        <v>20</v>
      </c>
      <c r="C16" s="35"/>
      <c r="D16" s="35"/>
      <c r="E16" s="51">
        <v>52</v>
      </c>
      <c r="F16" s="30">
        <v>6788815</v>
      </c>
      <c r="G16" s="30">
        <v>0</v>
      </c>
      <c r="H16" s="30">
        <v>6788815</v>
      </c>
      <c r="I16" s="30">
        <v>1464391.77</v>
      </c>
      <c r="J16" s="30">
        <v>1464391.77</v>
      </c>
      <c r="K16" s="31">
        <v>-5324423.2300000004</v>
      </c>
    </row>
    <row r="17" spans="1:11" x14ac:dyDescent="0.3">
      <c r="A17" s="27" t="s">
        <v>21</v>
      </c>
      <c r="B17" s="28"/>
      <c r="C17" s="28"/>
      <c r="D17" s="28"/>
      <c r="E17" s="29">
        <v>6</v>
      </c>
      <c r="F17" s="30">
        <v>1961829144</v>
      </c>
      <c r="G17" s="30">
        <v>0</v>
      </c>
      <c r="H17" s="30">
        <v>1961829144</v>
      </c>
      <c r="I17" s="30">
        <v>655284933.04000008</v>
      </c>
      <c r="J17" s="30">
        <v>655284933.04000008</v>
      </c>
      <c r="K17" s="30">
        <v>-1306544210.96</v>
      </c>
    </row>
    <row r="18" spans="1:11" x14ac:dyDescent="0.3">
      <c r="A18" s="27"/>
      <c r="B18" s="28" t="s">
        <v>19</v>
      </c>
      <c r="C18" s="35"/>
      <c r="D18" s="35"/>
      <c r="E18" s="51">
        <v>61</v>
      </c>
      <c r="F18" s="30">
        <v>1960068474</v>
      </c>
      <c r="G18" s="30">
        <v>0</v>
      </c>
      <c r="H18" s="30">
        <v>1960068474</v>
      </c>
      <c r="I18" s="30">
        <v>654883427.60000002</v>
      </c>
      <c r="J18" s="30">
        <v>654883427.60000002</v>
      </c>
      <c r="K18" s="31">
        <v>-1305185046.4000001</v>
      </c>
    </row>
    <row r="19" spans="1:11" x14ac:dyDescent="0.3">
      <c r="A19" s="27"/>
      <c r="B19" s="28" t="s">
        <v>20</v>
      </c>
      <c r="C19" s="35"/>
      <c r="D19" s="35"/>
      <c r="E19" s="51">
        <v>69</v>
      </c>
      <c r="F19" s="30">
        <v>1760670</v>
      </c>
      <c r="G19" s="30">
        <v>0</v>
      </c>
      <c r="H19" s="30">
        <v>1760670</v>
      </c>
      <c r="I19" s="30">
        <v>401505.44</v>
      </c>
      <c r="J19" s="30">
        <v>401505.44</v>
      </c>
      <c r="K19" s="31">
        <v>-1359164.56</v>
      </c>
    </row>
    <row r="20" spans="1:11" x14ac:dyDescent="0.3">
      <c r="A20" s="27" t="s">
        <v>35</v>
      </c>
      <c r="B20" s="28"/>
      <c r="C20" s="28"/>
      <c r="D20" s="28"/>
      <c r="E20" s="29">
        <v>7</v>
      </c>
      <c r="F20" s="30">
        <v>4788853</v>
      </c>
      <c r="G20" s="30">
        <v>0</v>
      </c>
      <c r="H20" s="30">
        <v>4788853</v>
      </c>
      <c r="I20" s="30">
        <v>695537.05</v>
      </c>
      <c r="J20" s="30">
        <v>695537.05</v>
      </c>
      <c r="K20" s="31">
        <v>-4093315.95</v>
      </c>
    </row>
    <row r="21" spans="1:11" x14ac:dyDescent="0.3">
      <c r="A21" s="27" t="s">
        <v>22</v>
      </c>
      <c r="B21" s="28"/>
      <c r="C21" s="28"/>
      <c r="D21" s="28"/>
      <c r="E21" s="29">
        <v>8</v>
      </c>
      <c r="F21" s="30">
        <v>34974309022</v>
      </c>
      <c r="G21" s="30">
        <v>0</v>
      </c>
      <c r="H21" s="30">
        <v>34974309022</v>
      </c>
      <c r="I21" s="30">
        <v>10578129236.870001</v>
      </c>
      <c r="J21" s="30">
        <v>10578129236.870001</v>
      </c>
      <c r="K21" s="31">
        <v>-24396179785.129997</v>
      </c>
    </row>
    <row r="22" spans="1:11" x14ac:dyDescent="0.3">
      <c r="A22" s="27" t="s">
        <v>23</v>
      </c>
      <c r="B22" s="28"/>
      <c r="C22" s="28"/>
      <c r="D22" s="28"/>
      <c r="E22" s="29">
        <v>9</v>
      </c>
      <c r="F22" s="30">
        <v>10354897933</v>
      </c>
      <c r="G22" s="30">
        <v>0</v>
      </c>
      <c r="H22" s="30">
        <v>10354897933</v>
      </c>
      <c r="I22" s="30">
        <v>2311580053.4400001</v>
      </c>
      <c r="J22" s="30">
        <v>2311580053.4400001</v>
      </c>
      <c r="K22" s="31">
        <v>-8043317879.5599995</v>
      </c>
    </row>
    <row r="23" spans="1:11" ht="17.25" thickBot="1" x14ac:dyDescent="0.35">
      <c r="A23" s="27" t="s">
        <v>24</v>
      </c>
      <c r="B23" s="28"/>
      <c r="C23" s="28"/>
      <c r="D23" s="28"/>
      <c r="E23" s="29">
        <v>0</v>
      </c>
      <c r="F23" s="30">
        <v>4500000000</v>
      </c>
      <c r="G23" s="30">
        <v>0</v>
      </c>
      <c r="H23" s="30">
        <v>4500000000</v>
      </c>
      <c r="I23" s="30">
        <v>2016150842.1400001</v>
      </c>
      <c r="J23" s="30">
        <v>2016150842.1400001</v>
      </c>
      <c r="K23" s="31">
        <v>-2483849157.8599997</v>
      </c>
    </row>
    <row r="24" spans="1:11" ht="17.25" thickBot="1" x14ac:dyDescent="0.35">
      <c r="A24" s="258" t="s">
        <v>25</v>
      </c>
      <c r="B24" s="259"/>
      <c r="C24" s="259"/>
      <c r="D24" s="259"/>
      <c r="E24" s="39"/>
      <c r="F24" s="40">
        <f>SUM(F10,F11,F12,F13,F14,F17,F20,F21,F22,F23)</f>
        <v>56451879944</v>
      </c>
      <c r="G24" s="40">
        <f t="shared" ref="G24:K25" si="0">SUM(G10,G11,G12,G13,G14,G17,G20,G21,G22,G23)</f>
        <v>0</v>
      </c>
      <c r="H24" s="40">
        <f t="shared" si="0"/>
        <v>56451879944</v>
      </c>
      <c r="I24" s="40">
        <f t="shared" si="0"/>
        <v>17060941619.220001</v>
      </c>
      <c r="J24" s="40">
        <f t="shared" si="0"/>
        <v>17060941619.220001</v>
      </c>
      <c r="K24" s="260">
        <f>IF(SUM(K10,K11,K12,K13,K14,K17,K20,K21,K22,K23)&gt;0,SUM(K10,K11,K12,K13,K14,K17,K20,K21,K22,K23),0)</f>
        <v>0</v>
      </c>
    </row>
    <row r="25" spans="1:11" ht="17.25" thickBot="1" x14ac:dyDescent="0.35">
      <c r="A25" s="35"/>
      <c r="B25" s="35"/>
      <c r="C25" s="35"/>
      <c r="D25" s="35"/>
      <c r="E25" s="35"/>
      <c r="F25" s="35"/>
      <c r="G25" s="35"/>
      <c r="H25" s="35"/>
      <c r="I25" s="288" t="s">
        <v>70</v>
      </c>
      <c r="J25" s="289"/>
      <c r="K25" s="261">
        <f t="shared" si="0"/>
        <v>-37333164047.799995</v>
      </c>
    </row>
    <row r="27" spans="1:11" x14ac:dyDescent="0.3">
      <c r="A27" s="263" t="s">
        <v>71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</row>
    <row r="28" spans="1:11" x14ac:dyDescent="0.3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</row>
  </sheetData>
  <mergeCells count="11">
    <mergeCell ref="A24:D24"/>
    <mergeCell ref="K24:K25"/>
    <mergeCell ref="I25:J25"/>
    <mergeCell ref="A27:K28"/>
    <mergeCell ref="A3:K3"/>
    <mergeCell ref="A4:K4"/>
    <mergeCell ref="A5:K5"/>
    <mergeCell ref="A6:K6"/>
    <mergeCell ref="A7:D9"/>
    <mergeCell ref="E7:E9"/>
    <mergeCell ref="F7:J7"/>
  </mergeCells>
  <pageMargins left="0.7" right="0.7" top="0.75" bottom="0.75" header="0.3" footer="0.3"/>
  <pageSetup paperSize="128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71"/>
  <sheetViews>
    <sheetView workbookViewId="0">
      <selection activeCell="J28" sqref="J28"/>
    </sheetView>
  </sheetViews>
  <sheetFormatPr baseColWidth="10" defaultRowHeight="12.75" x14ac:dyDescent="0.2"/>
  <cols>
    <col min="1" max="1" width="42.85546875" style="53" customWidth="1"/>
    <col min="2" max="2" width="12.7109375" style="55" bestFit="1" customWidth="1"/>
    <col min="3" max="3" width="11.7109375" style="55" bestFit="1" customWidth="1"/>
    <col min="4" max="4" width="13.140625" style="55" bestFit="1" customWidth="1"/>
    <col min="5" max="5" width="9" style="55" bestFit="1" customWidth="1"/>
    <col min="6" max="6" width="0.7109375" style="52" customWidth="1"/>
    <col min="7" max="16384" width="11.42578125" style="53"/>
  </cols>
  <sheetData>
    <row r="5" spans="1:5" x14ac:dyDescent="0.2">
      <c r="A5" s="302"/>
      <c r="B5" s="302"/>
      <c r="C5" s="302"/>
      <c r="D5" s="302"/>
      <c r="E5" s="302"/>
    </row>
    <row r="6" spans="1:5" x14ac:dyDescent="0.2">
      <c r="A6" s="302"/>
      <c r="B6" s="302"/>
      <c r="C6" s="302"/>
      <c r="D6" s="302"/>
      <c r="E6" s="302"/>
    </row>
    <row r="7" spans="1:5" x14ac:dyDescent="0.2">
      <c r="A7" s="302" t="s">
        <v>0</v>
      </c>
      <c r="B7" s="302"/>
      <c r="C7" s="302"/>
      <c r="D7" s="302"/>
      <c r="E7" s="302"/>
    </row>
    <row r="8" spans="1:5" x14ac:dyDescent="0.2">
      <c r="A8" s="302" t="s">
        <v>74</v>
      </c>
      <c r="B8" s="302"/>
      <c r="C8" s="302"/>
      <c r="D8" s="302"/>
      <c r="E8" s="302"/>
    </row>
    <row r="9" spans="1:5" x14ac:dyDescent="0.2">
      <c r="A9" s="302" t="s">
        <v>75</v>
      </c>
      <c r="B9" s="302"/>
      <c r="C9" s="302"/>
      <c r="D9" s="302"/>
      <c r="E9" s="302"/>
    </row>
    <row r="10" spans="1:5" ht="13.5" thickBot="1" x14ac:dyDescent="0.25">
      <c r="A10" s="54"/>
    </row>
    <row r="11" spans="1:5" ht="13.5" thickBot="1" x14ac:dyDescent="0.25">
      <c r="A11" s="56" t="s">
        <v>76</v>
      </c>
      <c r="B11" s="57" t="s">
        <v>77</v>
      </c>
      <c r="C11" s="57" t="s">
        <v>78</v>
      </c>
      <c r="D11" s="58" t="s">
        <v>79</v>
      </c>
      <c r="E11" s="58" t="s">
        <v>80</v>
      </c>
    </row>
    <row r="12" spans="1:5" x14ac:dyDescent="0.2">
      <c r="A12" s="59" t="s">
        <v>81</v>
      </c>
      <c r="B12" s="60">
        <f>ROUND(+B26,0)</f>
        <v>2884280750</v>
      </c>
      <c r="C12" s="60">
        <f t="shared" ref="C12:D12" si="0">ROUND(+C26,0)</f>
        <v>818600195</v>
      </c>
      <c r="D12" s="60">
        <f t="shared" si="0"/>
        <v>-2065680556</v>
      </c>
      <c r="E12" s="61">
        <f>+E26</f>
        <v>28.381432528716218</v>
      </c>
    </row>
    <row r="13" spans="1:5" x14ac:dyDescent="0.2">
      <c r="A13" s="59" t="s">
        <v>82</v>
      </c>
      <c r="B13" s="60">
        <f>ROUND(+B48,0)</f>
        <v>1725981511</v>
      </c>
      <c r="C13" s="60">
        <f t="shared" ref="C13:D13" si="1">ROUND(+C48,0)</f>
        <v>653391273</v>
      </c>
      <c r="D13" s="60">
        <f t="shared" si="1"/>
        <v>-1072590238</v>
      </c>
      <c r="E13" s="61">
        <f>+E48</f>
        <v>37.856215077381556</v>
      </c>
    </row>
    <row r="14" spans="1:5" x14ac:dyDescent="0.2">
      <c r="A14" s="59" t="s">
        <v>83</v>
      </c>
      <c r="B14" s="60">
        <f>ROUND(+B136,0)</f>
        <v>45792731</v>
      </c>
      <c r="C14" s="60">
        <f>ROUND(+C136,0)</f>
        <v>27109549</v>
      </c>
      <c r="D14" s="60">
        <f>ROUND(+D136,0)</f>
        <v>-18683182</v>
      </c>
      <c r="E14" s="61">
        <f>+E136</f>
        <v>59.200550847251279</v>
      </c>
    </row>
    <row r="15" spans="1:5" ht="13.5" thickBot="1" x14ac:dyDescent="0.25">
      <c r="A15" s="59" t="s">
        <v>84</v>
      </c>
      <c r="B15" s="60">
        <f>ROUND(+B175,0)</f>
        <v>1961829144</v>
      </c>
      <c r="C15" s="60">
        <f>ROUND(+C175,0)</f>
        <v>655284934</v>
      </c>
      <c r="D15" s="60">
        <f>ROUND(+D175,0)</f>
        <v>-1306544210</v>
      </c>
      <c r="E15" s="61">
        <f>+E175</f>
        <v>33.401733071613499</v>
      </c>
    </row>
    <row r="16" spans="1:5" ht="13.5" thickBot="1" x14ac:dyDescent="0.25">
      <c r="A16" s="62" t="s">
        <v>85</v>
      </c>
      <c r="B16" s="63">
        <f>ROUND(SUM(B12:B15),0)</f>
        <v>6617884136</v>
      </c>
      <c r="C16" s="63">
        <f t="shared" ref="C16:D16" si="2">ROUND(SUM(C12:C15),0)</f>
        <v>2154385951</v>
      </c>
      <c r="D16" s="63">
        <f t="shared" si="2"/>
        <v>-4463498186</v>
      </c>
      <c r="E16" s="64">
        <f>+C16/B16*100</f>
        <v>32.553999234899869</v>
      </c>
    </row>
    <row r="17" spans="1:5" x14ac:dyDescent="0.2">
      <c r="A17" s="65" t="s">
        <v>86</v>
      </c>
      <c r="B17" s="66">
        <f>ROUND(+B224,0)</f>
        <v>4788853</v>
      </c>
      <c r="C17" s="66">
        <f t="shared" ref="C17:D17" si="3">ROUND(+C224,0)</f>
        <v>695537</v>
      </c>
      <c r="D17" s="66">
        <f t="shared" si="3"/>
        <v>-4093316</v>
      </c>
      <c r="E17" s="67">
        <f>+E224</f>
        <v>14.524083324336745</v>
      </c>
    </row>
    <row r="18" spans="1:5" x14ac:dyDescent="0.2">
      <c r="A18" s="68" t="s">
        <v>87</v>
      </c>
      <c r="B18" s="66">
        <f>ROUND(+B229,0)</f>
        <v>34974309022</v>
      </c>
      <c r="C18" s="66">
        <f t="shared" ref="C18:D18" si="4">ROUND(+C229,0)</f>
        <v>10578129236</v>
      </c>
      <c r="D18" s="66">
        <f t="shared" si="4"/>
        <v>-24396179785</v>
      </c>
      <c r="E18" s="67">
        <f>+E229</f>
        <v>30.245427377410106</v>
      </c>
    </row>
    <row r="19" spans="1:5" ht="25.5" x14ac:dyDescent="0.2">
      <c r="A19" s="65" t="s">
        <v>88</v>
      </c>
      <c r="B19" s="66">
        <f>ROUND(+B272,0)</f>
        <v>10354897933</v>
      </c>
      <c r="C19" s="66">
        <f t="shared" ref="C19:D19" si="5">ROUND(+C272,0)</f>
        <v>2311580053</v>
      </c>
      <c r="D19" s="66">
        <f t="shared" si="5"/>
        <v>-8043317880</v>
      </c>
      <c r="E19" s="67">
        <f>+E272</f>
        <v>22.32354261680582</v>
      </c>
    </row>
    <row r="20" spans="1:5" ht="13.5" thickBot="1" x14ac:dyDescent="0.25">
      <c r="A20" s="69" t="s">
        <v>89</v>
      </c>
      <c r="B20" s="66">
        <f>ROUND(+B365,0)</f>
        <v>4500000000</v>
      </c>
      <c r="C20" s="66">
        <f>ROUND(+C365,0)</f>
        <v>2016150842</v>
      </c>
      <c r="D20" s="66">
        <f t="shared" ref="D20" si="6">ROUND(+D365,0)</f>
        <v>-2483849158</v>
      </c>
      <c r="E20" s="67">
        <f>+E365</f>
        <v>44.803352047555556</v>
      </c>
    </row>
    <row r="21" spans="1:5" ht="13.5" thickBot="1" x14ac:dyDescent="0.25">
      <c r="A21" s="62" t="s">
        <v>90</v>
      </c>
      <c r="B21" s="63">
        <f>ROUND(SUM(B16:B20),0)</f>
        <v>56451879944</v>
      </c>
      <c r="C21" s="63">
        <f>ROUND(SUM(C16:C20),0)</f>
        <v>17060941619</v>
      </c>
      <c r="D21" s="63">
        <f t="shared" ref="D21" si="7">ROUND(SUM(D16:D20),0)</f>
        <v>-39390938325</v>
      </c>
      <c r="E21" s="64">
        <f>+C21/B21*100</f>
        <v>30.222096475660994</v>
      </c>
    </row>
    <row r="22" spans="1:5" x14ac:dyDescent="0.2">
      <c r="A22" s="70"/>
      <c r="B22" s="71"/>
      <c r="C22" s="71"/>
      <c r="D22" s="71"/>
      <c r="E22" s="72"/>
    </row>
    <row r="23" spans="1:5" x14ac:dyDescent="0.2">
      <c r="B23" s="73"/>
    </row>
    <row r="24" spans="1:5" ht="17.25" thickBot="1" x14ac:dyDescent="0.35">
      <c r="A24" s="54"/>
      <c r="B24" s="53"/>
      <c r="C24" s="74"/>
      <c r="E24" s="75"/>
    </row>
    <row r="25" spans="1:5" ht="13.5" customHeight="1" thickBot="1" x14ac:dyDescent="0.25">
      <c r="A25" s="56" t="s">
        <v>76</v>
      </c>
      <c r="B25" s="57" t="s">
        <v>77</v>
      </c>
      <c r="C25" s="57" t="s">
        <v>78</v>
      </c>
      <c r="D25" s="58" t="s">
        <v>79</v>
      </c>
      <c r="E25" s="58" t="s">
        <v>80</v>
      </c>
    </row>
    <row r="26" spans="1:5" x14ac:dyDescent="0.2">
      <c r="A26" s="76" t="s">
        <v>81</v>
      </c>
      <c r="B26" s="77">
        <f>ROUND(SUM(B27:B33)+SUM(B37:B41),0)</f>
        <v>2884280750</v>
      </c>
      <c r="C26" s="77">
        <f>ROUND(SUM(C27:C33)+SUM(C37:C41),0)</f>
        <v>818600195</v>
      </c>
      <c r="D26" s="77">
        <f t="shared" ref="D26" si="8">ROUND(SUM(D27:D33)+SUM(D37:D41),0)</f>
        <v>-2065680556</v>
      </c>
      <c r="E26" s="78">
        <f>+C26/B26*100</f>
        <v>28.381432528716218</v>
      </c>
    </row>
    <row r="27" spans="1:5" ht="25.5" x14ac:dyDescent="0.2">
      <c r="A27" s="79" t="s">
        <v>91</v>
      </c>
      <c r="B27" s="80">
        <v>87075556</v>
      </c>
      <c r="C27" s="81">
        <v>18754949.510000002</v>
      </c>
      <c r="D27" s="80">
        <f>+C27-B27</f>
        <v>-68320606.489999995</v>
      </c>
      <c r="E27" s="82">
        <f>+C27/B27*100</f>
        <v>21.5387077287224</v>
      </c>
    </row>
    <row r="28" spans="1:5" x14ac:dyDescent="0.2">
      <c r="A28" s="83" t="s">
        <v>92</v>
      </c>
      <c r="B28" s="80">
        <v>93768840</v>
      </c>
      <c r="C28" s="81">
        <v>27771578.609999999</v>
      </c>
      <c r="D28" s="80">
        <f t="shared" ref="D28:D41" si="9">+C28-B28</f>
        <v>-65997261.390000001</v>
      </c>
      <c r="E28" s="82">
        <f t="shared" ref="E28:E40" si="10">+C28/B28*100</f>
        <v>29.617065338549565</v>
      </c>
    </row>
    <row r="29" spans="1:5" ht="25.5" x14ac:dyDescent="0.2">
      <c r="A29" s="79" t="s">
        <v>93</v>
      </c>
      <c r="B29" s="80">
        <v>10007475</v>
      </c>
      <c r="C29" s="81">
        <v>4129959</v>
      </c>
      <c r="D29" s="80">
        <f t="shared" si="9"/>
        <v>-5877516</v>
      </c>
      <c r="E29" s="82">
        <f t="shared" si="10"/>
        <v>41.268741615642305</v>
      </c>
    </row>
    <row r="30" spans="1:5" ht="25.5" x14ac:dyDescent="0.2">
      <c r="A30" s="79" t="s">
        <v>94</v>
      </c>
      <c r="B30" s="80">
        <v>20252041</v>
      </c>
      <c r="C30" s="81">
        <v>4993374</v>
      </c>
      <c r="D30" s="80">
        <f t="shared" si="9"/>
        <v>-15258667</v>
      </c>
      <c r="E30" s="82">
        <f t="shared" si="10"/>
        <v>24.656151940438992</v>
      </c>
    </row>
    <row r="31" spans="1:5" x14ac:dyDescent="0.2">
      <c r="A31" s="79" t="s">
        <v>95</v>
      </c>
      <c r="B31" s="80">
        <v>40154765</v>
      </c>
      <c r="C31" s="81">
        <v>7348353</v>
      </c>
      <c r="D31" s="80">
        <f t="shared" si="9"/>
        <v>-32806412</v>
      </c>
      <c r="E31" s="82">
        <f t="shared" si="10"/>
        <v>18.300077213750349</v>
      </c>
    </row>
    <row r="32" spans="1:5" x14ac:dyDescent="0.2">
      <c r="A32" s="79" t="s">
        <v>96</v>
      </c>
      <c r="B32" s="80">
        <v>1266298369</v>
      </c>
      <c r="C32" s="81">
        <v>338486497</v>
      </c>
      <c r="D32" s="80">
        <f t="shared" si="9"/>
        <v>-927811872</v>
      </c>
      <c r="E32" s="82">
        <f t="shared" si="10"/>
        <v>26.730390347679585</v>
      </c>
    </row>
    <row r="33" spans="1:5" x14ac:dyDescent="0.2">
      <c r="A33" s="84" t="s">
        <v>97</v>
      </c>
      <c r="B33" s="85">
        <f>ROUND(SUM(B34:B36),0)</f>
        <v>38331480</v>
      </c>
      <c r="C33" s="85">
        <f>SUM(C34:C36)</f>
        <v>12795868.43</v>
      </c>
      <c r="D33" s="85">
        <f t="shared" ref="D33" si="11">ROUND(SUM(D34:D36),0)</f>
        <v>-25535612</v>
      </c>
      <c r="E33" s="78">
        <f t="shared" si="10"/>
        <v>33.382140293043733</v>
      </c>
    </row>
    <row r="34" spans="1:5" x14ac:dyDescent="0.2">
      <c r="A34" s="83" t="s">
        <v>98</v>
      </c>
      <c r="B34" s="80">
        <v>22557574</v>
      </c>
      <c r="C34" s="81">
        <v>7964688.4500000002</v>
      </c>
      <c r="D34" s="80">
        <f t="shared" si="9"/>
        <v>-14592885.550000001</v>
      </c>
      <c r="E34" s="82">
        <f t="shared" si="10"/>
        <v>35.308266970552779</v>
      </c>
    </row>
    <row r="35" spans="1:5" x14ac:dyDescent="0.2">
      <c r="A35" s="83" t="s">
        <v>99</v>
      </c>
      <c r="B35" s="80">
        <v>12242097</v>
      </c>
      <c r="C35" s="81">
        <v>3727714.47</v>
      </c>
      <c r="D35" s="80">
        <f t="shared" si="9"/>
        <v>-8514382.5299999993</v>
      </c>
      <c r="E35" s="82">
        <f t="shared" si="10"/>
        <v>30.4499667826517</v>
      </c>
    </row>
    <row r="36" spans="1:5" x14ac:dyDescent="0.2">
      <c r="A36" s="83" t="s">
        <v>100</v>
      </c>
      <c r="B36" s="80">
        <v>3531809</v>
      </c>
      <c r="C36" s="81">
        <v>1103465.51</v>
      </c>
      <c r="D36" s="80">
        <f t="shared" si="9"/>
        <v>-2428343.4900000002</v>
      </c>
      <c r="E36" s="82">
        <f t="shared" si="10"/>
        <v>31.243634919102366</v>
      </c>
    </row>
    <row r="37" spans="1:5" ht="25.5" x14ac:dyDescent="0.2">
      <c r="A37" s="83" t="s">
        <v>101</v>
      </c>
      <c r="B37" s="80">
        <v>425470308</v>
      </c>
      <c r="C37" s="81">
        <v>126063125</v>
      </c>
      <c r="D37" s="80">
        <f t="shared" si="9"/>
        <v>-299407183</v>
      </c>
      <c r="E37" s="82">
        <f t="shared" si="10"/>
        <v>29.629123966977268</v>
      </c>
    </row>
    <row r="38" spans="1:5" ht="25.5" x14ac:dyDescent="0.2">
      <c r="A38" s="83" t="s">
        <v>102</v>
      </c>
      <c r="B38" s="80">
        <v>425470308</v>
      </c>
      <c r="C38" s="81">
        <v>126800689</v>
      </c>
      <c r="D38" s="80">
        <f t="shared" si="9"/>
        <v>-298669619</v>
      </c>
      <c r="E38" s="82">
        <f t="shared" si="10"/>
        <v>29.802476604313359</v>
      </c>
    </row>
    <row r="39" spans="1:5" ht="25.5" x14ac:dyDescent="0.2">
      <c r="A39" s="83" t="s">
        <v>103</v>
      </c>
      <c r="B39" s="80">
        <v>425470308</v>
      </c>
      <c r="C39" s="81">
        <v>126577214</v>
      </c>
      <c r="D39" s="80">
        <f t="shared" si="9"/>
        <v>-298893094</v>
      </c>
      <c r="E39" s="82">
        <f t="shared" si="10"/>
        <v>29.749952375055038</v>
      </c>
    </row>
    <row r="40" spans="1:5" ht="25.5" x14ac:dyDescent="0.2">
      <c r="A40" s="83" t="s">
        <v>104</v>
      </c>
      <c r="B40" s="80">
        <v>51981300</v>
      </c>
      <c r="C40" s="81">
        <v>24878587</v>
      </c>
      <c r="D40" s="80">
        <f t="shared" si="9"/>
        <v>-27102713</v>
      </c>
      <c r="E40" s="82">
        <f t="shared" si="10"/>
        <v>47.860647963786981</v>
      </c>
    </row>
    <row r="41" spans="1:5" ht="39" thickBot="1" x14ac:dyDescent="0.25">
      <c r="A41" s="86" t="s">
        <v>105</v>
      </c>
      <c r="B41" s="87">
        <v>0</v>
      </c>
      <c r="C41" s="88">
        <v>0</v>
      </c>
      <c r="D41" s="87">
        <f t="shared" si="9"/>
        <v>0</v>
      </c>
      <c r="E41" s="89">
        <v>0</v>
      </c>
    </row>
    <row r="42" spans="1:5" x14ac:dyDescent="0.2">
      <c r="A42" s="90"/>
      <c r="C42" s="91"/>
    </row>
    <row r="43" spans="1:5" x14ac:dyDescent="0.2">
      <c r="A43" s="54"/>
      <c r="C43" s="91"/>
      <c r="D43" s="52"/>
    </row>
    <row r="44" spans="1:5" x14ac:dyDescent="0.2">
      <c r="A44" s="54"/>
      <c r="C44" s="91"/>
      <c r="D44" s="52"/>
    </row>
    <row r="45" spans="1:5" x14ac:dyDescent="0.2">
      <c r="A45" s="54"/>
      <c r="C45" s="91"/>
      <c r="D45" s="52"/>
    </row>
    <row r="46" spans="1:5" ht="13.5" thickBot="1" x14ac:dyDescent="0.25">
      <c r="A46" s="54"/>
      <c r="C46" s="91"/>
      <c r="D46" s="52"/>
    </row>
    <row r="47" spans="1:5" ht="13.5" thickBot="1" x14ac:dyDescent="0.25">
      <c r="A47" s="56" t="s">
        <v>76</v>
      </c>
      <c r="B47" s="57" t="s">
        <v>77</v>
      </c>
      <c r="C47" s="57" t="s">
        <v>78</v>
      </c>
      <c r="D47" s="58" t="s">
        <v>79</v>
      </c>
      <c r="E47" s="58" t="s">
        <v>80</v>
      </c>
    </row>
    <row r="48" spans="1:5" x14ac:dyDescent="0.2">
      <c r="A48" s="76" t="s">
        <v>82</v>
      </c>
      <c r="B48" s="77">
        <f>ROUND((+B49+B52+B111+B115),0)</f>
        <v>1725981511</v>
      </c>
      <c r="C48" s="77">
        <f>ROUND((+C49+C52+C111+C115),0)</f>
        <v>653391273</v>
      </c>
      <c r="D48" s="77">
        <f>ROUND((+D49+D52+D111+D115),0)</f>
        <v>-1072590238</v>
      </c>
      <c r="E48" s="78">
        <f>+C48/B48*100</f>
        <v>37.856215077381556</v>
      </c>
    </row>
    <row r="49" spans="1:5" ht="25.5" x14ac:dyDescent="0.2">
      <c r="A49" s="84" t="s">
        <v>106</v>
      </c>
      <c r="B49" s="85">
        <f>ROUND((+B50+B51),0)</f>
        <v>4022516</v>
      </c>
      <c r="C49" s="85">
        <f t="shared" ref="C49:D49" si="12">ROUND((+C50+C51),0)</f>
        <v>527865</v>
      </c>
      <c r="D49" s="85">
        <f t="shared" si="12"/>
        <v>-3494651</v>
      </c>
      <c r="E49" s="78">
        <f>+C49/B49*100</f>
        <v>13.122757000842258</v>
      </c>
    </row>
    <row r="50" spans="1:5" x14ac:dyDescent="0.2">
      <c r="A50" s="92" t="s">
        <v>107</v>
      </c>
      <c r="B50" s="80">
        <v>1754619</v>
      </c>
      <c r="C50" s="81">
        <v>331714.2</v>
      </c>
      <c r="D50" s="80">
        <f t="shared" ref="D50:D51" si="13">+C50-B50</f>
        <v>-1422904.8</v>
      </c>
      <c r="E50" s="82">
        <f>+C50/B50*100</f>
        <v>18.905198222520102</v>
      </c>
    </row>
    <row r="51" spans="1:5" x14ac:dyDescent="0.2">
      <c r="A51" s="83" t="s">
        <v>108</v>
      </c>
      <c r="B51" s="80">
        <v>2267897</v>
      </c>
      <c r="C51" s="81">
        <v>196151</v>
      </c>
      <c r="D51" s="80">
        <f t="shared" si="13"/>
        <v>-2071746</v>
      </c>
      <c r="E51" s="82">
        <f t="shared" ref="E51:E61" si="14">+C51/B51*100</f>
        <v>8.6490259478274361</v>
      </c>
    </row>
    <row r="52" spans="1:5" x14ac:dyDescent="0.2">
      <c r="A52" s="84" t="s">
        <v>109</v>
      </c>
      <c r="B52" s="77">
        <f>ROUND((B53+B58+B63+B67+B71+B72+B73+B77+B91+B96+B99+B100+B106+B107+B108+B109+B110),0)</f>
        <v>1659432337</v>
      </c>
      <c r="C52" s="77">
        <f>ROUND((C53+C58+C63+C67+C71+C72+C73+C77+C91+C96+C99+C100+C106+C107+C108+C109+C110),0)</f>
        <v>638057691</v>
      </c>
      <c r="D52" s="77">
        <f>ROUND((D53+D58+D63+D67+D71+D72+D73+D77+D91+D96+D99+D100+D106+D107+D108+D109+D110),0)</f>
        <v>-1021374646</v>
      </c>
      <c r="E52" s="78">
        <f t="shared" si="14"/>
        <v>38.450359003700676</v>
      </c>
    </row>
    <row r="53" spans="1:5" ht="38.25" customHeight="1" x14ac:dyDescent="0.2">
      <c r="A53" s="83" t="s">
        <v>110</v>
      </c>
      <c r="B53" s="77">
        <f>ROUND(SUM(B54:B57),0)</f>
        <v>236066788</v>
      </c>
      <c r="C53" s="77">
        <f>ROUND(SUM(C54:C57),0)</f>
        <v>153415226</v>
      </c>
      <c r="D53" s="77">
        <f>ROUND(SUM(D54:D57),0)</f>
        <v>-82651562</v>
      </c>
      <c r="E53" s="78">
        <f t="shared" si="14"/>
        <v>64.98806007391434</v>
      </c>
    </row>
    <row r="54" spans="1:5" ht="25.5" x14ac:dyDescent="0.2">
      <c r="A54" s="83" t="s">
        <v>111</v>
      </c>
      <c r="B54" s="81">
        <v>50950573</v>
      </c>
      <c r="C54" s="81">
        <v>6455071</v>
      </c>
      <c r="D54" s="80">
        <f t="shared" ref="D54:D57" si="15">+C54-B54</f>
        <v>-44495502</v>
      </c>
      <c r="E54" s="82">
        <f t="shared" si="14"/>
        <v>12.66928048090843</v>
      </c>
    </row>
    <row r="55" spans="1:5" ht="25.5" x14ac:dyDescent="0.2">
      <c r="A55" s="92" t="s">
        <v>112</v>
      </c>
      <c r="B55" s="81">
        <v>180662437</v>
      </c>
      <c r="C55" s="81">
        <v>144031852.50999999</v>
      </c>
      <c r="D55" s="80">
        <f t="shared" si="15"/>
        <v>-36630584.49000001</v>
      </c>
      <c r="E55" s="82">
        <f t="shared" si="14"/>
        <v>79.724294049016947</v>
      </c>
    </row>
    <row r="56" spans="1:5" ht="12.75" customHeight="1" x14ac:dyDescent="0.2">
      <c r="A56" s="92" t="s">
        <v>113</v>
      </c>
      <c r="B56" s="81">
        <v>2422603</v>
      </c>
      <c r="C56" s="81">
        <v>2212769</v>
      </c>
      <c r="D56" s="80">
        <f t="shared" si="15"/>
        <v>-209834</v>
      </c>
      <c r="E56" s="82">
        <f t="shared" si="14"/>
        <v>91.338490045624482</v>
      </c>
    </row>
    <row r="57" spans="1:5" x14ac:dyDescent="0.2">
      <c r="A57" s="92" t="s">
        <v>114</v>
      </c>
      <c r="B57" s="81">
        <v>2031175</v>
      </c>
      <c r="C57" s="81">
        <v>715533.49</v>
      </c>
      <c r="D57" s="80">
        <f t="shared" si="15"/>
        <v>-1315641.51</v>
      </c>
      <c r="E57" s="82">
        <f t="shared" si="14"/>
        <v>35.227564833163072</v>
      </c>
    </row>
    <row r="58" spans="1:5" x14ac:dyDescent="0.2">
      <c r="A58" s="83" t="s">
        <v>115</v>
      </c>
      <c r="B58" s="77">
        <f>ROUND((+B59+B60+B61+B62),0)</f>
        <v>30504</v>
      </c>
      <c r="C58" s="77">
        <f t="shared" ref="C58:D58" si="16">ROUND((+C59+C60+C61+C62),0)</f>
        <v>7482</v>
      </c>
      <c r="D58" s="77">
        <f t="shared" si="16"/>
        <v>-23022</v>
      </c>
      <c r="E58" s="82">
        <f t="shared" si="14"/>
        <v>24.527930763178599</v>
      </c>
    </row>
    <row r="59" spans="1:5" x14ac:dyDescent="0.2">
      <c r="A59" s="92" t="s">
        <v>116</v>
      </c>
      <c r="B59" s="80">
        <v>0</v>
      </c>
      <c r="C59" s="81">
        <v>0</v>
      </c>
      <c r="D59" s="93">
        <v>0</v>
      </c>
      <c r="E59" s="82">
        <v>0</v>
      </c>
    </row>
    <row r="60" spans="1:5" x14ac:dyDescent="0.2">
      <c r="A60" s="83" t="s">
        <v>117</v>
      </c>
      <c r="B60" s="80">
        <v>0</v>
      </c>
      <c r="C60" s="81">
        <v>0</v>
      </c>
      <c r="D60" s="93">
        <v>0</v>
      </c>
      <c r="E60" s="82">
        <v>0</v>
      </c>
    </row>
    <row r="61" spans="1:5" x14ac:dyDescent="0.2">
      <c r="A61" s="83" t="s">
        <v>118</v>
      </c>
      <c r="B61" s="80">
        <v>30504</v>
      </c>
      <c r="C61" s="81">
        <v>7482</v>
      </c>
      <c r="D61" s="80">
        <f t="shared" ref="D61" si="17">+C61-B61</f>
        <v>-23022</v>
      </c>
      <c r="E61" s="82">
        <f t="shared" si="14"/>
        <v>24.527930763178599</v>
      </c>
    </row>
    <row r="62" spans="1:5" x14ac:dyDescent="0.2">
      <c r="A62" s="92" t="s">
        <v>119</v>
      </c>
      <c r="B62" s="80">
        <v>0</v>
      </c>
      <c r="C62" s="81">
        <v>0</v>
      </c>
      <c r="D62" s="93">
        <v>0</v>
      </c>
      <c r="E62" s="94">
        <v>0</v>
      </c>
    </row>
    <row r="63" spans="1:5" ht="25.5" x14ac:dyDescent="0.2">
      <c r="A63" s="83" t="s">
        <v>120</v>
      </c>
      <c r="B63" s="80">
        <v>0</v>
      </c>
      <c r="C63" s="81">
        <v>0</v>
      </c>
      <c r="D63" s="80">
        <v>0</v>
      </c>
      <c r="E63" s="94">
        <v>0</v>
      </c>
    </row>
    <row r="64" spans="1:5" x14ac:dyDescent="0.2">
      <c r="A64" s="83" t="s">
        <v>121</v>
      </c>
      <c r="B64" s="80">
        <v>0</v>
      </c>
      <c r="C64" s="81">
        <v>0</v>
      </c>
      <c r="D64" s="80">
        <v>0</v>
      </c>
      <c r="E64" s="94">
        <v>0</v>
      </c>
    </row>
    <row r="65" spans="1:5" ht="25.5" x14ac:dyDescent="0.2">
      <c r="A65" s="92" t="s">
        <v>122</v>
      </c>
      <c r="B65" s="80">
        <v>0</v>
      </c>
      <c r="C65" s="81">
        <v>0</v>
      </c>
      <c r="D65" s="80">
        <v>0</v>
      </c>
      <c r="E65" s="94">
        <v>0</v>
      </c>
    </row>
    <row r="66" spans="1:5" ht="25.5" x14ac:dyDescent="0.2">
      <c r="A66" s="83" t="s">
        <v>123</v>
      </c>
      <c r="B66" s="80">
        <v>0</v>
      </c>
      <c r="C66" s="81">
        <v>0</v>
      </c>
      <c r="D66" s="80">
        <v>0</v>
      </c>
      <c r="E66" s="94">
        <v>0</v>
      </c>
    </row>
    <row r="67" spans="1:5" x14ac:dyDescent="0.2">
      <c r="A67" s="83" t="s">
        <v>124</v>
      </c>
      <c r="B67" s="77">
        <f>ROUND((+B68+B70+B69),0)</f>
        <v>1629173</v>
      </c>
      <c r="C67" s="77">
        <f t="shared" ref="C67:D67" si="18">ROUND((+C68+C70+C69),0)</f>
        <v>316047</v>
      </c>
      <c r="D67" s="77">
        <f t="shared" si="18"/>
        <v>-1313126</v>
      </c>
      <c r="E67" s="78">
        <f t="shared" ref="E67:E115" si="19">+C67/B67*100</f>
        <v>19.399228933943785</v>
      </c>
    </row>
    <row r="68" spans="1:5" ht="38.25" x14ac:dyDescent="0.2">
      <c r="A68" s="92" t="s">
        <v>125</v>
      </c>
      <c r="B68" s="80">
        <v>0</v>
      </c>
      <c r="C68" s="81">
        <v>0</v>
      </c>
      <c r="D68" s="80">
        <v>0</v>
      </c>
      <c r="E68" s="82">
        <v>0</v>
      </c>
    </row>
    <row r="69" spans="1:5" ht="25.5" x14ac:dyDescent="0.2">
      <c r="A69" s="83" t="s">
        <v>126</v>
      </c>
      <c r="B69" s="80">
        <v>1626755</v>
      </c>
      <c r="C69" s="81">
        <v>314760</v>
      </c>
      <c r="D69" s="80">
        <f t="shared" ref="D69:D115" si="20">+C69-B69</f>
        <v>-1311995</v>
      </c>
      <c r="E69" s="82">
        <f t="shared" si="19"/>
        <v>19.348949288614449</v>
      </c>
    </row>
    <row r="70" spans="1:5" ht="25.5" x14ac:dyDescent="0.2">
      <c r="A70" s="83" t="s">
        <v>127</v>
      </c>
      <c r="B70" s="80">
        <v>2418</v>
      </c>
      <c r="C70" s="81">
        <v>1287</v>
      </c>
      <c r="D70" s="80">
        <f t="shared" si="20"/>
        <v>-1131</v>
      </c>
      <c r="E70" s="82">
        <f t="shared" si="19"/>
        <v>53.225806451612897</v>
      </c>
    </row>
    <row r="71" spans="1:5" ht="25.5" x14ac:dyDescent="0.2">
      <c r="A71" s="92" t="s">
        <v>128</v>
      </c>
      <c r="B71" s="77">
        <v>2194775</v>
      </c>
      <c r="C71" s="85">
        <v>409563</v>
      </c>
      <c r="D71" s="77">
        <f t="shared" si="20"/>
        <v>-1785212</v>
      </c>
      <c r="E71" s="78">
        <f t="shared" si="19"/>
        <v>18.660819446184689</v>
      </c>
    </row>
    <row r="72" spans="1:5" x14ac:dyDescent="0.2">
      <c r="A72" s="83" t="s">
        <v>129</v>
      </c>
      <c r="B72" s="77">
        <v>63225</v>
      </c>
      <c r="C72" s="85">
        <v>32045</v>
      </c>
      <c r="D72" s="77">
        <f t="shared" si="20"/>
        <v>-31180</v>
      </c>
      <c r="E72" s="78">
        <f t="shared" si="19"/>
        <v>50.684064847765917</v>
      </c>
    </row>
    <row r="73" spans="1:5" ht="25.5" x14ac:dyDescent="0.2">
      <c r="A73" s="83" t="s">
        <v>130</v>
      </c>
      <c r="B73" s="77">
        <f>ROUND((+B74+B75+B76),0)</f>
        <v>6671228</v>
      </c>
      <c r="C73" s="77">
        <f t="shared" ref="C73:D73" si="21">ROUND((+C74+C75+C76),0)</f>
        <v>1609792</v>
      </c>
      <c r="D73" s="77">
        <f t="shared" si="21"/>
        <v>-5061436</v>
      </c>
      <c r="E73" s="78">
        <f t="shared" si="19"/>
        <v>24.130370000845421</v>
      </c>
    </row>
    <row r="74" spans="1:5" x14ac:dyDescent="0.2">
      <c r="A74" s="92" t="s">
        <v>131</v>
      </c>
      <c r="B74" s="80">
        <v>6401302</v>
      </c>
      <c r="C74" s="81">
        <v>1533389</v>
      </c>
      <c r="D74" s="80">
        <f t="shared" si="20"/>
        <v>-4867913</v>
      </c>
      <c r="E74" s="82">
        <f t="shared" si="19"/>
        <v>23.954329916007712</v>
      </c>
    </row>
    <row r="75" spans="1:5" x14ac:dyDescent="0.2">
      <c r="A75" s="83" t="s">
        <v>132</v>
      </c>
      <c r="B75" s="80">
        <v>258184</v>
      </c>
      <c r="C75" s="81">
        <v>73565</v>
      </c>
      <c r="D75" s="80">
        <f t="shared" si="20"/>
        <v>-184619</v>
      </c>
      <c r="E75" s="82">
        <f t="shared" si="19"/>
        <v>28.493245127505968</v>
      </c>
    </row>
    <row r="76" spans="1:5" x14ac:dyDescent="0.2">
      <c r="A76" s="83" t="s">
        <v>133</v>
      </c>
      <c r="B76" s="80">
        <v>11742</v>
      </c>
      <c r="C76" s="81">
        <v>2838</v>
      </c>
      <c r="D76" s="80">
        <f t="shared" si="20"/>
        <v>-8904</v>
      </c>
      <c r="E76" s="82">
        <f t="shared" si="19"/>
        <v>24.169647419519674</v>
      </c>
    </row>
    <row r="77" spans="1:5" ht="25.5" x14ac:dyDescent="0.2">
      <c r="A77" s="92" t="s">
        <v>134</v>
      </c>
      <c r="B77" s="85">
        <f>ROUND(SUM(B78:B84),0)</f>
        <v>1027493541</v>
      </c>
      <c r="C77" s="85">
        <f t="shared" ref="C77:D77" si="22">ROUND(SUM(C78:C84),0)</f>
        <v>390700020</v>
      </c>
      <c r="D77" s="85">
        <f t="shared" si="22"/>
        <v>-636793521</v>
      </c>
      <c r="E77" s="78">
        <f t="shared" si="19"/>
        <v>38.024571874170057</v>
      </c>
    </row>
    <row r="78" spans="1:5" x14ac:dyDescent="0.2">
      <c r="A78" s="92" t="s">
        <v>135</v>
      </c>
      <c r="B78" s="81">
        <v>151410935</v>
      </c>
      <c r="C78" s="81">
        <v>40348320.909999996</v>
      </c>
      <c r="D78" s="80">
        <f t="shared" ref="D78:D84" si="23">+C78-B78</f>
        <v>-111062614.09</v>
      </c>
      <c r="E78" s="82">
        <f t="shared" si="19"/>
        <v>26.648221219953498</v>
      </c>
    </row>
    <row r="79" spans="1:5" x14ac:dyDescent="0.2">
      <c r="A79" s="92" t="s">
        <v>136</v>
      </c>
      <c r="B79" s="81">
        <v>650978473</v>
      </c>
      <c r="C79" s="81">
        <v>288519135.92000002</v>
      </c>
      <c r="D79" s="80">
        <f t="shared" si="23"/>
        <v>-362459337.07999998</v>
      </c>
      <c r="E79" s="82">
        <f t="shared" si="19"/>
        <v>44.320841300692294</v>
      </c>
    </row>
    <row r="80" spans="1:5" x14ac:dyDescent="0.2">
      <c r="A80" s="92" t="s">
        <v>137</v>
      </c>
      <c r="B80" s="81">
        <v>164440882</v>
      </c>
      <c r="C80" s="81">
        <v>43935901</v>
      </c>
      <c r="D80" s="80">
        <f t="shared" si="23"/>
        <v>-120504981</v>
      </c>
      <c r="E80" s="82">
        <f t="shared" si="19"/>
        <v>26.718356448611118</v>
      </c>
    </row>
    <row r="81" spans="1:5" x14ac:dyDescent="0.2">
      <c r="A81" s="92" t="s">
        <v>138</v>
      </c>
      <c r="B81" s="81">
        <v>13122526</v>
      </c>
      <c r="C81" s="81">
        <v>3495607</v>
      </c>
      <c r="D81" s="80">
        <f t="shared" si="23"/>
        <v>-9626919</v>
      </c>
      <c r="E81" s="82">
        <f t="shared" si="19"/>
        <v>26.638217367601332</v>
      </c>
    </row>
    <row r="82" spans="1:5" x14ac:dyDescent="0.2">
      <c r="A82" s="92" t="s">
        <v>139</v>
      </c>
      <c r="B82" s="81">
        <v>275209</v>
      </c>
      <c r="C82" s="81">
        <v>32076</v>
      </c>
      <c r="D82" s="80">
        <f t="shared" si="23"/>
        <v>-243133</v>
      </c>
      <c r="E82" s="82">
        <f t="shared" si="19"/>
        <v>11.655142092010072</v>
      </c>
    </row>
    <row r="83" spans="1:5" x14ac:dyDescent="0.2">
      <c r="A83" s="92" t="s">
        <v>140</v>
      </c>
      <c r="B83" s="81">
        <v>15362677</v>
      </c>
      <c r="C83" s="81">
        <v>3939534</v>
      </c>
      <c r="D83" s="80">
        <f t="shared" si="23"/>
        <v>-11423143</v>
      </c>
      <c r="E83" s="82">
        <f t="shared" si="19"/>
        <v>25.643538557765684</v>
      </c>
    </row>
    <row r="84" spans="1:5" ht="13.5" thickBot="1" x14ac:dyDescent="0.25">
      <c r="A84" s="92" t="s">
        <v>141</v>
      </c>
      <c r="B84" s="81">
        <v>31902839</v>
      </c>
      <c r="C84" s="81">
        <v>10429445</v>
      </c>
      <c r="D84" s="80">
        <f t="shared" si="23"/>
        <v>-21473394</v>
      </c>
      <c r="E84" s="82">
        <f t="shared" si="19"/>
        <v>32.691275531936206</v>
      </c>
    </row>
    <row r="85" spans="1:5" x14ac:dyDescent="0.2">
      <c r="A85" s="126"/>
      <c r="B85" s="127"/>
      <c r="C85" s="127"/>
      <c r="D85" s="128"/>
      <c r="E85" s="129"/>
    </row>
    <row r="86" spans="1:5" x14ac:dyDescent="0.2">
      <c r="A86" s="130"/>
      <c r="B86" s="124"/>
      <c r="C86" s="124"/>
      <c r="D86" s="131"/>
      <c r="E86" s="132"/>
    </row>
    <row r="87" spans="1:5" x14ac:dyDescent="0.2">
      <c r="A87" s="130"/>
      <c r="B87" s="124"/>
      <c r="C87" s="124"/>
      <c r="D87" s="131"/>
      <c r="E87" s="132"/>
    </row>
    <row r="88" spans="1:5" ht="13.5" thickBot="1" x14ac:dyDescent="0.25">
      <c r="A88" s="133"/>
      <c r="B88" s="134"/>
      <c r="C88" s="134"/>
      <c r="D88" s="135"/>
      <c r="E88" s="136"/>
    </row>
    <row r="89" spans="1:5" ht="13.5" thickBot="1" x14ac:dyDescent="0.25">
      <c r="A89" s="56" t="s">
        <v>76</v>
      </c>
      <c r="B89" s="57" t="s">
        <v>77</v>
      </c>
      <c r="C89" s="57" t="s">
        <v>78</v>
      </c>
      <c r="D89" s="58" t="s">
        <v>79</v>
      </c>
      <c r="E89" s="58" t="s">
        <v>80</v>
      </c>
    </row>
    <row r="90" spans="1:5" x14ac:dyDescent="0.2">
      <c r="A90" s="76" t="s">
        <v>82</v>
      </c>
      <c r="B90" s="77"/>
      <c r="C90" s="85"/>
      <c r="D90" s="77"/>
      <c r="E90" s="95"/>
    </row>
    <row r="91" spans="1:5" x14ac:dyDescent="0.2">
      <c r="A91" s="83" t="s">
        <v>142</v>
      </c>
      <c r="B91" s="85">
        <f>ROUND(SUM(B92:B95),0)</f>
        <v>26673608</v>
      </c>
      <c r="C91" s="85">
        <f t="shared" ref="C91:D91" si="24">ROUND(SUM(C92:C95),0)</f>
        <v>9362933</v>
      </c>
      <c r="D91" s="85">
        <f t="shared" si="24"/>
        <v>-17310675</v>
      </c>
      <c r="E91" s="78">
        <f t="shared" si="19"/>
        <v>35.10186173539028</v>
      </c>
    </row>
    <row r="92" spans="1:5" x14ac:dyDescent="0.2">
      <c r="A92" s="83" t="s">
        <v>143</v>
      </c>
      <c r="B92" s="80">
        <v>3213437</v>
      </c>
      <c r="C92" s="81">
        <v>69267</v>
      </c>
      <c r="D92" s="80">
        <f t="shared" si="20"/>
        <v>-3144170</v>
      </c>
      <c r="E92" s="82">
        <f t="shared" si="19"/>
        <v>2.1555424923532032</v>
      </c>
    </row>
    <row r="93" spans="1:5" x14ac:dyDescent="0.2">
      <c r="A93" s="92" t="s">
        <v>144</v>
      </c>
      <c r="B93" s="80">
        <v>8507306</v>
      </c>
      <c r="C93" s="81">
        <v>4699565</v>
      </c>
      <c r="D93" s="80">
        <f t="shared" si="20"/>
        <v>-3807741</v>
      </c>
      <c r="E93" s="82">
        <f t="shared" si="19"/>
        <v>55.241518290278968</v>
      </c>
    </row>
    <row r="94" spans="1:5" x14ac:dyDescent="0.2">
      <c r="A94" s="83" t="s">
        <v>145</v>
      </c>
      <c r="B94" s="80">
        <v>10302369</v>
      </c>
      <c r="C94" s="81">
        <v>3277692</v>
      </c>
      <c r="D94" s="80">
        <f t="shared" si="20"/>
        <v>-7024677</v>
      </c>
      <c r="E94" s="82">
        <f t="shared" si="19"/>
        <v>31.814934992136273</v>
      </c>
    </row>
    <row r="95" spans="1:5" x14ac:dyDescent="0.2">
      <c r="A95" s="83" t="s">
        <v>146</v>
      </c>
      <c r="B95" s="80">
        <v>4650496</v>
      </c>
      <c r="C95" s="81">
        <v>1316409</v>
      </c>
      <c r="D95" s="80">
        <f t="shared" si="20"/>
        <v>-3334087</v>
      </c>
      <c r="E95" s="82">
        <f t="shared" si="19"/>
        <v>28.306851570241108</v>
      </c>
    </row>
    <row r="96" spans="1:5" ht="25.5" x14ac:dyDescent="0.2">
      <c r="A96" s="83" t="s">
        <v>147</v>
      </c>
      <c r="B96" s="85">
        <f t="shared" ref="B96:D96" si="25">ROUND(SUM(B97:B98),0)</f>
        <v>217000000</v>
      </c>
      <c r="C96" s="85">
        <f t="shared" si="25"/>
        <v>46107239</v>
      </c>
      <c r="D96" s="85">
        <f t="shared" si="25"/>
        <v>-170892761</v>
      </c>
      <c r="E96" s="78">
        <f t="shared" si="19"/>
        <v>21.247575576036866</v>
      </c>
    </row>
    <row r="97" spans="1:5" x14ac:dyDescent="0.2">
      <c r="A97" s="92" t="s">
        <v>148</v>
      </c>
      <c r="B97" s="80">
        <v>189806251</v>
      </c>
      <c r="C97" s="81">
        <v>40227015</v>
      </c>
      <c r="D97" s="80">
        <f t="shared" si="20"/>
        <v>-149579236</v>
      </c>
      <c r="E97" s="82">
        <f t="shared" si="19"/>
        <v>21.19372506862274</v>
      </c>
    </row>
    <row r="98" spans="1:5" x14ac:dyDescent="0.2">
      <c r="A98" s="83" t="s">
        <v>149</v>
      </c>
      <c r="B98" s="80">
        <v>27193749</v>
      </c>
      <c r="C98" s="81">
        <v>5880224</v>
      </c>
      <c r="D98" s="80">
        <f t="shared" si="20"/>
        <v>-21313525</v>
      </c>
      <c r="E98" s="82">
        <f t="shared" si="19"/>
        <v>21.62344000453928</v>
      </c>
    </row>
    <row r="99" spans="1:5" x14ac:dyDescent="0.2">
      <c r="A99" s="83" t="s">
        <v>150</v>
      </c>
      <c r="B99" s="77">
        <v>90692853</v>
      </c>
      <c r="C99" s="85">
        <v>20575383</v>
      </c>
      <c r="D99" s="77">
        <f t="shared" si="20"/>
        <v>-70117470</v>
      </c>
      <c r="E99" s="82">
        <f t="shared" si="19"/>
        <v>22.686884709647405</v>
      </c>
    </row>
    <row r="100" spans="1:5" ht="51" x14ac:dyDescent="0.2">
      <c r="A100" s="92" t="s">
        <v>151</v>
      </c>
      <c r="B100" s="77">
        <f>ROUND(SUM(B101:B105),0)</f>
        <v>16712715</v>
      </c>
      <c r="C100" s="77">
        <f t="shared" ref="C100:D100" si="26">ROUND(SUM(C101:C105),0)</f>
        <v>4136098</v>
      </c>
      <c r="D100" s="77">
        <f t="shared" si="26"/>
        <v>-12576617</v>
      </c>
      <c r="E100" s="78">
        <f t="shared" si="19"/>
        <v>24.748211167365685</v>
      </c>
    </row>
    <row r="101" spans="1:5" x14ac:dyDescent="0.2">
      <c r="A101" s="83" t="s">
        <v>152</v>
      </c>
      <c r="B101" s="80">
        <v>328444</v>
      </c>
      <c r="C101" s="81">
        <v>50782</v>
      </c>
      <c r="D101" s="80">
        <f t="shared" si="20"/>
        <v>-277662</v>
      </c>
      <c r="E101" s="82">
        <f t="shared" si="19"/>
        <v>15.461387633812764</v>
      </c>
    </row>
    <row r="102" spans="1:5" ht="25.5" x14ac:dyDescent="0.2">
      <c r="A102" s="83" t="s">
        <v>153</v>
      </c>
      <c r="B102" s="80">
        <v>0</v>
      </c>
      <c r="C102" s="81">
        <v>0</v>
      </c>
      <c r="D102" s="80">
        <f t="shared" si="20"/>
        <v>0</v>
      </c>
      <c r="E102" s="82">
        <v>0</v>
      </c>
    </row>
    <row r="103" spans="1:5" ht="25.5" x14ac:dyDescent="0.2">
      <c r="A103" s="92" t="s">
        <v>154</v>
      </c>
      <c r="B103" s="80">
        <v>2447316</v>
      </c>
      <c r="C103" s="81">
        <v>489210</v>
      </c>
      <c r="D103" s="80">
        <f t="shared" si="20"/>
        <v>-1958106</v>
      </c>
      <c r="E103" s="82">
        <f t="shared" si="19"/>
        <v>19.989653971943142</v>
      </c>
    </row>
    <row r="104" spans="1:5" x14ac:dyDescent="0.2">
      <c r="A104" s="96" t="s">
        <v>155</v>
      </c>
      <c r="B104" s="80">
        <v>5588399</v>
      </c>
      <c r="C104" s="81">
        <v>1943874</v>
      </c>
      <c r="D104" s="80">
        <f t="shared" si="20"/>
        <v>-3644525</v>
      </c>
      <c r="E104" s="82">
        <f t="shared" si="19"/>
        <v>34.784094693310195</v>
      </c>
    </row>
    <row r="105" spans="1:5" ht="25.5" x14ac:dyDescent="0.2">
      <c r="A105" s="83" t="s">
        <v>156</v>
      </c>
      <c r="B105" s="80">
        <v>8348556</v>
      </c>
      <c r="C105" s="81">
        <v>1652232</v>
      </c>
      <c r="D105" s="80">
        <f t="shared" si="20"/>
        <v>-6696324</v>
      </c>
      <c r="E105" s="82">
        <f t="shared" si="19"/>
        <v>19.790632056609549</v>
      </c>
    </row>
    <row r="106" spans="1:5" ht="25.5" x14ac:dyDescent="0.2">
      <c r="A106" s="83" t="s">
        <v>157</v>
      </c>
      <c r="B106" s="77">
        <v>343745</v>
      </c>
      <c r="C106" s="85">
        <v>58302</v>
      </c>
      <c r="D106" s="77">
        <f t="shared" si="20"/>
        <v>-285443</v>
      </c>
      <c r="E106" s="78">
        <f t="shared" si="19"/>
        <v>16.960828521142126</v>
      </c>
    </row>
    <row r="107" spans="1:5" ht="25.5" x14ac:dyDescent="0.2">
      <c r="A107" s="83" t="s">
        <v>158</v>
      </c>
      <c r="B107" s="77">
        <v>9557723</v>
      </c>
      <c r="C107" s="85">
        <v>1018297</v>
      </c>
      <c r="D107" s="77">
        <f t="shared" si="20"/>
        <v>-8539426</v>
      </c>
      <c r="E107" s="78">
        <f t="shared" si="19"/>
        <v>10.654179871084358</v>
      </c>
    </row>
    <row r="108" spans="1:5" ht="25.5" x14ac:dyDescent="0.2">
      <c r="A108" s="83" t="s">
        <v>159</v>
      </c>
      <c r="B108" s="77">
        <v>10619079</v>
      </c>
      <c r="C108" s="85">
        <v>7538949</v>
      </c>
      <c r="D108" s="77">
        <f t="shared" si="20"/>
        <v>-3080130</v>
      </c>
      <c r="E108" s="78">
        <f t="shared" si="19"/>
        <v>70.994377195988463</v>
      </c>
    </row>
    <row r="109" spans="1:5" ht="25.5" x14ac:dyDescent="0.2">
      <c r="A109" s="83" t="s">
        <v>160</v>
      </c>
      <c r="B109" s="77">
        <v>11270787</v>
      </c>
      <c r="C109" s="85">
        <v>2471553</v>
      </c>
      <c r="D109" s="77">
        <f t="shared" si="20"/>
        <v>-8799234</v>
      </c>
      <c r="E109" s="78">
        <f t="shared" si="19"/>
        <v>21.928841348878301</v>
      </c>
    </row>
    <row r="110" spans="1:5" x14ac:dyDescent="0.2">
      <c r="A110" s="83" t="s">
        <v>161</v>
      </c>
      <c r="B110" s="77">
        <v>2412593</v>
      </c>
      <c r="C110" s="85">
        <v>298762</v>
      </c>
      <c r="D110" s="77">
        <f t="shared" si="20"/>
        <v>-2113831</v>
      </c>
      <c r="E110" s="78">
        <f t="shared" si="19"/>
        <v>12.383439726468575</v>
      </c>
    </row>
    <row r="111" spans="1:5" x14ac:dyDescent="0.2">
      <c r="A111" s="84" t="s">
        <v>97</v>
      </c>
      <c r="B111" s="85">
        <f>ROUND(SUM(B112:B114),0)</f>
        <v>61721594</v>
      </c>
      <c r="C111" s="85">
        <f t="shared" ref="C111:D111" si="27">ROUND(SUM(C112:C114),0)</f>
        <v>14638904</v>
      </c>
      <c r="D111" s="85">
        <f t="shared" si="27"/>
        <v>-47082690</v>
      </c>
      <c r="E111" s="78">
        <f t="shared" si="19"/>
        <v>23.717637622903904</v>
      </c>
    </row>
    <row r="112" spans="1:5" x14ac:dyDescent="0.2">
      <c r="A112" s="83" t="s">
        <v>98</v>
      </c>
      <c r="B112" s="80">
        <v>49336222</v>
      </c>
      <c r="C112" s="81">
        <v>10665864.640000001</v>
      </c>
      <c r="D112" s="80">
        <f t="shared" si="20"/>
        <v>-38670357.359999999</v>
      </c>
      <c r="E112" s="82">
        <f t="shared" si="19"/>
        <v>21.618730027605277</v>
      </c>
    </row>
    <row r="113" spans="1:5" x14ac:dyDescent="0.2">
      <c r="A113" s="83" t="s">
        <v>99</v>
      </c>
      <c r="B113" s="80">
        <v>6142501</v>
      </c>
      <c r="C113" s="81">
        <v>2015604.43</v>
      </c>
      <c r="D113" s="80">
        <f t="shared" si="20"/>
        <v>-4126896.5700000003</v>
      </c>
      <c r="E113" s="82">
        <f t="shared" si="19"/>
        <v>32.814067592337388</v>
      </c>
    </row>
    <row r="114" spans="1:5" x14ac:dyDescent="0.2">
      <c r="A114" s="83" t="s">
        <v>100</v>
      </c>
      <c r="B114" s="80">
        <v>6242871</v>
      </c>
      <c r="C114" s="81">
        <v>1957434.74</v>
      </c>
      <c r="D114" s="80">
        <f t="shared" si="20"/>
        <v>-4285436.26</v>
      </c>
      <c r="E114" s="82">
        <f t="shared" si="19"/>
        <v>31.354720288149473</v>
      </c>
    </row>
    <row r="115" spans="1:5" ht="39" thickBot="1" x14ac:dyDescent="0.25">
      <c r="A115" s="86" t="s">
        <v>162</v>
      </c>
      <c r="B115" s="87">
        <v>805064</v>
      </c>
      <c r="C115" s="97">
        <v>166813.24</v>
      </c>
      <c r="D115" s="87">
        <f t="shared" si="20"/>
        <v>-638250.76</v>
      </c>
      <c r="E115" s="89">
        <f t="shared" si="19"/>
        <v>20.720494271262904</v>
      </c>
    </row>
    <row r="116" spans="1:5" x14ac:dyDescent="0.2">
      <c r="A116" s="98"/>
      <c r="B116" s="98"/>
      <c r="C116" s="99"/>
      <c r="D116" s="98"/>
      <c r="E116" s="98"/>
    </row>
    <row r="117" spans="1:5" x14ac:dyDescent="0.2">
      <c r="A117" s="100"/>
      <c r="B117" s="98"/>
      <c r="C117" s="101"/>
      <c r="D117" s="98"/>
      <c r="E117" s="98"/>
    </row>
    <row r="118" spans="1:5" x14ac:dyDescent="0.2">
      <c r="A118" s="100"/>
      <c r="B118" s="98"/>
      <c r="C118" s="101"/>
      <c r="D118" s="98"/>
      <c r="E118" s="98"/>
    </row>
    <row r="119" spans="1:5" x14ac:dyDescent="0.2">
      <c r="A119" s="100"/>
      <c r="B119" s="98"/>
      <c r="C119" s="101"/>
      <c r="D119" s="98"/>
      <c r="E119" s="98"/>
    </row>
    <row r="120" spans="1:5" x14ac:dyDescent="0.2">
      <c r="A120" s="100"/>
      <c r="B120" s="98"/>
      <c r="C120" s="101"/>
      <c r="D120" s="98"/>
      <c r="E120" s="98"/>
    </row>
    <row r="121" spans="1:5" x14ac:dyDescent="0.2">
      <c r="A121" s="100"/>
      <c r="B121" s="98"/>
      <c r="C121" s="101"/>
      <c r="D121" s="98"/>
      <c r="E121" s="98"/>
    </row>
    <row r="122" spans="1:5" x14ac:dyDescent="0.2">
      <c r="A122" s="100"/>
      <c r="B122" s="98"/>
      <c r="C122" s="101"/>
      <c r="D122" s="98"/>
      <c r="E122" s="98"/>
    </row>
    <row r="123" spans="1:5" x14ac:dyDescent="0.2">
      <c r="A123" s="100"/>
      <c r="B123" s="98"/>
      <c r="C123" s="101"/>
      <c r="D123" s="98"/>
      <c r="E123" s="98"/>
    </row>
    <row r="124" spans="1:5" x14ac:dyDescent="0.2">
      <c r="A124" s="100"/>
      <c r="B124" s="98"/>
      <c r="C124" s="101"/>
      <c r="D124" s="98"/>
      <c r="E124" s="98"/>
    </row>
    <row r="125" spans="1:5" x14ac:dyDescent="0.2">
      <c r="A125" s="100"/>
      <c r="B125" s="98"/>
      <c r="C125" s="101"/>
      <c r="D125" s="98"/>
      <c r="E125" s="98"/>
    </row>
    <row r="126" spans="1:5" x14ac:dyDescent="0.2">
      <c r="A126" s="100"/>
      <c r="B126" s="98"/>
      <c r="C126" s="101"/>
      <c r="D126" s="98"/>
      <c r="E126" s="98"/>
    </row>
    <row r="127" spans="1:5" x14ac:dyDescent="0.2">
      <c r="A127" s="100"/>
      <c r="B127" s="98"/>
      <c r="C127" s="101"/>
      <c r="D127" s="98"/>
      <c r="E127" s="98"/>
    </row>
    <row r="128" spans="1:5" x14ac:dyDescent="0.2">
      <c r="A128" s="100"/>
      <c r="B128" s="98"/>
      <c r="C128" s="101"/>
      <c r="D128" s="98"/>
      <c r="E128" s="98"/>
    </row>
    <row r="129" spans="1:5" x14ac:dyDescent="0.2">
      <c r="A129" s="100"/>
      <c r="B129" s="98"/>
      <c r="C129" s="101"/>
      <c r="D129" s="98"/>
      <c r="E129" s="98"/>
    </row>
    <row r="130" spans="1:5" x14ac:dyDescent="0.2">
      <c r="A130" s="100"/>
      <c r="B130" s="98"/>
      <c r="C130" s="101"/>
      <c r="D130" s="98"/>
      <c r="E130" s="98"/>
    </row>
    <row r="131" spans="1:5" x14ac:dyDescent="0.2">
      <c r="A131" s="100"/>
      <c r="B131" s="98"/>
      <c r="C131" s="101"/>
      <c r="D131" s="98"/>
      <c r="E131" s="98"/>
    </row>
    <row r="132" spans="1:5" x14ac:dyDescent="0.2">
      <c r="A132" s="100"/>
      <c r="B132" s="98"/>
      <c r="C132" s="101"/>
      <c r="D132" s="98"/>
      <c r="E132" s="98"/>
    </row>
    <row r="133" spans="1:5" x14ac:dyDescent="0.2">
      <c r="A133" s="100"/>
      <c r="B133" s="98"/>
      <c r="C133" s="101"/>
      <c r="D133" s="98"/>
      <c r="E133" s="98"/>
    </row>
    <row r="134" spans="1:5" ht="13.5" thickBot="1" x14ac:dyDescent="0.25">
      <c r="A134" s="100"/>
      <c r="B134" s="98"/>
      <c r="C134" s="101"/>
      <c r="D134" s="98"/>
      <c r="E134" s="98"/>
    </row>
    <row r="135" spans="1:5" ht="13.5" thickBot="1" x14ac:dyDescent="0.25">
      <c r="A135" s="56" t="s">
        <v>76</v>
      </c>
      <c r="B135" s="57" t="s">
        <v>77</v>
      </c>
      <c r="C135" s="57" t="s">
        <v>78</v>
      </c>
      <c r="D135" s="58" t="s">
        <v>79</v>
      </c>
      <c r="E135" s="58" t="s">
        <v>80</v>
      </c>
    </row>
    <row r="136" spans="1:5" x14ac:dyDescent="0.2">
      <c r="A136" s="76" t="s">
        <v>83</v>
      </c>
      <c r="B136" s="77">
        <f>ROUND(+B137+B143+B147,0)</f>
        <v>45792731</v>
      </c>
      <c r="C136" s="77">
        <f t="shared" ref="C136:D136" si="28">ROUND(+C137+C143+C147,0)</f>
        <v>27109549</v>
      </c>
      <c r="D136" s="77">
        <f t="shared" si="28"/>
        <v>-18683182</v>
      </c>
      <c r="E136" s="78">
        <f t="shared" ref="E136:E145" si="29">+C136/B136*100</f>
        <v>59.200550847251279</v>
      </c>
    </row>
    <row r="137" spans="1:5" x14ac:dyDescent="0.2">
      <c r="A137" s="84" t="s">
        <v>163</v>
      </c>
      <c r="B137" s="77">
        <f>ROUND((+B138+B141+B142),0)</f>
        <v>39003916</v>
      </c>
      <c r="C137" s="77">
        <f t="shared" ref="C137:D137" si="30">ROUND((+C138+C141+C142),0)</f>
        <v>25645157</v>
      </c>
      <c r="D137" s="77">
        <f t="shared" si="30"/>
        <v>-13358759</v>
      </c>
      <c r="E137" s="78">
        <f t="shared" si="29"/>
        <v>65.750210824984862</v>
      </c>
    </row>
    <row r="138" spans="1:5" ht="25.5" x14ac:dyDescent="0.2">
      <c r="A138" s="92" t="s">
        <v>164</v>
      </c>
      <c r="B138" s="77">
        <f>ROUND(SUM(B139:B140),0)</f>
        <v>162217</v>
      </c>
      <c r="C138" s="77">
        <f t="shared" ref="C138:D138" si="31">ROUND(SUM(C139:C140),0)</f>
        <v>60518</v>
      </c>
      <c r="D138" s="77">
        <f t="shared" si="31"/>
        <v>-101699</v>
      </c>
      <c r="E138" s="78">
        <f t="shared" si="29"/>
        <v>37.306817411245433</v>
      </c>
    </row>
    <row r="139" spans="1:5" x14ac:dyDescent="0.2">
      <c r="A139" s="92" t="s">
        <v>165</v>
      </c>
      <c r="B139" s="80">
        <v>0</v>
      </c>
      <c r="C139" s="81">
        <v>0</v>
      </c>
      <c r="D139" s="93">
        <f t="shared" ref="D139:D142" si="32">+C139-B139</f>
        <v>0</v>
      </c>
      <c r="E139" s="82">
        <v>0</v>
      </c>
    </row>
    <row r="140" spans="1:5" x14ac:dyDescent="0.2">
      <c r="A140" s="102" t="s">
        <v>166</v>
      </c>
      <c r="B140" s="80">
        <v>162217</v>
      </c>
      <c r="C140" s="81">
        <v>60518.36</v>
      </c>
      <c r="D140" s="80">
        <f t="shared" si="32"/>
        <v>-101698.64</v>
      </c>
      <c r="E140" s="82">
        <f t="shared" si="29"/>
        <v>37.307039336197811</v>
      </c>
    </row>
    <row r="141" spans="1:5" x14ac:dyDescent="0.2">
      <c r="A141" s="102" t="s">
        <v>167</v>
      </c>
      <c r="B141" s="80">
        <v>38806762</v>
      </c>
      <c r="C141" s="81">
        <v>25571831.609999999</v>
      </c>
      <c r="D141" s="80">
        <f t="shared" si="32"/>
        <v>-13234930.390000001</v>
      </c>
      <c r="E141" s="82">
        <f t="shared" si="29"/>
        <v>65.895298376092299</v>
      </c>
    </row>
    <row r="142" spans="1:5" x14ac:dyDescent="0.2">
      <c r="A142" s="102" t="s">
        <v>168</v>
      </c>
      <c r="B142" s="80">
        <v>34937</v>
      </c>
      <c r="C142" s="81">
        <v>12807</v>
      </c>
      <c r="D142" s="80">
        <f t="shared" si="32"/>
        <v>-22130</v>
      </c>
      <c r="E142" s="82">
        <f t="shared" si="29"/>
        <v>36.657411912871737</v>
      </c>
    </row>
    <row r="143" spans="1:5" x14ac:dyDescent="0.2">
      <c r="A143" s="84" t="s">
        <v>169</v>
      </c>
      <c r="B143" s="77">
        <f>ROUND(SUM(B144:B146),0)</f>
        <v>6788815</v>
      </c>
      <c r="C143" s="77">
        <f t="shared" ref="C143:D143" si="33">ROUND(SUM(C144:C146),0)</f>
        <v>1464392</v>
      </c>
      <c r="D143" s="77">
        <f t="shared" si="33"/>
        <v>-5324423</v>
      </c>
      <c r="E143" s="78">
        <f t="shared" si="29"/>
        <v>21.570657029245901</v>
      </c>
    </row>
    <row r="144" spans="1:5" ht="25.5" x14ac:dyDescent="0.2">
      <c r="A144" s="92" t="s">
        <v>170</v>
      </c>
      <c r="B144" s="80">
        <v>6582975</v>
      </c>
      <c r="C144" s="81">
        <v>1457391.77</v>
      </c>
      <c r="D144" s="80">
        <f t="shared" ref="D144:D145" si="34">+C144-B144</f>
        <v>-5125583.2300000004</v>
      </c>
      <c r="E144" s="82">
        <f t="shared" si="29"/>
        <v>22.138801529703517</v>
      </c>
    </row>
    <row r="145" spans="1:5" ht="26.25" customHeight="1" x14ac:dyDescent="0.2">
      <c r="A145" s="103" t="s">
        <v>171</v>
      </c>
      <c r="B145" s="80">
        <v>205840</v>
      </c>
      <c r="C145" s="81">
        <v>7000</v>
      </c>
      <c r="D145" s="80">
        <f t="shared" si="34"/>
        <v>-198840</v>
      </c>
      <c r="E145" s="82">
        <f t="shared" si="29"/>
        <v>3.4006995724834823</v>
      </c>
    </row>
    <row r="146" spans="1:5" x14ac:dyDescent="0.2">
      <c r="A146" s="92" t="s">
        <v>172</v>
      </c>
      <c r="B146" s="77">
        <v>0</v>
      </c>
      <c r="C146" s="85">
        <v>0</v>
      </c>
      <c r="D146" s="104">
        <f>+C146-B146</f>
        <v>0</v>
      </c>
      <c r="E146" s="82">
        <v>0</v>
      </c>
    </row>
    <row r="147" spans="1:5" ht="39" thickBot="1" x14ac:dyDescent="0.25">
      <c r="A147" s="105" t="s">
        <v>173</v>
      </c>
      <c r="B147" s="87">
        <v>0</v>
      </c>
      <c r="C147" s="97">
        <v>0</v>
      </c>
      <c r="D147" s="87">
        <f>+C147-B147</f>
        <v>0</v>
      </c>
      <c r="E147" s="89">
        <v>0</v>
      </c>
    </row>
    <row r="148" spans="1:5" x14ac:dyDescent="0.2">
      <c r="A148" s="106"/>
      <c r="C148" s="107"/>
    </row>
    <row r="149" spans="1:5" x14ac:dyDescent="0.2">
      <c r="A149" s="106"/>
      <c r="C149" s="107"/>
    </row>
    <row r="150" spans="1:5" ht="14.25" customHeight="1" x14ac:dyDescent="0.2">
      <c r="A150" s="106"/>
      <c r="C150" s="107"/>
    </row>
    <row r="151" spans="1:5" ht="14.25" customHeight="1" x14ac:dyDescent="0.2">
      <c r="A151" s="106"/>
      <c r="C151" s="107"/>
    </row>
    <row r="152" spans="1:5" ht="14.25" customHeight="1" x14ac:dyDescent="0.2">
      <c r="A152" s="106"/>
      <c r="C152" s="107"/>
    </row>
    <row r="153" spans="1:5" ht="14.25" customHeight="1" x14ac:dyDescent="0.2">
      <c r="A153" s="106"/>
      <c r="C153" s="107"/>
    </row>
    <row r="154" spans="1:5" ht="14.25" customHeight="1" x14ac:dyDescent="0.2">
      <c r="A154" s="106"/>
      <c r="C154" s="107"/>
    </row>
    <row r="155" spans="1:5" ht="14.25" customHeight="1" x14ac:dyDescent="0.2">
      <c r="A155" s="106"/>
      <c r="C155" s="107"/>
    </row>
    <row r="156" spans="1:5" ht="14.25" customHeight="1" x14ac:dyDescent="0.2">
      <c r="A156" s="106"/>
      <c r="C156" s="107"/>
    </row>
    <row r="157" spans="1:5" ht="14.25" customHeight="1" x14ac:dyDescent="0.2">
      <c r="A157" s="106"/>
      <c r="C157" s="107"/>
    </row>
    <row r="158" spans="1:5" ht="14.25" customHeight="1" x14ac:dyDescent="0.2">
      <c r="A158" s="106"/>
      <c r="C158" s="107"/>
    </row>
    <row r="159" spans="1:5" ht="14.25" customHeight="1" x14ac:dyDescent="0.2">
      <c r="A159" s="106"/>
      <c r="C159" s="107"/>
    </row>
    <row r="160" spans="1:5" ht="14.25" customHeight="1" x14ac:dyDescent="0.2">
      <c r="A160" s="106"/>
      <c r="C160" s="107"/>
    </row>
    <row r="161" spans="1:5" ht="14.25" customHeight="1" x14ac:dyDescent="0.2">
      <c r="A161" s="106"/>
      <c r="C161" s="107"/>
    </row>
    <row r="162" spans="1:5" ht="14.25" customHeight="1" x14ac:dyDescent="0.2">
      <c r="A162" s="106"/>
      <c r="C162" s="107"/>
    </row>
    <row r="163" spans="1:5" ht="14.25" customHeight="1" x14ac:dyDescent="0.2">
      <c r="A163" s="106"/>
      <c r="C163" s="107"/>
    </row>
    <row r="164" spans="1:5" ht="14.25" customHeight="1" x14ac:dyDescent="0.2">
      <c r="A164" s="106"/>
      <c r="C164" s="107"/>
    </row>
    <row r="165" spans="1:5" ht="14.25" customHeight="1" x14ac:dyDescent="0.2">
      <c r="A165" s="106"/>
      <c r="C165" s="107"/>
    </row>
    <row r="166" spans="1:5" ht="14.25" customHeight="1" x14ac:dyDescent="0.2">
      <c r="A166" s="106"/>
      <c r="C166" s="107"/>
    </row>
    <row r="167" spans="1:5" ht="14.25" customHeight="1" x14ac:dyDescent="0.2">
      <c r="A167" s="106"/>
      <c r="C167" s="107"/>
    </row>
    <row r="168" spans="1:5" ht="14.25" customHeight="1" x14ac:dyDescent="0.2">
      <c r="A168" s="106"/>
      <c r="C168" s="107"/>
    </row>
    <row r="169" spans="1:5" ht="14.25" customHeight="1" x14ac:dyDescent="0.2">
      <c r="A169" s="106"/>
      <c r="C169" s="107"/>
    </row>
    <row r="170" spans="1:5" ht="14.25" customHeight="1" x14ac:dyDescent="0.2">
      <c r="A170" s="106"/>
      <c r="C170" s="107"/>
    </row>
    <row r="171" spans="1:5" ht="14.25" customHeight="1" x14ac:dyDescent="0.2">
      <c r="A171" s="106"/>
      <c r="C171" s="107"/>
    </row>
    <row r="172" spans="1:5" ht="14.25" customHeight="1" x14ac:dyDescent="0.2">
      <c r="A172" s="106"/>
      <c r="C172" s="107"/>
    </row>
    <row r="173" spans="1:5" ht="14.25" customHeight="1" thickBot="1" x14ac:dyDescent="0.25">
      <c r="A173" s="106"/>
      <c r="C173" s="107"/>
    </row>
    <row r="174" spans="1:5" ht="13.5" thickBot="1" x14ac:dyDescent="0.25">
      <c r="A174" s="56" t="s">
        <v>76</v>
      </c>
      <c r="B174" s="57" t="s">
        <v>77</v>
      </c>
      <c r="C174" s="57" t="s">
        <v>78</v>
      </c>
      <c r="D174" s="58" t="s">
        <v>79</v>
      </c>
      <c r="E174" s="58" t="s">
        <v>80</v>
      </c>
    </row>
    <row r="175" spans="1:5" x14ac:dyDescent="0.2">
      <c r="A175" s="76" t="s">
        <v>84</v>
      </c>
      <c r="B175" s="77">
        <f>ROUND((+B176+B218),0)</f>
        <v>1961829144</v>
      </c>
      <c r="C175" s="77">
        <f>ROUND((+C176+C218),0)</f>
        <v>655284934</v>
      </c>
      <c r="D175" s="77">
        <f>ROUND((+D176+D218),0)</f>
        <v>-1306544210</v>
      </c>
      <c r="E175" s="78">
        <f t="shared" ref="E175:E218" si="35">+C175/B175*100</f>
        <v>33.401733071613499</v>
      </c>
    </row>
    <row r="176" spans="1:5" x14ac:dyDescent="0.2">
      <c r="A176" s="84" t="s">
        <v>174</v>
      </c>
      <c r="B176" s="77">
        <f>ROUND((+B177+B193+B196+B197+B199+B202+B203+B204+B205+B206),0)</f>
        <v>1960068474</v>
      </c>
      <c r="C176" s="77">
        <f>ROUND((+C177+C193+C196+C197+C199+C202+C203+C204+C205+C206),0)</f>
        <v>654883429</v>
      </c>
      <c r="D176" s="77">
        <f>ROUND((+D177+D193+D196+D197+D199+D202+D203+D204+D205+D206),0)</f>
        <v>-1305185045</v>
      </c>
      <c r="E176" s="78">
        <f t="shared" si="35"/>
        <v>33.411252600963984</v>
      </c>
    </row>
    <row r="177" spans="1:5" x14ac:dyDescent="0.2">
      <c r="A177" s="92" t="s">
        <v>175</v>
      </c>
      <c r="B177" s="77">
        <f>ROUND((SUM(B178:B189)+B190+B191+B192),0)</f>
        <v>1886843457</v>
      </c>
      <c r="C177" s="77">
        <f>ROUND((SUM(C178:C189)+C190+C191+C192),0)</f>
        <v>509050889</v>
      </c>
      <c r="D177" s="77">
        <f>ROUND((SUM(D178:D189)+D190+D191+D192),0)</f>
        <v>-1377792568</v>
      </c>
      <c r="E177" s="78">
        <f t="shared" si="35"/>
        <v>26.97896781587642</v>
      </c>
    </row>
    <row r="178" spans="1:5" x14ac:dyDescent="0.2">
      <c r="A178" s="83" t="s">
        <v>176</v>
      </c>
      <c r="B178" s="80">
        <v>273550208</v>
      </c>
      <c r="C178" s="81">
        <v>88540296</v>
      </c>
      <c r="D178" s="93">
        <f t="shared" ref="D178:D201" si="36">+C178-B178</f>
        <v>-185009912</v>
      </c>
      <c r="E178" s="82">
        <f t="shared" si="35"/>
        <v>32.367109733654452</v>
      </c>
    </row>
    <row r="179" spans="1:5" x14ac:dyDescent="0.2">
      <c r="A179" s="83" t="s">
        <v>177</v>
      </c>
      <c r="B179" s="80">
        <v>67796960</v>
      </c>
      <c r="C179" s="81">
        <v>12373922</v>
      </c>
      <c r="D179" s="93">
        <f t="shared" si="36"/>
        <v>-55423038</v>
      </c>
      <c r="E179" s="82">
        <f t="shared" si="35"/>
        <v>18.251440772565612</v>
      </c>
    </row>
    <row r="180" spans="1:5" x14ac:dyDescent="0.2">
      <c r="A180" s="83" t="s">
        <v>178</v>
      </c>
      <c r="B180" s="80">
        <v>1282937</v>
      </c>
      <c r="C180" s="81">
        <v>213202</v>
      </c>
      <c r="D180" s="93">
        <f t="shared" si="36"/>
        <v>-1069735</v>
      </c>
      <c r="E180" s="82">
        <f t="shared" si="35"/>
        <v>16.618275098465475</v>
      </c>
    </row>
    <row r="181" spans="1:5" ht="38.25" x14ac:dyDescent="0.2">
      <c r="A181" s="83" t="s">
        <v>179</v>
      </c>
      <c r="B181" s="80">
        <v>73480000</v>
      </c>
      <c r="C181" s="81">
        <v>16204700</v>
      </c>
      <c r="D181" s="80">
        <f t="shared" si="36"/>
        <v>-57275300</v>
      </c>
      <c r="E181" s="82">
        <f t="shared" si="35"/>
        <v>22.053211758301579</v>
      </c>
    </row>
    <row r="182" spans="1:5" x14ac:dyDescent="0.2">
      <c r="A182" s="83" t="s">
        <v>180</v>
      </c>
      <c r="B182" s="80">
        <v>15528265</v>
      </c>
      <c r="C182" s="81">
        <v>3745152</v>
      </c>
      <c r="D182" s="93">
        <f t="shared" si="36"/>
        <v>-11783113</v>
      </c>
      <c r="E182" s="82">
        <f t="shared" si="35"/>
        <v>24.11829009873286</v>
      </c>
    </row>
    <row r="183" spans="1:5" x14ac:dyDescent="0.2">
      <c r="A183" s="83" t="s">
        <v>181</v>
      </c>
      <c r="B183" s="80">
        <v>261707250</v>
      </c>
      <c r="C183" s="81">
        <v>80682983</v>
      </c>
      <c r="D183" s="93">
        <f t="shared" si="36"/>
        <v>-181024267</v>
      </c>
      <c r="E183" s="82">
        <f t="shared" si="35"/>
        <v>30.829479504293445</v>
      </c>
    </row>
    <row r="184" spans="1:5" ht="25.5" x14ac:dyDescent="0.2">
      <c r="A184" s="83" t="s">
        <v>182</v>
      </c>
      <c r="B184" s="80">
        <v>62892465</v>
      </c>
      <c r="C184" s="81">
        <v>15723117</v>
      </c>
      <c r="D184" s="80">
        <f t="shared" si="36"/>
        <v>-47169348</v>
      </c>
      <c r="E184" s="82">
        <f t="shared" si="35"/>
        <v>25.000001192511697</v>
      </c>
    </row>
    <row r="185" spans="1:5" ht="25.5" x14ac:dyDescent="0.2">
      <c r="A185" s="83" t="s">
        <v>183</v>
      </c>
      <c r="B185" s="80">
        <v>48432744</v>
      </c>
      <c r="C185" s="81">
        <v>16473448</v>
      </c>
      <c r="D185" s="80">
        <f t="shared" si="36"/>
        <v>-31959296</v>
      </c>
      <c r="E185" s="82">
        <f t="shared" si="35"/>
        <v>34.013038782192481</v>
      </c>
    </row>
    <row r="186" spans="1:5" ht="25.5" x14ac:dyDescent="0.2">
      <c r="A186" s="83" t="s">
        <v>184</v>
      </c>
      <c r="B186" s="80">
        <v>915807546</v>
      </c>
      <c r="C186" s="81">
        <v>229162913</v>
      </c>
      <c r="D186" s="80">
        <f t="shared" si="36"/>
        <v>-686644633</v>
      </c>
      <c r="E186" s="82">
        <f t="shared" si="35"/>
        <v>25.023042668836016</v>
      </c>
    </row>
    <row r="187" spans="1:5" ht="25.5" x14ac:dyDescent="0.2">
      <c r="A187" s="92" t="s">
        <v>185</v>
      </c>
      <c r="B187" s="80">
        <v>1252984</v>
      </c>
      <c r="C187" s="80">
        <v>409483</v>
      </c>
      <c r="D187" s="80">
        <f t="shared" si="36"/>
        <v>-843501</v>
      </c>
      <c r="E187" s="82">
        <f t="shared" si="35"/>
        <v>32.680624812447725</v>
      </c>
    </row>
    <row r="188" spans="1:5" ht="25.5" x14ac:dyDescent="0.2">
      <c r="A188" s="92" t="s">
        <v>186</v>
      </c>
      <c r="B188" s="80">
        <v>400270</v>
      </c>
      <c r="C188" s="80">
        <v>57464</v>
      </c>
      <c r="D188" s="80">
        <f t="shared" si="36"/>
        <v>-342806</v>
      </c>
      <c r="E188" s="82">
        <f t="shared" si="35"/>
        <v>14.35630949109351</v>
      </c>
    </row>
    <row r="189" spans="1:5" ht="27.75" customHeight="1" x14ac:dyDescent="0.2">
      <c r="A189" s="83" t="s">
        <v>187</v>
      </c>
      <c r="B189" s="80">
        <v>28109152</v>
      </c>
      <c r="C189" s="81">
        <v>4475871</v>
      </c>
      <c r="D189" s="80">
        <f t="shared" si="36"/>
        <v>-23633281</v>
      </c>
      <c r="E189" s="82">
        <f t="shared" si="35"/>
        <v>15.923180464497827</v>
      </c>
    </row>
    <row r="190" spans="1:5" x14ac:dyDescent="0.2">
      <c r="A190" s="83" t="s">
        <v>188</v>
      </c>
      <c r="B190" s="80">
        <v>6679680</v>
      </c>
      <c r="C190" s="81">
        <v>1435034</v>
      </c>
      <c r="D190" s="80">
        <f t="shared" si="36"/>
        <v>-5244646</v>
      </c>
      <c r="E190" s="82">
        <f t="shared" si="35"/>
        <v>21.483574063428186</v>
      </c>
    </row>
    <row r="191" spans="1:5" ht="25.5" x14ac:dyDescent="0.2">
      <c r="A191" s="83" t="s">
        <v>189</v>
      </c>
      <c r="B191" s="80">
        <v>2122996</v>
      </c>
      <c r="C191" s="81">
        <v>894878</v>
      </c>
      <c r="D191" s="80">
        <f t="shared" si="36"/>
        <v>-1228118</v>
      </c>
      <c r="E191" s="82">
        <f t="shared" si="35"/>
        <v>42.151657374766607</v>
      </c>
    </row>
    <row r="192" spans="1:5" x14ac:dyDescent="0.2">
      <c r="A192" s="83" t="s">
        <v>190</v>
      </c>
      <c r="B192" s="80">
        <v>127800000</v>
      </c>
      <c r="C192" s="81">
        <v>38658426</v>
      </c>
      <c r="D192" s="80">
        <f t="shared" si="36"/>
        <v>-89141574</v>
      </c>
      <c r="E192" s="82">
        <f t="shared" si="35"/>
        <v>30.249159624413146</v>
      </c>
    </row>
    <row r="193" spans="1:5" x14ac:dyDescent="0.2">
      <c r="A193" s="92" t="s">
        <v>99</v>
      </c>
      <c r="B193" s="77">
        <f>ROUND(SUM(B194:B195),0)</f>
        <v>34868661</v>
      </c>
      <c r="C193" s="77">
        <f t="shared" ref="C193:D193" si="37">ROUND(SUM(C194:C195),0)</f>
        <v>6277724</v>
      </c>
      <c r="D193" s="77">
        <f t="shared" si="37"/>
        <v>-28590937</v>
      </c>
      <c r="E193" s="78">
        <f t="shared" si="35"/>
        <v>18.003914747400252</v>
      </c>
    </row>
    <row r="194" spans="1:5" x14ac:dyDescent="0.2">
      <c r="A194" s="92" t="s">
        <v>191</v>
      </c>
      <c r="B194" s="80">
        <v>29526540</v>
      </c>
      <c r="C194" s="81">
        <v>6146306.7999999998</v>
      </c>
      <c r="D194" s="80">
        <f t="shared" si="36"/>
        <v>-23380233.199999999</v>
      </c>
      <c r="E194" s="82">
        <f t="shared" si="35"/>
        <v>20.81621077173282</v>
      </c>
    </row>
    <row r="195" spans="1:5" x14ac:dyDescent="0.2">
      <c r="A195" s="83" t="s">
        <v>192</v>
      </c>
      <c r="B195" s="80">
        <v>5342121</v>
      </c>
      <c r="C195" s="81">
        <v>131417</v>
      </c>
      <c r="D195" s="80">
        <f t="shared" si="36"/>
        <v>-5210704</v>
      </c>
      <c r="E195" s="82">
        <f t="shared" si="35"/>
        <v>2.4600154133536098</v>
      </c>
    </row>
    <row r="196" spans="1:5" x14ac:dyDescent="0.2">
      <c r="A196" s="83" t="s">
        <v>193</v>
      </c>
      <c r="B196" s="77">
        <v>959392</v>
      </c>
      <c r="C196" s="85">
        <v>221877</v>
      </c>
      <c r="D196" s="77">
        <f t="shared" si="36"/>
        <v>-737515</v>
      </c>
      <c r="E196" s="78">
        <f t="shared" si="35"/>
        <v>23.126834495180283</v>
      </c>
    </row>
    <row r="197" spans="1:5" x14ac:dyDescent="0.2">
      <c r="A197" s="83" t="s">
        <v>194</v>
      </c>
      <c r="B197" s="77">
        <f t="shared" ref="B197:D197" si="38">ROUND((+B198),0)</f>
        <v>18632332</v>
      </c>
      <c r="C197" s="77">
        <f t="shared" si="38"/>
        <v>1873696</v>
      </c>
      <c r="D197" s="77">
        <f t="shared" si="38"/>
        <v>-16758636</v>
      </c>
      <c r="E197" s="78">
        <f t="shared" si="35"/>
        <v>10.056154001549565</v>
      </c>
    </row>
    <row r="198" spans="1:5" x14ac:dyDescent="0.2">
      <c r="A198" s="83" t="s">
        <v>195</v>
      </c>
      <c r="B198" s="77">
        <v>18632332</v>
      </c>
      <c r="C198" s="81">
        <v>1873696.44</v>
      </c>
      <c r="D198" s="80">
        <f t="shared" si="36"/>
        <v>-16758635.560000001</v>
      </c>
      <c r="E198" s="82">
        <f t="shared" si="35"/>
        <v>10.056156363036038</v>
      </c>
    </row>
    <row r="199" spans="1:5" x14ac:dyDescent="0.2">
      <c r="A199" s="83" t="s">
        <v>97</v>
      </c>
      <c r="B199" s="77">
        <f>+B200+B201</f>
        <v>11980587</v>
      </c>
      <c r="C199" s="85">
        <f t="shared" ref="C199:D199" si="39">+C200+C201</f>
        <v>1799409.89</v>
      </c>
      <c r="D199" s="77">
        <f t="shared" si="39"/>
        <v>-10181177.109999999</v>
      </c>
      <c r="E199" s="82">
        <f t="shared" si="35"/>
        <v>15.019380018691905</v>
      </c>
    </row>
    <row r="200" spans="1:5" x14ac:dyDescent="0.2">
      <c r="A200" s="83" t="s">
        <v>196</v>
      </c>
      <c r="B200" s="80">
        <v>8743616</v>
      </c>
      <c r="C200" s="81">
        <v>1143280.8899999999</v>
      </c>
      <c r="D200" s="80">
        <f t="shared" si="36"/>
        <v>-7600335.1100000003</v>
      </c>
      <c r="E200" s="82">
        <f t="shared" si="35"/>
        <v>13.075607277355273</v>
      </c>
    </row>
    <row r="201" spans="1:5" x14ac:dyDescent="0.2">
      <c r="A201" s="92" t="s">
        <v>100</v>
      </c>
      <c r="B201" s="80">
        <v>3236971</v>
      </c>
      <c r="C201" s="81">
        <v>656129</v>
      </c>
      <c r="D201" s="80">
        <f t="shared" si="36"/>
        <v>-2580842</v>
      </c>
      <c r="E201" s="82">
        <f t="shared" si="35"/>
        <v>20.269844864226464</v>
      </c>
    </row>
    <row r="202" spans="1:5" hidden="1" x14ac:dyDescent="0.2">
      <c r="A202" s="83" t="s">
        <v>197</v>
      </c>
      <c r="B202" s="80">
        <v>0</v>
      </c>
      <c r="C202" s="81">
        <v>0</v>
      </c>
      <c r="D202" s="93">
        <f>+C202-B202</f>
        <v>0</v>
      </c>
      <c r="E202" s="82">
        <v>0</v>
      </c>
    </row>
    <row r="203" spans="1:5" hidden="1" x14ac:dyDescent="0.2">
      <c r="A203" s="83" t="s">
        <v>198</v>
      </c>
      <c r="B203" s="80">
        <v>0</v>
      </c>
      <c r="C203" s="81">
        <v>0</v>
      </c>
      <c r="D203" s="93">
        <f>+C203-B203</f>
        <v>0</v>
      </c>
      <c r="E203" s="82">
        <v>0</v>
      </c>
    </row>
    <row r="204" spans="1:5" hidden="1" x14ac:dyDescent="0.2">
      <c r="A204" s="83" t="s">
        <v>199</v>
      </c>
      <c r="B204" s="85">
        <v>0</v>
      </c>
      <c r="C204" s="85">
        <v>0</v>
      </c>
      <c r="D204" s="85">
        <v>0</v>
      </c>
      <c r="E204" s="82">
        <v>0</v>
      </c>
    </row>
    <row r="205" spans="1:5" ht="16.5" hidden="1" customHeight="1" x14ac:dyDescent="0.2">
      <c r="A205" s="83" t="s">
        <v>200</v>
      </c>
      <c r="B205" s="80">
        <v>0</v>
      </c>
      <c r="C205" s="81">
        <v>0</v>
      </c>
      <c r="D205" s="80">
        <f>+C205-B205</f>
        <v>0</v>
      </c>
      <c r="E205" s="82">
        <v>0</v>
      </c>
    </row>
    <row r="206" spans="1:5" x14ac:dyDescent="0.2">
      <c r="A206" s="83" t="s">
        <v>201</v>
      </c>
      <c r="B206" s="77">
        <f>ROUND(SUM(B207:B216),0)</f>
        <v>6784045</v>
      </c>
      <c r="C206" s="77">
        <f>ROUND(SUM(C207:C216),0)</f>
        <v>135659833</v>
      </c>
      <c r="D206" s="77">
        <f t="shared" ref="D206" si="40">ROUND(SUM(D207:D216),0)</f>
        <v>128875788</v>
      </c>
      <c r="E206" s="78">
        <f t="shared" si="35"/>
        <v>1999.689462555157</v>
      </c>
    </row>
    <row r="207" spans="1:5" x14ac:dyDescent="0.2">
      <c r="A207" s="83" t="s">
        <v>202</v>
      </c>
      <c r="B207" s="80">
        <v>0</v>
      </c>
      <c r="C207" s="81">
        <v>0</v>
      </c>
      <c r="D207" s="80">
        <f t="shared" ref="D207:D218" si="41">+C207-B207</f>
        <v>0</v>
      </c>
      <c r="E207" s="82">
        <v>0</v>
      </c>
    </row>
    <row r="208" spans="1:5" x14ac:dyDescent="0.2">
      <c r="A208" s="83" t="s">
        <v>203</v>
      </c>
      <c r="B208" s="80">
        <v>0</v>
      </c>
      <c r="C208" s="81">
        <v>0</v>
      </c>
      <c r="D208" s="80">
        <f t="shared" si="41"/>
        <v>0</v>
      </c>
      <c r="E208" s="82">
        <v>0</v>
      </c>
    </row>
    <row r="209" spans="1:5" x14ac:dyDescent="0.2">
      <c r="A209" s="83" t="s">
        <v>204</v>
      </c>
      <c r="B209" s="80">
        <v>0</v>
      </c>
      <c r="C209" s="81">
        <v>0</v>
      </c>
      <c r="D209" s="80">
        <f t="shared" si="41"/>
        <v>0</v>
      </c>
      <c r="E209" s="82">
        <v>0</v>
      </c>
    </row>
    <row r="210" spans="1:5" x14ac:dyDescent="0.2">
      <c r="A210" s="83" t="s">
        <v>205</v>
      </c>
      <c r="B210" s="80">
        <v>0</v>
      </c>
      <c r="C210" s="81">
        <v>0</v>
      </c>
      <c r="D210" s="80">
        <f t="shared" si="41"/>
        <v>0</v>
      </c>
      <c r="E210" s="82">
        <v>0</v>
      </c>
    </row>
    <row r="211" spans="1:5" x14ac:dyDescent="0.2">
      <c r="A211" s="83" t="s">
        <v>206</v>
      </c>
      <c r="B211" s="80">
        <v>0</v>
      </c>
      <c r="C211" s="81">
        <v>0</v>
      </c>
      <c r="D211" s="80">
        <f t="shared" si="41"/>
        <v>0</v>
      </c>
      <c r="E211" s="82">
        <v>0</v>
      </c>
    </row>
    <row r="212" spans="1:5" x14ac:dyDescent="0.2">
      <c r="A212" s="83" t="s">
        <v>207</v>
      </c>
      <c r="B212" s="80">
        <v>0</v>
      </c>
      <c r="C212" s="81">
        <v>0</v>
      </c>
      <c r="D212" s="80">
        <f t="shared" si="41"/>
        <v>0</v>
      </c>
      <c r="E212" s="82">
        <v>0</v>
      </c>
    </row>
    <row r="213" spans="1:5" x14ac:dyDescent="0.2">
      <c r="A213" s="83" t="s">
        <v>208</v>
      </c>
      <c r="B213" s="80">
        <v>0</v>
      </c>
      <c r="C213" s="81">
        <v>0</v>
      </c>
      <c r="D213" s="80">
        <f t="shared" si="41"/>
        <v>0</v>
      </c>
      <c r="E213" s="82">
        <v>0</v>
      </c>
    </row>
    <row r="214" spans="1:5" x14ac:dyDescent="0.2">
      <c r="A214" s="83" t="s">
        <v>209</v>
      </c>
      <c r="B214" s="80">
        <v>0</v>
      </c>
      <c r="C214" s="81">
        <v>0</v>
      </c>
      <c r="D214" s="80">
        <f t="shared" si="41"/>
        <v>0</v>
      </c>
      <c r="E214" s="82">
        <v>0</v>
      </c>
    </row>
    <row r="215" spans="1:5" x14ac:dyDescent="0.2">
      <c r="A215" s="92" t="s">
        <v>210</v>
      </c>
      <c r="B215" s="80">
        <v>0</v>
      </c>
      <c r="C215" s="81">
        <v>0</v>
      </c>
      <c r="D215" s="80">
        <f t="shared" si="41"/>
        <v>0</v>
      </c>
      <c r="E215" s="82">
        <v>0</v>
      </c>
    </row>
    <row r="216" spans="1:5" x14ac:dyDescent="0.2">
      <c r="A216" s="83" t="s">
        <v>211</v>
      </c>
      <c r="B216" s="80">
        <v>6784045</v>
      </c>
      <c r="C216" s="81">
        <v>135659832.78999999</v>
      </c>
      <c r="D216" s="80">
        <f t="shared" si="41"/>
        <v>128875787.78999999</v>
      </c>
      <c r="E216" s="82">
        <f t="shared" si="35"/>
        <v>1999.6894594596586</v>
      </c>
    </row>
    <row r="217" spans="1:5" x14ac:dyDescent="0.2">
      <c r="A217" s="83" t="s">
        <v>212</v>
      </c>
      <c r="B217" s="80">
        <v>0</v>
      </c>
      <c r="C217" s="81">
        <v>0</v>
      </c>
      <c r="D217" s="93">
        <f>+C217-B217</f>
        <v>0</v>
      </c>
      <c r="E217" s="82">
        <v>0</v>
      </c>
    </row>
    <row r="218" spans="1:5" ht="39" thickBot="1" x14ac:dyDescent="0.25">
      <c r="A218" s="105" t="s">
        <v>213</v>
      </c>
      <c r="B218" s="108">
        <v>1760670</v>
      </c>
      <c r="C218" s="97">
        <v>401505.44</v>
      </c>
      <c r="D218" s="97">
        <f t="shared" si="41"/>
        <v>-1359164.56</v>
      </c>
      <c r="E218" s="89">
        <f t="shared" si="35"/>
        <v>22.804127974009894</v>
      </c>
    </row>
    <row r="219" spans="1:5" x14ac:dyDescent="0.2">
      <c r="A219" s="109"/>
      <c r="B219" s="98"/>
      <c r="C219" s="101"/>
      <c r="D219" s="98"/>
      <c r="E219" s="98"/>
    </row>
    <row r="220" spans="1:5" x14ac:dyDescent="0.2">
      <c r="A220" s="109"/>
      <c r="B220" s="98"/>
      <c r="C220" s="101"/>
      <c r="D220" s="98"/>
      <c r="E220" s="98"/>
    </row>
    <row r="221" spans="1:5" x14ac:dyDescent="0.2">
      <c r="A221" s="109"/>
      <c r="B221" s="98"/>
      <c r="C221" s="101"/>
      <c r="D221" s="98"/>
      <c r="E221" s="98"/>
    </row>
    <row r="222" spans="1:5" ht="13.5" thickBot="1" x14ac:dyDescent="0.25">
      <c r="C222" s="107"/>
    </row>
    <row r="223" spans="1:5" ht="13.5" thickBot="1" x14ac:dyDescent="0.25">
      <c r="A223" s="56" t="s">
        <v>76</v>
      </c>
      <c r="B223" s="57" t="s">
        <v>77</v>
      </c>
      <c r="C223" s="110" t="s">
        <v>78</v>
      </c>
      <c r="D223" s="58" t="s">
        <v>79</v>
      </c>
      <c r="E223" s="58" t="s">
        <v>80</v>
      </c>
    </row>
    <row r="224" spans="1:5" x14ac:dyDescent="0.2">
      <c r="A224" s="76" t="s">
        <v>86</v>
      </c>
      <c r="B224" s="77">
        <f>ROUND((+B225),0)</f>
        <v>4788853</v>
      </c>
      <c r="C224" s="77">
        <f t="shared" ref="C224:D224" si="42">ROUND((+C225),0)</f>
        <v>695537</v>
      </c>
      <c r="D224" s="77">
        <f t="shared" si="42"/>
        <v>-4093316</v>
      </c>
      <c r="E224" s="78">
        <f t="shared" ref="E224:E225" si="43">+C224/B224*100</f>
        <v>14.524083324336745</v>
      </c>
    </row>
    <row r="225" spans="1:5" ht="26.25" thickBot="1" x14ac:dyDescent="0.25">
      <c r="A225" s="111" t="s">
        <v>214</v>
      </c>
      <c r="B225" s="87">
        <v>4788853</v>
      </c>
      <c r="C225" s="97">
        <v>695537.05</v>
      </c>
      <c r="D225" s="97">
        <f t="shared" ref="D225" si="44">+C225-B225</f>
        <v>-4093315.95</v>
      </c>
      <c r="E225" s="89">
        <f t="shared" si="43"/>
        <v>14.524084368428097</v>
      </c>
    </row>
    <row r="226" spans="1:5" x14ac:dyDescent="0.2">
      <c r="A226" s="112"/>
      <c r="B226" s="98"/>
      <c r="C226" s="101"/>
      <c r="D226" s="98"/>
      <c r="E226" s="98"/>
    </row>
    <row r="227" spans="1:5" ht="13.5" thickBot="1" x14ac:dyDescent="0.25">
      <c r="A227" s="54"/>
      <c r="C227" s="107"/>
    </row>
    <row r="228" spans="1:5" ht="13.5" thickBot="1" x14ac:dyDescent="0.25">
      <c r="A228" s="56" t="s">
        <v>76</v>
      </c>
      <c r="B228" s="57" t="s">
        <v>77</v>
      </c>
      <c r="C228" s="57" t="s">
        <v>78</v>
      </c>
      <c r="D228" s="58" t="s">
        <v>79</v>
      </c>
      <c r="E228" s="58" t="s">
        <v>80</v>
      </c>
    </row>
    <row r="229" spans="1:5" x14ac:dyDescent="0.2">
      <c r="A229" s="76" t="s">
        <v>215</v>
      </c>
      <c r="B229" s="77">
        <f>ROUND((+B230+B236+B260),0)</f>
        <v>34974309022</v>
      </c>
      <c r="C229" s="77">
        <f>ROUND((+C230+C236+C260),0)</f>
        <v>10578129236</v>
      </c>
      <c r="D229" s="77">
        <f>ROUND((+D230+D236+D260),0)</f>
        <v>-24396179785</v>
      </c>
      <c r="E229" s="78">
        <f t="shared" ref="E229:E259" si="45">+C229/B229*100</f>
        <v>30.245427377410106</v>
      </c>
    </row>
    <row r="230" spans="1:5" x14ac:dyDescent="0.2">
      <c r="A230" s="84" t="s">
        <v>216</v>
      </c>
      <c r="B230" s="77">
        <f>ROUND(SUM(B231:B235),0)</f>
        <v>17988005166</v>
      </c>
      <c r="C230" s="77">
        <f t="shared" ref="C230:D230" si="46">ROUND(SUM(C231:C235),0)</f>
        <v>5542894346</v>
      </c>
      <c r="D230" s="77">
        <f t="shared" si="46"/>
        <v>-12445110820</v>
      </c>
      <c r="E230" s="78">
        <f t="shared" si="45"/>
        <v>30.81439156175524</v>
      </c>
    </row>
    <row r="231" spans="1:5" x14ac:dyDescent="0.2">
      <c r="A231" s="92" t="s">
        <v>217</v>
      </c>
      <c r="B231" s="80">
        <v>13075164118</v>
      </c>
      <c r="C231" s="81">
        <v>4392320730</v>
      </c>
      <c r="D231" s="80">
        <f t="shared" ref="D231:D235" si="47">+C231-B231</f>
        <v>-8682843388</v>
      </c>
      <c r="E231" s="82">
        <f t="shared" si="45"/>
        <v>33.592853522605395</v>
      </c>
    </row>
    <row r="232" spans="1:5" x14ac:dyDescent="0.2">
      <c r="A232" s="83" t="s">
        <v>218</v>
      </c>
      <c r="B232" s="80">
        <v>3330331398</v>
      </c>
      <c r="C232" s="81">
        <v>804668244</v>
      </c>
      <c r="D232" s="80">
        <f t="shared" si="47"/>
        <v>-2525663154</v>
      </c>
      <c r="E232" s="82">
        <f t="shared" si="45"/>
        <v>24.161806974622291</v>
      </c>
    </row>
    <row r="233" spans="1:5" x14ac:dyDescent="0.2">
      <c r="A233" s="83" t="s">
        <v>219</v>
      </c>
      <c r="B233" s="80">
        <v>389726585</v>
      </c>
      <c r="C233" s="81">
        <v>106898207</v>
      </c>
      <c r="D233" s="80">
        <f t="shared" si="47"/>
        <v>-282828378</v>
      </c>
      <c r="E233" s="82">
        <f t="shared" si="45"/>
        <v>27.429026172284349</v>
      </c>
    </row>
    <row r="234" spans="1:5" ht="25.5" x14ac:dyDescent="0.2">
      <c r="A234" s="83" t="s">
        <v>220</v>
      </c>
      <c r="B234" s="80">
        <v>384197713</v>
      </c>
      <c r="C234" s="81">
        <v>110151280</v>
      </c>
      <c r="D234" s="80">
        <f t="shared" si="47"/>
        <v>-274046433</v>
      </c>
      <c r="E234" s="82">
        <f t="shared" si="45"/>
        <v>28.670467385109085</v>
      </c>
    </row>
    <row r="235" spans="1:5" ht="25.5" x14ac:dyDescent="0.2">
      <c r="A235" s="83" t="s">
        <v>221</v>
      </c>
      <c r="B235" s="80">
        <v>808585352</v>
      </c>
      <c r="C235" s="81">
        <v>128855885</v>
      </c>
      <c r="D235" s="80">
        <f t="shared" si="47"/>
        <v>-679729467</v>
      </c>
      <c r="E235" s="82">
        <f t="shared" si="45"/>
        <v>15.935965780394202</v>
      </c>
    </row>
    <row r="236" spans="1:5" x14ac:dyDescent="0.2">
      <c r="A236" s="84" t="s">
        <v>222</v>
      </c>
      <c r="B236" s="77">
        <f>ROUND((+B237+B242+B243+B246+B247+B255+B256+B259),0)</f>
        <v>15419803856</v>
      </c>
      <c r="C236" s="77">
        <f>ROUND((+C237+C242+C243+C246+C247+C255+C256+C259),0)-1</f>
        <v>3984552516</v>
      </c>
      <c r="D236" s="77">
        <f>ROUND((+D237+D242+D243+D246+D247+D255+D256+D259),0)</f>
        <v>-11435251339</v>
      </c>
      <c r="E236" s="78">
        <f t="shared" si="45"/>
        <v>25.84048768201141</v>
      </c>
    </row>
    <row r="237" spans="1:5" ht="25.5" x14ac:dyDescent="0.2">
      <c r="A237" s="83" t="s">
        <v>223</v>
      </c>
      <c r="B237" s="85">
        <f>ROUND(SUM(B238:B241),0)</f>
        <v>8631444606</v>
      </c>
      <c r="C237" s="85">
        <f t="shared" ref="C237:D237" si="48">ROUND(SUM(C238:C241),0)</f>
        <v>2300761724</v>
      </c>
      <c r="D237" s="85">
        <f t="shared" si="48"/>
        <v>-6330682882</v>
      </c>
      <c r="E237" s="78">
        <f t="shared" si="45"/>
        <v>26.655581180474297</v>
      </c>
    </row>
    <row r="238" spans="1:5" x14ac:dyDescent="0.2">
      <c r="A238" s="83" t="s">
        <v>224</v>
      </c>
      <c r="B238" s="81">
        <v>463434857</v>
      </c>
      <c r="C238" s="81">
        <v>132980408.02000001</v>
      </c>
      <c r="D238" s="80">
        <f t="shared" ref="D238:D261" si="49">+C238-B238</f>
        <v>-330454448.98000002</v>
      </c>
      <c r="E238" s="82">
        <f t="shared" si="45"/>
        <v>28.694520062827301</v>
      </c>
    </row>
    <row r="239" spans="1:5" x14ac:dyDescent="0.2">
      <c r="A239" s="83" t="s">
        <v>225</v>
      </c>
      <c r="B239" s="81">
        <v>294738354</v>
      </c>
      <c r="C239" s="81">
        <v>74246123.489999995</v>
      </c>
      <c r="D239" s="80">
        <f t="shared" si="49"/>
        <v>-220492230.50999999</v>
      </c>
      <c r="E239" s="82">
        <f t="shared" si="45"/>
        <v>25.190519822879921</v>
      </c>
    </row>
    <row r="240" spans="1:5" x14ac:dyDescent="0.2">
      <c r="A240" s="83" t="s">
        <v>226</v>
      </c>
      <c r="B240" s="81">
        <v>142758630</v>
      </c>
      <c r="C240" s="81">
        <v>35653196.880000003</v>
      </c>
      <c r="D240" s="80">
        <f t="shared" si="49"/>
        <v>-107105433.12</v>
      </c>
      <c r="E240" s="82">
        <f t="shared" si="45"/>
        <v>24.97445995383957</v>
      </c>
    </row>
    <row r="241" spans="1:5" x14ac:dyDescent="0.2">
      <c r="A241" s="83" t="s">
        <v>227</v>
      </c>
      <c r="B241" s="81">
        <v>7730512765</v>
      </c>
      <c r="C241" s="81">
        <v>2057881995.75</v>
      </c>
      <c r="D241" s="80">
        <f t="shared" si="49"/>
        <v>-5672630769.25</v>
      </c>
      <c r="E241" s="82">
        <f t="shared" si="45"/>
        <v>26.620252217512508</v>
      </c>
    </row>
    <row r="242" spans="1:5" x14ac:dyDescent="0.2">
      <c r="A242" s="83" t="s">
        <v>228</v>
      </c>
      <c r="B242" s="77">
        <v>2283970188</v>
      </c>
      <c r="C242" s="85">
        <v>565309997.29999995</v>
      </c>
      <c r="D242" s="77">
        <f t="shared" si="49"/>
        <v>-1718660190.7</v>
      </c>
      <c r="E242" s="78">
        <f t="shared" si="45"/>
        <v>24.751198604523992</v>
      </c>
    </row>
    <row r="243" spans="1:5" x14ac:dyDescent="0.2">
      <c r="A243" s="92" t="s">
        <v>229</v>
      </c>
      <c r="B243" s="77">
        <f>ROUND((+B244+B245),0)</f>
        <v>606210969</v>
      </c>
      <c r="C243" s="77">
        <f t="shared" ref="C243:D243" si="50">ROUND((+C244+C245),0)</f>
        <v>193010763</v>
      </c>
      <c r="D243" s="77">
        <f t="shared" si="50"/>
        <v>-413200206</v>
      </c>
      <c r="E243" s="82">
        <f t="shared" si="45"/>
        <v>31.838876706303875</v>
      </c>
    </row>
    <row r="244" spans="1:5" x14ac:dyDescent="0.2">
      <c r="A244" s="83" t="s">
        <v>230</v>
      </c>
      <c r="B244" s="80">
        <v>532729399</v>
      </c>
      <c r="C244" s="81">
        <v>170124479.03999999</v>
      </c>
      <c r="D244" s="80">
        <f t="shared" si="49"/>
        <v>-362604919.96000004</v>
      </c>
      <c r="E244" s="82">
        <f t="shared" si="45"/>
        <v>31.934501711252466</v>
      </c>
    </row>
    <row r="245" spans="1:5" x14ac:dyDescent="0.2">
      <c r="A245" s="83" t="s">
        <v>231</v>
      </c>
      <c r="B245" s="80">
        <v>73481570</v>
      </c>
      <c r="C245" s="81">
        <v>22886284.129999999</v>
      </c>
      <c r="D245" s="80">
        <f t="shared" si="49"/>
        <v>-50595285.870000005</v>
      </c>
      <c r="E245" s="82">
        <f t="shared" si="45"/>
        <v>31.145611246466288</v>
      </c>
    </row>
    <row r="246" spans="1:5" ht="38.25" x14ac:dyDescent="0.2">
      <c r="A246" s="83" t="s">
        <v>232</v>
      </c>
      <c r="B246" s="77">
        <v>1640966574</v>
      </c>
      <c r="C246" s="85">
        <v>409832182.27999997</v>
      </c>
      <c r="D246" s="77">
        <f t="shared" si="49"/>
        <v>-1231134391.72</v>
      </c>
      <c r="E246" s="78">
        <f t="shared" si="45"/>
        <v>24.975047558768861</v>
      </c>
    </row>
    <row r="247" spans="1:5" x14ac:dyDescent="0.2">
      <c r="A247" s="83" t="s">
        <v>233</v>
      </c>
      <c r="B247" s="77">
        <f>ROUND(SUM(B248:B254),0)</f>
        <v>787393555</v>
      </c>
      <c r="C247" s="77">
        <f t="shared" ref="C247:D247" si="51">ROUND(SUM(C248:C254),0)</f>
        <v>129650636</v>
      </c>
      <c r="D247" s="77">
        <f t="shared" si="51"/>
        <v>-657742919</v>
      </c>
      <c r="E247" s="78">
        <f t="shared" si="45"/>
        <v>16.465798478627374</v>
      </c>
    </row>
    <row r="248" spans="1:5" x14ac:dyDescent="0.2">
      <c r="A248" s="92" t="s">
        <v>234</v>
      </c>
      <c r="B248" s="80">
        <v>176481551</v>
      </c>
      <c r="C248" s="81">
        <v>45000637.079999998</v>
      </c>
      <c r="D248" s="80">
        <f t="shared" si="49"/>
        <v>-131480913.92</v>
      </c>
      <c r="E248" s="82">
        <f t="shared" si="45"/>
        <v>25.498776968477571</v>
      </c>
    </row>
    <row r="249" spans="1:5" x14ac:dyDescent="0.2">
      <c r="A249" s="83" t="s">
        <v>235</v>
      </c>
      <c r="B249" s="80">
        <v>173025461</v>
      </c>
      <c r="C249" s="81">
        <v>23822346.989999998</v>
      </c>
      <c r="D249" s="80">
        <f t="shared" si="49"/>
        <v>-149203114.00999999</v>
      </c>
      <c r="E249" s="82">
        <f t="shared" si="45"/>
        <v>13.768116468130664</v>
      </c>
    </row>
    <row r="250" spans="1:5" x14ac:dyDescent="0.2">
      <c r="A250" s="83" t="s">
        <v>236</v>
      </c>
      <c r="B250" s="80">
        <v>98556609</v>
      </c>
      <c r="C250" s="81">
        <v>21258179.780000001</v>
      </c>
      <c r="D250" s="80">
        <f t="shared" si="49"/>
        <v>-77298429.219999999</v>
      </c>
      <c r="E250" s="82">
        <f t="shared" si="45"/>
        <v>21.569512177514145</v>
      </c>
    </row>
    <row r="251" spans="1:5" x14ac:dyDescent="0.2">
      <c r="A251" s="83" t="s">
        <v>237</v>
      </c>
      <c r="B251" s="80">
        <v>12406559</v>
      </c>
      <c r="C251" s="81">
        <v>1836550.69</v>
      </c>
      <c r="D251" s="80">
        <f t="shared" si="49"/>
        <v>-10570008.310000001</v>
      </c>
      <c r="E251" s="82">
        <f t="shared" si="45"/>
        <v>14.80306255747464</v>
      </c>
    </row>
    <row r="252" spans="1:5" x14ac:dyDescent="0.2">
      <c r="A252" s="83" t="s">
        <v>238</v>
      </c>
      <c r="B252" s="80">
        <v>168200000</v>
      </c>
      <c r="C252" s="81">
        <v>19050110.16</v>
      </c>
      <c r="D252" s="80">
        <f t="shared" si="49"/>
        <v>-149149889.84</v>
      </c>
      <c r="E252" s="82">
        <f t="shared" si="45"/>
        <v>11.325868109393578</v>
      </c>
    </row>
    <row r="253" spans="1:5" x14ac:dyDescent="0.2">
      <c r="A253" s="83" t="s">
        <v>239</v>
      </c>
      <c r="B253" s="80">
        <v>131224447</v>
      </c>
      <c r="C253" s="81">
        <v>17188606.449999999</v>
      </c>
      <c r="D253" s="80">
        <f t="shared" si="49"/>
        <v>-114035840.55</v>
      </c>
      <c r="E253" s="82">
        <f t="shared" si="45"/>
        <v>13.098631271046621</v>
      </c>
    </row>
    <row r="254" spans="1:5" x14ac:dyDescent="0.2">
      <c r="A254" s="83" t="s">
        <v>240</v>
      </c>
      <c r="B254" s="80">
        <v>27498928</v>
      </c>
      <c r="C254" s="81">
        <v>1494204.5</v>
      </c>
      <c r="D254" s="80">
        <f t="shared" si="49"/>
        <v>-26004723.5</v>
      </c>
      <c r="E254" s="82">
        <f t="shared" si="45"/>
        <v>5.4336827239229102</v>
      </c>
    </row>
    <row r="255" spans="1:5" x14ac:dyDescent="0.2">
      <c r="A255" s="83" t="s">
        <v>241</v>
      </c>
      <c r="B255" s="77">
        <v>299726465</v>
      </c>
      <c r="C255" s="85">
        <v>90481688.489999995</v>
      </c>
      <c r="D255" s="77">
        <f t="shared" si="49"/>
        <v>-209244776.50999999</v>
      </c>
      <c r="E255" s="78">
        <f t="shared" si="45"/>
        <v>30.188087825344351</v>
      </c>
    </row>
    <row r="256" spans="1:5" ht="25.5" x14ac:dyDescent="0.2">
      <c r="A256" s="83" t="s">
        <v>242</v>
      </c>
      <c r="B256" s="77">
        <f>ROUND((+B257+B258),0)</f>
        <v>285959780</v>
      </c>
      <c r="C256" s="77">
        <f>ROUND((+C257+C258),0)</f>
        <v>74172571</v>
      </c>
      <c r="D256" s="77">
        <f>ROUND((+D257+D258),0)</f>
        <v>-211787209</v>
      </c>
      <c r="E256" s="78">
        <f t="shared" si="45"/>
        <v>25.938113045128237</v>
      </c>
    </row>
    <row r="257" spans="1:5" x14ac:dyDescent="0.2">
      <c r="A257" s="92" t="s">
        <v>243</v>
      </c>
      <c r="B257" s="80">
        <v>215672768</v>
      </c>
      <c r="C257" s="81">
        <v>55032289.329999998</v>
      </c>
      <c r="D257" s="80">
        <f t="shared" si="49"/>
        <v>-160640478.67000002</v>
      </c>
      <c r="E257" s="82">
        <f t="shared" si="45"/>
        <v>25.516568382893844</v>
      </c>
    </row>
    <row r="258" spans="1:5" x14ac:dyDescent="0.2">
      <c r="A258" s="83" t="s">
        <v>244</v>
      </c>
      <c r="B258" s="80">
        <v>70287012</v>
      </c>
      <c r="C258" s="81">
        <v>19140281.949999999</v>
      </c>
      <c r="D258" s="80">
        <f t="shared" si="49"/>
        <v>-51146730.049999997</v>
      </c>
      <c r="E258" s="82">
        <f t="shared" si="45"/>
        <v>27.231605677020386</v>
      </c>
    </row>
    <row r="259" spans="1:5" ht="25.5" x14ac:dyDescent="0.2">
      <c r="A259" s="92" t="s">
        <v>245</v>
      </c>
      <c r="B259" s="77">
        <v>884131719</v>
      </c>
      <c r="C259" s="85">
        <v>221332954.5</v>
      </c>
      <c r="D259" s="77">
        <f t="shared" si="49"/>
        <v>-662798764.5</v>
      </c>
      <c r="E259" s="78">
        <f t="shared" si="45"/>
        <v>25.03393439501745</v>
      </c>
    </row>
    <row r="260" spans="1:5" x14ac:dyDescent="0.2">
      <c r="A260" s="84" t="s">
        <v>246</v>
      </c>
      <c r="B260" s="77">
        <f>ROUND(+B261,0)</f>
        <v>1566500000</v>
      </c>
      <c r="C260" s="77">
        <f t="shared" ref="C260:D260" si="52">ROUND(+C261,0)</f>
        <v>1050682374</v>
      </c>
      <c r="D260" s="77">
        <f t="shared" si="52"/>
        <v>-515817626</v>
      </c>
      <c r="E260" s="78">
        <f>+C260/B260*100</f>
        <v>67.071967698691353</v>
      </c>
    </row>
    <row r="261" spans="1:5" ht="26.25" thickBot="1" x14ac:dyDescent="0.25">
      <c r="A261" s="113" t="s">
        <v>247</v>
      </c>
      <c r="B261" s="87">
        <v>1566500000</v>
      </c>
      <c r="C261" s="97">
        <v>1050682373.5599999</v>
      </c>
      <c r="D261" s="87">
        <f t="shared" si="49"/>
        <v>-515817626.44000006</v>
      </c>
      <c r="E261" s="89">
        <f t="shared" ref="E261" si="53">+C261/B261*100</f>
        <v>67.071967670603243</v>
      </c>
    </row>
    <row r="262" spans="1:5" x14ac:dyDescent="0.2">
      <c r="C262" s="107"/>
    </row>
    <row r="263" spans="1:5" x14ac:dyDescent="0.2">
      <c r="A263" s="54"/>
      <c r="C263" s="107"/>
    </row>
    <row r="264" spans="1:5" x14ac:dyDescent="0.2">
      <c r="A264" s="54"/>
      <c r="C264" s="107"/>
    </row>
    <row r="265" spans="1:5" x14ac:dyDescent="0.2">
      <c r="A265" s="54"/>
      <c r="C265" s="107"/>
    </row>
    <row r="266" spans="1:5" x14ac:dyDescent="0.2">
      <c r="A266" s="54"/>
      <c r="C266" s="107"/>
    </row>
    <row r="267" spans="1:5" x14ac:dyDescent="0.2">
      <c r="A267" s="54"/>
      <c r="C267" s="107"/>
    </row>
    <row r="268" spans="1:5" x14ac:dyDescent="0.2">
      <c r="A268" s="54"/>
      <c r="C268" s="107"/>
    </row>
    <row r="269" spans="1:5" x14ac:dyDescent="0.2">
      <c r="A269" s="54"/>
      <c r="C269" s="107"/>
    </row>
    <row r="270" spans="1:5" ht="13.5" thickBot="1" x14ac:dyDescent="0.25">
      <c r="A270" s="54"/>
      <c r="C270" s="107"/>
    </row>
    <row r="271" spans="1:5" ht="13.5" thickBot="1" x14ac:dyDescent="0.25">
      <c r="A271" s="56" t="s">
        <v>76</v>
      </c>
      <c r="B271" s="57" t="s">
        <v>77</v>
      </c>
      <c r="C271" s="57" t="s">
        <v>78</v>
      </c>
      <c r="D271" s="58" t="s">
        <v>79</v>
      </c>
      <c r="E271" s="58" t="s">
        <v>80</v>
      </c>
    </row>
    <row r="272" spans="1:5" ht="25.5" x14ac:dyDescent="0.2">
      <c r="A272" s="84" t="s">
        <v>88</v>
      </c>
      <c r="B272" s="77">
        <f>ROUND((+B273+B335+B360),0)</f>
        <v>10354897933</v>
      </c>
      <c r="C272" s="77">
        <f>ROUND((+C273+C335+C360),0)</f>
        <v>2311580053</v>
      </c>
      <c r="D272" s="77">
        <f>ROUND((+D273+D335+D360),0)</f>
        <v>-8043317880</v>
      </c>
      <c r="E272" s="78">
        <f>+C272/B272*100</f>
        <v>22.32354261680582</v>
      </c>
    </row>
    <row r="273" spans="1:5" x14ac:dyDescent="0.2">
      <c r="A273" s="84" t="s">
        <v>248</v>
      </c>
      <c r="B273" s="85">
        <f>ROUND((+B274+B325+B330+B332+B334),0)</f>
        <v>7186770866</v>
      </c>
      <c r="C273" s="85">
        <f>ROUND((+C274+C325+C330+C332+C334),0)</f>
        <v>1861769596</v>
      </c>
      <c r="D273" s="85">
        <f>ROUND((+D274+D325+D330+D332+D334),0)</f>
        <v>-5325001270</v>
      </c>
      <c r="E273" s="78">
        <f t="shared" ref="E273:E335" si="54">+C273/B273*100</f>
        <v>25.905509313061216</v>
      </c>
    </row>
    <row r="274" spans="1:5" x14ac:dyDescent="0.2">
      <c r="A274" s="84" t="s">
        <v>249</v>
      </c>
      <c r="B274" s="77">
        <f>ROUND(SUM(B275:B324),0)</f>
        <v>1179798337</v>
      </c>
      <c r="C274" s="77">
        <f>ROUND(SUM(C275:C324),0)</f>
        <v>484012715</v>
      </c>
      <c r="D274" s="77">
        <f>ROUND(SUM(D275:D324),0)</f>
        <v>-695785622</v>
      </c>
      <c r="E274" s="78">
        <f t="shared" si="54"/>
        <v>41.025037908660828</v>
      </c>
    </row>
    <row r="275" spans="1:5" x14ac:dyDescent="0.2">
      <c r="A275" s="114" t="s">
        <v>250</v>
      </c>
      <c r="B275" s="80">
        <v>14500000</v>
      </c>
      <c r="C275" s="80">
        <v>0</v>
      </c>
      <c r="D275" s="80">
        <f t="shared" ref="D275:D329" si="55">+C275-B275</f>
        <v>-14500000</v>
      </c>
      <c r="E275" s="82">
        <v>0</v>
      </c>
    </row>
    <row r="276" spans="1:5" x14ac:dyDescent="0.2">
      <c r="A276" s="114" t="s">
        <v>251</v>
      </c>
      <c r="B276" s="80">
        <v>182245643</v>
      </c>
      <c r="C276" s="80">
        <v>99552305</v>
      </c>
      <c r="D276" s="80">
        <f t="shared" si="55"/>
        <v>-82693338</v>
      </c>
      <c r="E276" s="82">
        <f t="shared" si="54"/>
        <v>54.625341578124861</v>
      </c>
    </row>
    <row r="277" spans="1:5" x14ac:dyDescent="0.2">
      <c r="A277" s="114" t="s">
        <v>252</v>
      </c>
      <c r="B277" s="80">
        <v>2237536</v>
      </c>
      <c r="C277" s="80">
        <v>755502</v>
      </c>
      <c r="D277" s="80">
        <f t="shared" si="55"/>
        <v>-1482034</v>
      </c>
      <c r="E277" s="82">
        <f t="shared" si="54"/>
        <v>33.764909257325911</v>
      </c>
    </row>
    <row r="278" spans="1:5" x14ac:dyDescent="0.2">
      <c r="A278" s="114" t="s">
        <v>253</v>
      </c>
      <c r="B278" s="80">
        <v>6061955</v>
      </c>
      <c r="C278" s="80">
        <v>1734497</v>
      </c>
      <c r="D278" s="80">
        <f t="shared" si="55"/>
        <v>-4327458</v>
      </c>
      <c r="E278" s="82">
        <f t="shared" si="54"/>
        <v>28.612831998917841</v>
      </c>
    </row>
    <row r="279" spans="1:5" x14ac:dyDescent="0.2">
      <c r="A279" s="114" t="s">
        <v>254</v>
      </c>
      <c r="B279" s="80">
        <v>1851595</v>
      </c>
      <c r="C279" s="80">
        <v>935266</v>
      </c>
      <c r="D279" s="80">
        <f t="shared" si="55"/>
        <v>-916329</v>
      </c>
      <c r="E279" s="82">
        <f t="shared" si="54"/>
        <v>50.511369927008879</v>
      </c>
    </row>
    <row r="280" spans="1:5" x14ac:dyDescent="0.2">
      <c r="A280" s="114" t="s">
        <v>255</v>
      </c>
      <c r="B280" s="80">
        <v>26623600</v>
      </c>
      <c r="C280" s="80">
        <v>6902240</v>
      </c>
      <c r="D280" s="80">
        <f t="shared" si="55"/>
        <v>-19721360</v>
      </c>
      <c r="E280" s="82">
        <f t="shared" si="54"/>
        <v>25.925269309935544</v>
      </c>
    </row>
    <row r="281" spans="1:5" x14ac:dyDescent="0.2">
      <c r="A281" s="114" t="s">
        <v>256</v>
      </c>
      <c r="B281" s="80">
        <v>570684</v>
      </c>
      <c r="C281" s="80">
        <v>209548</v>
      </c>
      <c r="D281" s="80">
        <f t="shared" si="55"/>
        <v>-361136</v>
      </c>
      <c r="E281" s="82">
        <f t="shared" si="54"/>
        <v>36.718744524114925</v>
      </c>
    </row>
    <row r="282" spans="1:5" x14ac:dyDescent="0.2">
      <c r="A282" s="114" t="s">
        <v>257</v>
      </c>
      <c r="B282" s="80">
        <v>105350233</v>
      </c>
      <c r="C282" s="80">
        <v>19644950</v>
      </c>
      <c r="D282" s="80">
        <f t="shared" si="55"/>
        <v>-85705283</v>
      </c>
      <c r="E282" s="82">
        <f t="shared" si="54"/>
        <v>18.647277220544922</v>
      </c>
    </row>
    <row r="283" spans="1:5" x14ac:dyDescent="0.2">
      <c r="A283" s="114" t="s">
        <v>258</v>
      </c>
      <c r="B283" s="80">
        <v>5000000</v>
      </c>
      <c r="C283" s="80">
        <v>1664964</v>
      </c>
      <c r="D283" s="93">
        <f t="shared" si="55"/>
        <v>-3335036</v>
      </c>
      <c r="E283" s="82">
        <f t="shared" si="54"/>
        <v>33.299279999999996</v>
      </c>
    </row>
    <row r="284" spans="1:5" ht="25.5" x14ac:dyDescent="0.2">
      <c r="A284" s="114" t="s">
        <v>259</v>
      </c>
      <c r="B284" s="80">
        <v>10026689</v>
      </c>
      <c r="C284" s="80">
        <v>3643684</v>
      </c>
      <c r="D284" s="80">
        <f t="shared" si="55"/>
        <v>-6383005</v>
      </c>
      <c r="E284" s="82">
        <f t="shared" si="54"/>
        <v>36.339852567482644</v>
      </c>
    </row>
    <row r="285" spans="1:5" x14ac:dyDescent="0.2">
      <c r="A285" s="114" t="s">
        <v>260</v>
      </c>
      <c r="B285" s="80">
        <v>2164839</v>
      </c>
      <c r="C285" s="80">
        <v>48923218</v>
      </c>
      <c r="D285" s="80">
        <f t="shared" si="55"/>
        <v>46758379</v>
      </c>
      <c r="E285" s="82">
        <f t="shared" si="54"/>
        <v>2259.9009903276874</v>
      </c>
    </row>
    <row r="286" spans="1:5" ht="25.5" x14ac:dyDescent="0.2">
      <c r="A286" s="114" t="s">
        <v>261</v>
      </c>
      <c r="B286" s="80">
        <v>0</v>
      </c>
      <c r="C286" s="80">
        <v>30303679</v>
      </c>
      <c r="D286" s="80">
        <f t="shared" si="55"/>
        <v>30303679</v>
      </c>
      <c r="E286" s="82">
        <v>100</v>
      </c>
    </row>
    <row r="287" spans="1:5" ht="25.5" x14ac:dyDescent="0.2">
      <c r="A287" s="114" t="s">
        <v>262</v>
      </c>
      <c r="B287" s="80">
        <v>61124654</v>
      </c>
      <c r="C287" s="80">
        <v>15696346</v>
      </c>
      <c r="D287" s="80">
        <f t="shared" si="55"/>
        <v>-45428308</v>
      </c>
      <c r="E287" s="82">
        <f t="shared" si="54"/>
        <v>25.679239018678125</v>
      </c>
    </row>
    <row r="288" spans="1:5" x14ac:dyDescent="0.2">
      <c r="A288" s="114" t="s">
        <v>263</v>
      </c>
      <c r="B288" s="80">
        <v>32212900</v>
      </c>
      <c r="C288" s="80">
        <v>12580376</v>
      </c>
      <c r="D288" s="93">
        <f t="shared" si="55"/>
        <v>-19632524</v>
      </c>
      <c r="E288" s="82">
        <f t="shared" si="54"/>
        <v>39.053844888228006</v>
      </c>
    </row>
    <row r="289" spans="1:5" x14ac:dyDescent="0.2">
      <c r="A289" s="114" t="s">
        <v>264</v>
      </c>
      <c r="B289" s="80">
        <v>10930700</v>
      </c>
      <c r="C289" s="80">
        <v>6096717</v>
      </c>
      <c r="D289" s="93">
        <f t="shared" si="55"/>
        <v>-4833983</v>
      </c>
      <c r="E289" s="82">
        <f t="shared" si="54"/>
        <v>55.776089362986816</v>
      </c>
    </row>
    <row r="290" spans="1:5" x14ac:dyDescent="0.2">
      <c r="A290" s="114" t="s">
        <v>265</v>
      </c>
      <c r="B290" s="80">
        <v>10655170</v>
      </c>
      <c r="C290" s="80">
        <v>2875458</v>
      </c>
      <c r="D290" s="80">
        <f t="shared" si="55"/>
        <v>-7779712</v>
      </c>
      <c r="E290" s="82">
        <f t="shared" si="54"/>
        <v>26.986505142573979</v>
      </c>
    </row>
    <row r="291" spans="1:5" x14ac:dyDescent="0.2">
      <c r="A291" s="114" t="s">
        <v>266</v>
      </c>
      <c r="B291" s="80">
        <v>7640108</v>
      </c>
      <c r="C291" s="80">
        <v>1527855</v>
      </c>
      <c r="D291" s="93">
        <f t="shared" si="55"/>
        <v>-6112253</v>
      </c>
      <c r="E291" s="82">
        <f t="shared" si="54"/>
        <v>19.997819402552949</v>
      </c>
    </row>
    <row r="292" spans="1:5" x14ac:dyDescent="0.2">
      <c r="A292" s="114" t="s">
        <v>267</v>
      </c>
      <c r="B292" s="80">
        <v>8707922</v>
      </c>
      <c r="C292" s="80">
        <v>1017554</v>
      </c>
      <c r="D292" s="93">
        <f t="shared" si="55"/>
        <v>-7690368</v>
      </c>
      <c r="E292" s="82">
        <f t="shared" si="54"/>
        <v>11.685382574625725</v>
      </c>
    </row>
    <row r="293" spans="1:5" x14ac:dyDescent="0.2">
      <c r="A293" s="114" t="s">
        <v>268</v>
      </c>
      <c r="B293" s="80">
        <v>2093980</v>
      </c>
      <c r="C293" s="80">
        <v>927201</v>
      </c>
      <c r="D293" s="93">
        <f t="shared" si="55"/>
        <v>-1166779</v>
      </c>
      <c r="E293" s="82">
        <f t="shared" si="54"/>
        <v>44.279362744629843</v>
      </c>
    </row>
    <row r="294" spans="1:5" x14ac:dyDescent="0.2">
      <c r="A294" s="114" t="s">
        <v>269</v>
      </c>
      <c r="B294" s="80">
        <v>83723268</v>
      </c>
      <c r="C294" s="80">
        <v>20541184</v>
      </c>
      <c r="D294" s="80">
        <f t="shared" si="55"/>
        <v>-63182084</v>
      </c>
      <c r="E294" s="82">
        <f t="shared" si="54"/>
        <v>24.534618022793854</v>
      </c>
    </row>
    <row r="295" spans="1:5" ht="25.5" x14ac:dyDescent="0.2">
      <c r="A295" s="114" t="s">
        <v>270</v>
      </c>
      <c r="B295" s="80">
        <v>93672621</v>
      </c>
      <c r="C295" s="80">
        <v>4293804</v>
      </c>
      <c r="D295" s="80">
        <f t="shared" si="55"/>
        <v>-89378817</v>
      </c>
      <c r="E295" s="82">
        <f t="shared" si="54"/>
        <v>4.5838409923428962</v>
      </c>
    </row>
    <row r="296" spans="1:5" ht="25.5" x14ac:dyDescent="0.2">
      <c r="A296" s="114" t="s">
        <v>271</v>
      </c>
      <c r="B296" s="80">
        <v>3808456</v>
      </c>
      <c r="C296" s="80">
        <v>3834479</v>
      </c>
      <c r="D296" s="80">
        <f t="shared" si="55"/>
        <v>26023</v>
      </c>
      <c r="E296" s="82">
        <f t="shared" si="54"/>
        <v>100.68329527766633</v>
      </c>
    </row>
    <row r="297" spans="1:5" x14ac:dyDescent="0.2">
      <c r="A297" s="114" t="s">
        <v>272</v>
      </c>
      <c r="B297" s="80">
        <v>184423772</v>
      </c>
      <c r="C297" s="80">
        <v>51466575</v>
      </c>
      <c r="D297" s="93">
        <f t="shared" si="55"/>
        <v>-132957197</v>
      </c>
      <c r="E297" s="82">
        <f t="shared" si="54"/>
        <v>27.906692527685639</v>
      </c>
    </row>
    <row r="298" spans="1:5" x14ac:dyDescent="0.2">
      <c r="A298" s="114" t="s">
        <v>273</v>
      </c>
      <c r="B298" s="80">
        <v>2067960</v>
      </c>
      <c r="C298" s="80">
        <v>504071</v>
      </c>
      <c r="D298" s="93">
        <f t="shared" si="55"/>
        <v>-1563889</v>
      </c>
      <c r="E298" s="82">
        <f t="shared" si="54"/>
        <v>24.375278051799842</v>
      </c>
    </row>
    <row r="299" spans="1:5" x14ac:dyDescent="0.2">
      <c r="A299" s="114" t="s">
        <v>274</v>
      </c>
      <c r="B299" s="80">
        <v>1040640</v>
      </c>
      <c r="C299" s="80">
        <v>2437819</v>
      </c>
      <c r="D299" s="93">
        <f t="shared" si="55"/>
        <v>1397179</v>
      </c>
      <c r="E299" s="82">
        <f t="shared" si="54"/>
        <v>234.26151214637144</v>
      </c>
    </row>
    <row r="300" spans="1:5" x14ac:dyDescent="0.2">
      <c r="A300" s="114" t="s">
        <v>275</v>
      </c>
      <c r="B300" s="80">
        <v>1400000</v>
      </c>
      <c r="C300" s="80">
        <v>40000</v>
      </c>
      <c r="D300" s="93">
        <f t="shared" si="55"/>
        <v>-1360000</v>
      </c>
      <c r="E300" s="82">
        <f t="shared" si="54"/>
        <v>2.8571428571428572</v>
      </c>
    </row>
    <row r="301" spans="1:5" x14ac:dyDescent="0.2">
      <c r="A301" s="114" t="s">
        <v>276</v>
      </c>
      <c r="B301" s="80">
        <v>164655450</v>
      </c>
      <c r="C301" s="80">
        <v>56506567</v>
      </c>
      <c r="D301" s="93">
        <f t="shared" si="55"/>
        <v>-108148883</v>
      </c>
      <c r="E301" s="82">
        <f t="shared" si="54"/>
        <v>34.31806660514426</v>
      </c>
    </row>
    <row r="302" spans="1:5" x14ac:dyDescent="0.2">
      <c r="A302" s="114" t="s">
        <v>277</v>
      </c>
      <c r="B302" s="80">
        <v>16412286</v>
      </c>
      <c r="C302" s="80">
        <v>4069845</v>
      </c>
      <c r="D302" s="93">
        <f t="shared" si="55"/>
        <v>-12342441</v>
      </c>
      <c r="E302" s="82">
        <f t="shared" si="54"/>
        <v>24.797551054131034</v>
      </c>
    </row>
    <row r="303" spans="1:5" x14ac:dyDescent="0.2">
      <c r="A303" s="114" t="s">
        <v>278</v>
      </c>
      <c r="B303" s="80">
        <v>756230</v>
      </c>
      <c r="C303" s="80">
        <v>94036</v>
      </c>
      <c r="D303" s="93">
        <f t="shared" si="55"/>
        <v>-662194</v>
      </c>
      <c r="E303" s="82">
        <f t="shared" si="54"/>
        <v>12.434841252000053</v>
      </c>
    </row>
    <row r="304" spans="1:5" x14ac:dyDescent="0.2">
      <c r="A304" s="114" t="s">
        <v>279</v>
      </c>
      <c r="B304" s="80">
        <v>21800000</v>
      </c>
      <c r="C304" s="80">
        <v>2379662</v>
      </c>
      <c r="D304" s="93">
        <f t="shared" si="55"/>
        <v>-19420338</v>
      </c>
      <c r="E304" s="82">
        <f t="shared" si="54"/>
        <v>10.915880733944954</v>
      </c>
    </row>
    <row r="305" spans="1:5" x14ac:dyDescent="0.2">
      <c r="A305" s="114" t="s">
        <v>280</v>
      </c>
      <c r="B305" s="80">
        <v>407500</v>
      </c>
      <c r="C305" s="80">
        <v>498445</v>
      </c>
      <c r="D305" s="93">
        <f t="shared" si="55"/>
        <v>90945</v>
      </c>
      <c r="E305" s="82">
        <f t="shared" si="54"/>
        <v>122.31779141104295</v>
      </c>
    </row>
    <row r="306" spans="1:5" x14ac:dyDescent="0.2">
      <c r="A306" s="114" t="s">
        <v>281</v>
      </c>
      <c r="B306" s="80">
        <v>318029</v>
      </c>
      <c r="C306" s="80">
        <v>771845</v>
      </c>
      <c r="D306" s="93">
        <f t="shared" si="55"/>
        <v>453816</v>
      </c>
      <c r="E306" s="82">
        <f t="shared" si="54"/>
        <v>242.69642076665963</v>
      </c>
    </row>
    <row r="307" spans="1:5" x14ac:dyDescent="0.2">
      <c r="A307" s="114" t="s">
        <v>282</v>
      </c>
      <c r="B307" s="80">
        <v>103000</v>
      </c>
      <c r="C307" s="80">
        <v>17493</v>
      </c>
      <c r="D307" s="93">
        <f t="shared" si="55"/>
        <v>-85507</v>
      </c>
      <c r="E307" s="82">
        <f t="shared" si="54"/>
        <v>16.983495145631068</v>
      </c>
    </row>
    <row r="308" spans="1:5" x14ac:dyDescent="0.2">
      <c r="A308" s="114" t="s">
        <v>283</v>
      </c>
      <c r="B308" s="80">
        <v>3195938</v>
      </c>
      <c r="C308" s="80">
        <v>966975</v>
      </c>
      <c r="D308" s="93">
        <f t="shared" si="55"/>
        <v>-2228963</v>
      </c>
      <c r="E308" s="82">
        <f t="shared" si="54"/>
        <v>30.256375436569794</v>
      </c>
    </row>
    <row r="309" spans="1:5" x14ac:dyDescent="0.2">
      <c r="A309" s="114" t="s">
        <v>284</v>
      </c>
      <c r="B309" s="80">
        <v>1416890</v>
      </c>
      <c r="C309" s="80">
        <v>653297</v>
      </c>
      <c r="D309" s="93">
        <f t="shared" si="55"/>
        <v>-763593</v>
      </c>
      <c r="E309" s="82">
        <f t="shared" si="54"/>
        <v>46.107813591739657</v>
      </c>
    </row>
    <row r="310" spans="1:5" x14ac:dyDescent="0.2">
      <c r="A310" s="114" t="s">
        <v>285</v>
      </c>
      <c r="B310" s="80">
        <v>1500000</v>
      </c>
      <c r="C310" s="80">
        <v>432314</v>
      </c>
      <c r="D310" s="93">
        <f t="shared" si="55"/>
        <v>-1067686</v>
      </c>
      <c r="E310" s="82">
        <f t="shared" si="54"/>
        <v>28.820933333333333</v>
      </c>
    </row>
    <row r="311" spans="1:5" x14ac:dyDescent="0.2">
      <c r="A311" s="114" t="s">
        <v>286</v>
      </c>
      <c r="B311" s="80">
        <v>2995717</v>
      </c>
      <c r="C311" s="80">
        <v>470264</v>
      </c>
      <c r="D311" s="93">
        <f t="shared" si="55"/>
        <v>-2525453</v>
      </c>
      <c r="E311" s="82">
        <f t="shared" si="54"/>
        <v>15.697878003830134</v>
      </c>
    </row>
    <row r="312" spans="1:5" x14ac:dyDescent="0.2">
      <c r="A312" s="114" t="s">
        <v>287</v>
      </c>
      <c r="B312" s="80">
        <v>2306720</v>
      </c>
      <c r="C312" s="80">
        <v>60834</v>
      </c>
      <c r="D312" s="93">
        <f t="shared" si="55"/>
        <v>-2245886</v>
      </c>
      <c r="E312" s="82">
        <f t="shared" si="54"/>
        <v>2.637251161822848</v>
      </c>
    </row>
    <row r="313" spans="1:5" x14ac:dyDescent="0.2">
      <c r="A313" s="114" t="s">
        <v>288</v>
      </c>
      <c r="B313" s="80">
        <v>76790252</v>
      </c>
      <c r="C313" s="80">
        <v>13560087</v>
      </c>
      <c r="D313" s="93">
        <f t="shared" si="55"/>
        <v>-63230165</v>
      </c>
      <c r="E313" s="82">
        <f t="shared" si="54"/>
        <v>17.658604636432241</v>
      </c>
    </row>
    <row r="314" spans="1:5" x14ac:dyDescent="0.2">
      <c r="A314" s="114" t="s">
        <v>289</v>
      </c>
      <c r="B314" s="80">
        <v>10370000</v>
      </c>
      <c r="C314" s="80">
        <v>40000</v>
      </c>
      <c r="D314" s="93">
        <f t="shared" si="55"/>
        <v>-10330000</v>
      </c>
      <c r="E314" s="82">
        <f t="shared" si="54"/>
        <v>0.38572806171648988</v>
      </c>
    </row>
    <row r="315" spans="1:5" ht="25.5" x14ac:dyDescent="0.2">
      <c r="A315" s="114" t="s">
        <v>290</v>
      </c>
      <c r="B315" s="80">
        <v>250000</v>
      </c>
      <c r="C315" s="80">
        <v>2098</v>
      </c>
      <c r="D315" s="80">
        <f t="shared" si="55"/>
        <v>-247902</v>
      </c>
      <c r="E315" s="82">
        <f t="shared" si="54"/>
        <v>0.83920000000000006</v>
      </c>
    </row>
    <row r="316" spans="1:5" x14ac:dyDescent="0.2">
      <c r="A316" s="114" t="s">
        <v>291</v>
      </c>
      <c r="B316" s="80">
        <v>1856160</v>
      </c>
      <c r="C316" s="80">
        <v>1135476</v>
      </c>
      <c r="D316" s="93">
        <f t="shared" si="55"/>
        <v>-720684</v>
      </c>
      <c r="E316" s="82">
        <f t="shared" si="54"/>
        <v>61.173390224980608</v>
      </c>
    </row>
    <row r="317" spans="1:5" x14ac:dyDescent="0.2">
      <c r="A317" s="114" t="s">
        <v>292</v>
      </c>
      <c r="B317" s="80">
        <v>4500000</v>
      </c>
      <c r="C317" s="80">
        <v>0</v>
      </c>
      <c r="D317" s="93">
        <f t="shared" si="55"/>
        <v>-4500000</v>
      </c>
      <c r="E317" s="82">
        <f t="shared" si="54"/>
        <v>0</v>
      </c>
    </row>
    <row r="318" spans="1:5" x14ac:dyDescent="0.2">
      <c r="A318" s="114" t="s">
        <v>293</v>
      </c>
      <c r="B318" s="80">
        <v>1479225</v>
      </c>
      <c r="C318" s="80">
        <v>203725</v>
      </c>
      <c r="D318" s="93">
        <f t="shared" si="55"/>
        <v>-1275500</v>
      </c>
      <c r="E318" s="82">
        <f t="shared" si="54"/>
        <v>13.772414609001334</v>
      </c>
    </row>
    <row r="319" spans="1:5" ht="25.5" x14ac:dyDescent="0.2">
      <c r="A319" s="114" t="s">
        <v>294</v>
      </c>
      <c r="B319" s="80">
        <v>1036375</v>
      </c>
      <c r="C319" s="80">
        <v>178735</v>
      </c>
      <c r="D319" s="80">
        <f t="shared" si="55"/>
        <v>-857640</v>
      </c>
      <c r="E319" s="82">
        <f t="shared" si="54"/>
        <v>17.246170546375588</v>
      </c>
    </row>
    <row r="320" spans="1:5" x14ac:dyDescent="0.2">
      <c r="A320" s="114" t="s">
        <v>295</v>
      </c>
      <c r="B320" s="80">
        <v>6813640</v>
      </c>
      <c r="C320" s="80">
        <v>0</v>
      </c>
      <c r="D320" s="93">
        <f t="shared" si="55"/>
        <v>-6813640</v>
      </c>
      <c r="E320" s="82">
        <f t="shared" si="54"/>
        <v>0</v>
      </c>
    </row>
    <row r="321" spans="1:5" ht="25.5" x14ac:dyDescent="0.2">
      <c r="A321" s="114" t="s">
        <v>296</v>
      </c>
      <c r="B321" s="80">
        <v>700000</v>
      </c>
      <c r="C321" s="80">
        <v>55800973</v>
      </c>
      <c r="D321" s="80">
        <f t="shared" si="55"/>
        <v>55100973</v>
      </c>
      <c r="E321" s="82">
        <f t="shared" si="54"/>
        <v>7971.5675714285708</v>
      </c>
    </row>
    <row r="322" spans="1:5" ht="25.5" x14ac:dyDescent="0.2">
      <c r="A322" s="114" t="s">
        <v>297</v>
      </c>
      <c r="B322" s="80">
        <v>0</v>
      </c>
      <c r="C322" s="80">
        <v>2664422</v>
      </c>
      <c r="D322" s="80">
        <f t="shared" si="55"/>
        <v>2664422</v>
      </c>
      <c r="E322" s="82">
        <v>100</v>
      </c>
    </row>
    <row r="323" spans="1:5" x14ac:dyDescent="0.2">
      <c r="A323" s="114" t="s">
        <v>298</v>
      </c>
      <c r="B323" s="80">
        <v>0</v>
      </c>
      <c r="C323" s="80">
        <v>4522480</v>
      </c>
      <c r="D323" s="93">
        <f t="shared" si="55"/>
        <v>4522480</v>
      </c>
      <c r="E323" s="82">
        <v>100</v>
      </c>
    </row>
    <row r="324" spans="1:5" x14ac:dyDescent="0.2">
      <c r="A324" s="114" t="s">
        <v>299</v>
      </c>
      <c r="B324" s="80">
        <v>0</v>
      </c>
      <c r="C324" s="80">
        <v>873850</v>
      </c>
      <c r="D324" s="93">
        <f t="shared" si="55"/>
        <v>873850</v>
      </c>
      <c r="E324" s="82">
        <v>100</v>
      </c>
    </row>
    <row r="325" spans="1:5" x14ac:dyDescent="0.2">
      <c r="A325" s="84" t="s">
        <v>300</v>
      </c>
      <c r="B325" s="77">
        <f>ROUND(SUM(B326:B329),0)</f>
        <v>40203090</v>
      </c>
      <c r="C325" s="77">
        <f t="shared" ref="C325:D325" si="56">ROUND(SUM(C326:C329),0)</f>
        <v>21185869</v>
      </c>
      <c r="D325" s="77">
        <f t="shared" si="56"/>
        <v>-19017221</v>
      </c>
      <c r="E325" s="78">
        <f t="shared" si="54"/>
        <v>52.697116067446558</v>
      </c>
    </row>
    <row r="326" spans="1:5" x14ac:dyDescent="0.2">
      <c r="A326" s="83" t="s">
        <v>301</v>
      </c>
      <c r="B326" s="80">
        <v>16277090</v>
      </c>
      <c r="C326" s="80">
        <v>1979524</v>
      </c>
      <c r="D326" s="80">
        <f t="shared" si="55"/>
        <v>-14297566</v>
      </c>
      <c r="E326" s="82">
        <f t="shared" si="54"/>
        <v>12.16141214430835</v>
      </c>
    </row>
    <row r="327" spans="1:5" ht="25.5" x14ac:dyDescent="0.2">
      <c r="A327" s="83" t="s">
        <v>302</v>
      </c>
      <c r="B327" s="80">
        <v>14500000</v>
      </c>
      <c r="C327" s="80">
        <v>58374</v>
      </c>
      <c r="D327" s="80">
        <f t="shared" si="55"/>
        <v>-14441626</v>
      </c>
      <c r="E327" s="82">
        <f t="shared" si="54"/>
        <v>0.40257931034482758</v>
      </c>
    </row>
    <row r="328" spans="1:5" x14ac:dyDescent="0.2">
      <c r="A328" s="83" t="s">
        <v>303</v>
      </c>
      <c r="B328" s="80">
        <v>9426000</v>
      </c>
      <c r="C328" s="80">
        <v>3305830</v>
      </c>
      <c r="D328" s="80">
        <f t="shared" si="55"/>
        <v>-6120170</v>
      </c>
      <c r="E328" s="82">
        <f t="shared" si="54"/>
        <v>35.071398260131552</v>
      </c>
    </row>
    <row r="329" spans="1:5" x14ac:dyDescent="0.2">
      <c r="A329" s="83" t="s">
        <v>304</v>
      </c>
      <c r="B329" s="80">
        <v>0</v>
      </c>
      <c r="C329" s="80">
        <v>15842141</v>
      </c>
      <c r="D329" s="80">
        <f t="shared" si="55"/>
        <v>15842141</v>
      </c>
      <c r="E329" s="82">
        <v>100</v>
      </c>
    </row>
    <row r="330" spans="1:5" x14ac:dyDescent="0.2">
      <c r="A330" s="84" t="s">
        <v>305</v>
      </c>
      <c r="B330" s="77">
        <f>ROUND(+B331,0)</f>
        <v>5828413016</v>
      </c>
      <c r="C330" s="77">
        <f t="shared" ref="C330:D330" si="57">ROUND(+C331,0)</f>
        <v>1356571012</v>
      </c>
      <c r="D330" s="77">
        <f t="shared" si="57"/>
        <v>-4471842004</v>
      </c>
      <c r="E330" s="78">
        <f t="shared" si="54"/>
        <v>23.275135243092386</v>
      </c>
    </row>
    <row r="331" spans="1:5" ht="25.5" x14ac:dyDescent="0.2">
      <c r="A331" s="83" t="s">
        <v>306</v>
      </c>
      <c r="B331" s="80">
        <v>5828413016</v>
      </c>
      <c r="C331" s="80">
        <v>1356571012</v>
      </c>
      <c r="D331" s="80">
        <f>+C331-B331</f>
        <v>-4471842004</v>
      </c>
      <c r="E331" s="82">
        <f t="shared" si="54"/>
        <v>23.275135243092386</v>
      </c>
    </row>
    <row r="332" spans="1:5" x14ac:dyDescent="0.2">
      <c r="A332" s="84" t="s">
        <v>307</v>
      </c>
      <c r="B332" s="77">
        <f>+B333</f>
        <v>138356423</v>
      </c>
      <c r="C332" s="77">
        <f t="shared" ref="C332:D332" si="58">+C333</f>
        <v>0</v>
      </c>
      <c r="D332" s="77">
        <f t="shared" si="58"/>
        <v>-138356423</v>
      </c>
      <c r="E332" s="78">
        <v>0</v>
      </c>
    </row>
    <row r="333" spans="1:5" x14ac:dyDescent="0.2">
      <c r="A333" s="115" t="s">
        <v>304</v>
      </c>
      <c r="B333" s="80">
        <v>138356423</v>
      </c>
      <c r="C333" s="80">
        <v>0</v>
      </c>
      <c r="D333" s="80">
        <f>+C333-B333</f>
        <v>-138356423</v>
      </c>
      <c r="E333" s="82">
        <f t="shared" si="54"/>
        <v>0</v>
      </c>
    </row>
    <row r="334" spans="1:5" x14ac:dyDescent="0.2">
      <c r="A334" s="84" t="s">
        <v>308</v>
      </c>
      <c r="B334" s="80">
        <v>0</v>
      </c>
      <c r="C334" s="80">
        <v>0</v>
      </c>
      <c r="D334" s="80">
        <f>+C334-B334</f>
        <v>0</v>
      </c>
      <c r="E334" s="82">
        <v>0</v>
      </c>
    </row>
    <row r="335" spans="1:5" x14ac:dyDescent="0.2">
      <c r="A335" s="84" t="s">
        <v>309</v>
      </c>
      <c r="B335" s="77">
        <f>ROUND(SUM(B336:B357),0)</f>
        <v>3102127067</v>
      </c>
      <c r="C335" s="77">
        <f t="shared" ref="C335:D335" si="59">ROUND(SUM(C336:C357),0)</f>
        <v>449810457</v>
      </c>
      <c r="D335" s="77">
        <f t="shared" si="59"/>
        <v>-2652316610</v>
      </c>
      <c r="E335" s="78">
        <f t="shared" si="54"/>
        <v>14.500065512629112</v>
      </c>
    </row>
    <row r="336" spans="1:5" ht="25.5" x14ac:dyDescent="0.2">
      <c r="A336" s="92" t="s">
        <v>310</v>
      </c>
      <c r="B336" s="80">
        <v>630000000</v>
      </c>
      <c r="C336" s="81">
        <v>131878037.8</v>
      </c>
      <c r="D336" s="116">
        <f t="shared" ref="D336:D361" si="60">+C336-B336</f>
        <v>-498121962.19999999</v>
      </c>
      <c r="E336" s="82">
        <f t="shared" ref="E336:E345" si="61">+C336/B336*100</f>
        <v>20.933021873015871</v>
      </c>
    </row>
    <row r="337" spans="1:5" ht="25.5" x14ac:dyDescent="0.2">
      <c r="A337" s="83" t="s">
        <v>311</v>
      </c>
      <c r="B337" s="80">
        <v>20075000</v>
      </c>
      <c r="C337" s="81">
        <v>0</v>
      </c>
      <c r="D337" s="116">
        <f t="shared" si="60"/>
        <v>-20075000</v>
      </c>
      <c r="E337" s="82">
        <f t="shared" si="61"/>
        <v>0</v>
      </c>
    </row>
    <row r="338" spans="1:5" x14ac:dyDescent="0.2">
      <c r="A338" s="83" t="s">
        <v>312</v>
      </c>
      <c r="B338" s="80">
        <v>471737259</v>
      </c>
      <c r="C338" s="81">
        <v>592036.48</v>
      </c>
      <c r="D338" s="80">
        <f t="shared" si="60"/>
        <v>-471145222.51999998</v>
      </c>
      <c r="E338" s="82">
        <f t="shared" si="61"/>
        <v>0.12550131852103716</v>
      </c>
    </row>
    <row r="339" spans="1:5" x14ac:dyDescent="0.2">
      <c r="A339" s="96" t="s">
        <v>313</v>
      </c>
      <c r="B339" s="80">
        <v>0</v>
      </c>
      <c r="C339" s="81">
        <v>128.93</v>
      </c>
      <c r="D339" s="80">
        <f t="shared" si="60"/>
        <v>128.93</v>
      </c>
      <c r="E339" s="82">
        <v>100</v>
      </c>
    </row>
    <row r="340" spans="1:5" x14ac:dyDescent="0.2">
      <c r="A340" s="92" t="s">
        <v>314</v>
      </c>
      <c r="B340" s="80">
        <v>0</v>
      </c>
      <c r="C340" s="81">
        <v>5510.44</v>
      </c>
      <c r="D340" s="116">
        <f t="shared" si="60"/>
        <v>5510.44</v>
      </c>
      <c r="E340" s="82">
        <v>100</v>
      </c>
    </row>
    <row r="341" spans="1:5" ht="25.5" x14ac:dyDescent="0.2">
      <c r="A341" s="83" t="s">
        <v>315</v>
      </c>
      <c r="B341" s="80">
        <v>10451212</v>
      </c>
      <c r="C341" s="81">
        <v>0</v>
      </c>
      <c r="D341" s="80">
        <f t="shared" si="60"/>
        <v>-10451212</v>
      </c>
      <c r="E341" s="82">
        <f t="shared" si="61"/>
        <v>0</v>
      </c>
    </row>
    <row r="342" spans="1:5" x14ac:dyDescent="0.2">
      <c r="A342" s="83" t="s">
        <v>316</v>
      </c>
      <c r="B342" s="80">
        <v>551040002</v>
      </c>
      <c r="C342" s="81">
        <v>177592.65</v>
      </c>
      <c r="D342" s="116">
        <f t="shared" si="60"/>
        <v>-550862409.35000002</v>
      </c>
      <c r="E342" s="82">
        <f t="shared" si="61"/>
        <v>3.2228631198357179E-2</v>
      </c>
    </row>
    <row r="343" spans="1:5" ht="25.5" x14ac:dyDescent="0.2">
      <c r="A343" s="83" t="s">
        <v>317</v>
      </c>
      <c r="B343" s="80">
        <v>0</v>
      </c>
      <c r="C343" s="81">
        <v>0</v>
      </c>
      <c r="D343" s="80">
        <f t="shared" si="60"/>
        <v>0</v>
      </c>
      <c r="E343" s="82">
        <v>0</v>
      </c>
    </row>
    <row r="344" spans="1:5" x14ac:dyDescent="0.2">
      <c r="A344" s="83" t="s">
        <v>318</v>
      </c>
      <c r="B344" s="80"/>
      <c r="C344" s="81">
        <v>0</v>
      </c>
      <c r="D344" s="80">
        <f t="shared" si="60"/>
        <v>0</v>
      </c>
      <c r="E344" s="82">
        <v>0</v>
      </c>
    </row>
    <row r="345" spans="1:5" x14ac:dyDescent="0.2">
      <c r="A345" s="83" t="s">
        <v>319</v>
      </c>
      <c r="B345" s="80">
        <v>50000000</v>
      </c>
      <c r="C345" s="81">
        <v>16222.02</v>
      </c>
      <c r="D345" s="116">
        <f t="shared" si="60"/>
        <v>-49983777.979999997</v>
      </c>
      <c r="E345" s="82">
        <f t="shared" si="61"/>
        <v>3.244404E-2</v>
      </c>
    </row>
    <row r="346" spans="1:5" ht="38.25" x14ac:dyDescent="0.2">
      <c r="A346" s="83" t="s">
        <v>320</v>
      </c>
      <c r="B346" s="80">
        <v>0</v>
      </c>
      <c r="C346" s="81">
        <v>700.83</v>
      </c>
      <c r="D346" s="81">
        <f t="shared" si="60"/>
        <v>700.83</v>
      </c>
      <c r="E346" s="82">
        <v>100</v>
      </c>
    </row>
    <row r="347" spans="1:5" x14ac:dyDescent="0.2">
      <c r="A347" s="83" t="s">
        <v>321</v>
      </c>
      <c r="B347" s="80">
        <v>0</v>
      </c>
      <c r="C347" s="81">
        <v>183327.96000000002</v>
      </c>
      <c r="D347" s="116">
        <f t="shared" si="60"/>
        <v>183327.96000000002</v>
      </c>
      <c r="E347" s="82">
        <v>100</v>
      </c>
    </row>
    <row r="348" spans="1:5" x14ac:dyDescent="0.2">
      <c r="A348" s="83" t="s">
        <v>322</v>
      </c>
      <c r="B348" s="80">
        <v>0</v>
      </c>
      <c r="C348" s="81">
        <v>0</v>
      </c>
      <c r="D348" s="116">
        <f t="shared" si="60"/>
        <v>0</v>
      </c>
      <c r="E348" s="82">
        <v>0</v>
      </c>
    </row>
    <row r="349" spans="1:5" x14ac:dyDescent="0.2">
      <c r="A349" s="83" t="s">
        <v>323</v>
      </c>
      <c r="B349" s="80">
        <v>0</v>
      </c>
      <c r="C349" s="81">
        <v>0</v>
      </c>
      <c r="D349" s="80">
        <f t="shared" si="60"/>
        <v>0</v>
      </c>
      <c r="E349" s="82">
        <v>0</v>
      </c>
    </row>
    <row r="350" spans="1:5" x14ac:dyDescent="0.2">
      <c r="A350" s="79" t="s">
        <v>324</v>
      </c>
      <c r="B350" s="80">
        <v>0</v>
      </c>
      <c r="C350" s="81">
        <v>0</v>
      </c>
      <c r="D350" s="116">
        <f t="shared" si="60"/>
        <v>0</v>
      </c>
      <c r="E350" s="117">
        <v>0</v>
      </c>
    </row>
    <row r="351" spans="1:5" ht="25.5" x14ac:dyDescent="0.2">
      <c r="A351" s="83" t="s">
        <v>325</v>
      </c>
      <c r="B351" s="80">
        <v>213000000</v>
      </c>
      <c r="C351" s="81">
        <v>0</v>
      </c>
      <c r="D351" s="80">
        <f t="shared" si="60"/>
        <v>-213000000</v>
      </c>
      <c r="E351" s="82">
        <f t="shared" ref="E351:E361" si="62">+C351/B351*100</f>
        <v>0</v>
      </c>
    </row>
    <row r="352" spans="1:5" x14ac:dyDescent="0.2">
      <c r="A352" s="83" t="s">
        <v>326</v>
      </c>
      <c r="B352" s="80">
        <v>0</v>
      </c>
      <c r="C352" s="81">
        <v>0</v>
      </c>
      <c r="D352" s="80">
        <f t="shared" si="60"/>
        <v>0</v>
      </c>
      <c r="E352" s="82">
        <v>0</v>
      </c>
    </row>
    <row r="353" spans="1:5" x14ac:dyDescent="0.2">
      <c r="A353" s="83" t="s">
        <v>327</v>
      </c>
      <c r="B353" s="80">
        <v>13200000</v>
      </c>
      <c r="C353" s="81">
        <v>211.58</v>
      </c>
      <c r="D353" s="80">
        <f t="shared" si="60"/>
        <v>-13199788.42</v>
      </c>
      <c r="E353" s="82">
        <f t="shared" si="62"/>
        <v>1.6028787878787879E-3</v>
      </c>
    </row>
    <row r="354" spans="1:5" x14ac:dyDescent="0.2">
      <c r="A354" s="83" t="s">
        <v>328</v>
      </c>
      <c r="B354" s="80">
        <v>326126594</v>
      </c>
      <c r="C354" s="81">
        <v>54532529.490000002</v>
      </c>
      <c r="D354" s="80">
        <f t="shared" si="60"/>
        <v>-271594064.50999999</v>
      </c>
      <c r="E354" s="82">
        <f t="shared" si="62"/>
        <v>16.721276489951016</v>
      </c>
    </row>
    <row r="355" spans="1:5" x14ac:dyDescent="0.2">
      <c r="A355" s="118" t="s">
        <v>329</v>
      </c>
      <c r="B355" s="80">
        <v>600000000</v>
      </c>
      <c r="C355" s="81">
        <v>160923404.05000001</v>
      </c>
      <c r="D355" s="80">
        <f t="shared" si="60"/>
        <v>-439076595.94999999</v>
      </c>
      <c r="E355" s="82">
        <f t="shared" si="62"/>
        <v>26.820567341666667</v>
      </c>
    </row>
    <row r="356" spans="1:5" ht="25.5" x14ac:dyDescent="0.2">
      <c r="A356" s="83" t="s">
        <v>330</v>
      </c>
      <c r="B356" s="80">
        <v>0</v>
      </c>
      <c r="C356" s="81">
        <v>0</v>
      </c>
      <c r="D356" s="80">
        <f t="shared" si="60"/>
        <v>0</v>
      </c>
      <c r="E356" s="82">
        <v>0</v>
      </c>
    </row>
    <row r="357" spans="1:5" ht="54" customHeight="1" x14ac:dyDescent="0.2">
      <c r="A357" s="83" t="s">
        <v>331</v>
      </c>
      <c r="B357" s="80">
        <v>216497000</v>
      </c>
      <c r="C357" s="81">
        <v>101500754.63</v>
      </c>
      <c r="D357" s="80">
        <f t="shared" si="60"/>
        <v>-114996245.37</v>
      </c>
      <c r="E357" s="82">
        <f t="shared" si="62"/>
        <v>46.883215300904865</v>
      </c>
    </row>
    <row r="358" spans="1:5" x14ac:dyDescent="0.2">
      <c r="A358" s="119" t="s">
        <v>332</v>
      </c>
      <c r="B358" s="77">
        <v>0</v>
      </c>
      <c r="C358" s="81">
        <v>0</v>
      </c>
      <c r="D358" s="80">
        <f t="shared" si="60"/>
        <v>0</v>
      </c>
      <c r="E358" s="82">
        <v>0</v>
      </c>
    </row>
    <row r="359" spans="1:5" x14ac:dyDescent="0.2">
      <c r="A359" s="119" t="s">
        <v>333</v>
      </c>
      <c r="B359" s="77">
        <v>0</v>
      </c>
      <c r="C359" s="81">
        <v>0</v>
      </c>
      <c r="D359" s="80">
        <f t="shared" si="60"/>
        <v>0</v>
      </c>
      <c r="E359" s="82">
        <v>0</v>
      </c>
    </row>
    <row r="360" spans="1:5" x14ac:dyDescent="0.2">
      <c r="A360" s="84" t="s">
        <v>334</v>
      </c>
      <c r="B360" s="77">
        <f>ROUND(+B361,0)</f>
        <v>66000000</v>
      </c>
      <c r="C360" s="77">
        <f t="shared" ref="C360:D360" si="63">ROUND(+C361,0)</f>
        <v>0</v>
      </c>
      <c r="D360" s="77">
        <f t="shared" si="63"/>
        <v>-66000000</v>
      </c>
      <c r="E360" s="82">
        <f t="shared" si="62"/>
        <v>0</v>
      </c>
    </row>
    <row r="361" spans="1:5" ht="26.25" thickBot="1" x14ac:dyDescent="0.25">
      <c r="A361" s="111" t="s">
        <v>335</v>
      </c>
      <c r="B361" s="87">
        <v>66000000</v>
      </c>
      <c r="C361" s="97">
        <v>0</v>
      </c>
      <c r="D361" s="87">
        <f t="shared" si="60"/>
        <v>-66000000</v>
      </c>
      <c r="E361" s="89">
        <f t="shared" si="62"/>
        <v>0</v>
      </c>
    </row>
    <row r="362" spans="1:5" x14ac:dyDescent="0.2">
      <c r="C362" s="107"/>
    </row>
    <row r="363" spans="1:5" ht="13.5" thickBot="1" x14ac:dyDescent="0.25">
      <c r="A363" s="54"/>
      <c r="C363" s="107"/>
    </row>
    <row r="364" spans="1:5" ht="13.5" thickBot="1" x14ac:dyDescent="0.25">
      <c r="A364" s="56" t="s">
        <v>76</v>
      </c>
      <c r="B364" s="57" t="s">
        <v>77</v>
      </c>
      <c r="C364" s="57" t="s">
        <v>78</v>
      </c>
      <c r="D364" s="58" t="s">
        <v>79</v>
      </c>
      <c r="E364" s="58" t="s">
        <v>80</v>
      </c>
    </row>
    <row r="365" spans="1:5" x14ac:dyDescent="0.2">
      <c r="A365" s="84" t="s">
        <v>336</v>
      </c>
      <c r="B365" s="77">
        <f>+B366+B370</f>
        <v>4500000000</v>
      </c>
      <c r="C365" s="77">
        <f t="shared" ref="C365:D365" si="64">+C366+C370</f>
        <v>2016150842.1400001</v>
      </c>
      <c r="D365" s="77">
        <f t="shared" si="64"/>
        <v>-2483849157.8599997</v>
      </c>
      <c r="E365" s="78">
        <f>+C365/B365*100</f>
        <v>44.803352047555556</v>
      </c>
    </row>
    <row r="366" spans="1:5" x14ac:dyDescent="0.2">
      <c r="A366" s="84" t="s">
        <v>337</v>
      </c>
      <c r="B366" s="77">
        <f>SUM(B367:B369)</f>
        <v>4500000000</v>
      </c>
      <c r="C366" s="77">
        <f t="shared" ref="C366:D366" si="65">SUM(C367:C369)</f>
        <v>2016150842.1400001</v>
      </c>
      <c r="D366" s="77">
        <f t="shared" si="65"/>
        <v>-2483849157.8599997</v>
      </c>
      <c r="E366" s="78">
        <f>+C366/B366*100</f>
        <v>44.803352047555556</v>
      </c>
    </row>
    <row r="367" spans="1:5" x14ac:dyDescent="0.2">
      <c r="A367" s="83" t="s">
        <v>338</v>
      </c>
      <c r="B367" s="77">
        <v>1000000000</v>
      </c>
      <c r="C367" s="77">
        <v>0</v>
      </c>
      <c r="D367" s="80">
        <f t="shared" ref="D367:D370" si="66">+C367-B367</f>
        <v>-1000000000</v>
      </c>
      <c r="E367" s="82">
        <f>+C367/B367*100</f>
        <v>0</v>
      </c>
    </row>
    <row r="368" spans="1:5" x14ac:dyDescent="0.2">
      <c r="A368" s="83" t="s">
        <v>339</v>
      </c>
      <c r="B368" s="80">
        <v>1000000000</v>
      </c>
      <c r="C368" s="81">
        <v>280000000</v>
      </c>
      <c r="D368" s="80">
        <f t="shared" si="66"/>
        <v>-720000000</v>
      </c>
      <c r="E368" s="82">
        <f t="shared" ref="E368:E369" si="67">+C368/B368*100</f>
        <v>28.000000000000004</v>
      </c>
    </row>
    <row r="369" spans="1:5" x14ac:dyDescent="0.2">
      <c r="A369" s="83" t="s">
        <v>340</v>
      </c>
      <c r="B369" s="80">
        <v>2500000000</v>
      </c>
      <c r="C369" s="81">
        <v>1736150842.1400001</v>
      </c>
      <c r="D369" s="80">
        <f t="shared" si="66"/>
        <v>-763849157.8599999</v>
      </c>
      <c r="E369" s="82">
        <f t="shared" si="67"/>
        <v>69.4460336856</v>
      </c>
    </row>
    <row r="370" spans="1:5" ht="13.5" thickBot="1" x14ac:dyDescent="0.25">
      <c r="A370" s="120" t="s">
        <v>341</v>
      </c>
      <c r="B370" s="121">
        <v>0</v>
      </c>
      <c r="C370" s="122">
        <v>0</v>
      </c>
      <c r="D370" s="122">
        <f t="shared" si="66"/>
        <v>0</v>
      </c>
      <c r="E370" s="123">
        <v>0</v>
      </c>
    </row>
    <row r="371" spans="1:5" x14ac:dyDescent="0.2">
      <c r="C371" s="107"/>
    </row>
  </sheetData>
  <mergeCells count="5">
    <mergeCell ref="A5:E5"/>
    <mergeCell ref="A6:E6"/>
    <mergeCell ref="A7:E7"/>
    <mergeCell ref="A8:E8"/>
    <mergeCell ref="A9:E9"/>
  </mergeCells>
  <pageMargins left="0.7" right="0.7" top="0.75" bottom="0.75" header="0.3" footer="0.3"/>
  <pageSetup paperSize="12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workbookViewId="0">
      <selection activeCell="M37" sqref="M37"/>
    </sheetView>
  </sheetViews>
  <sheetFormatPr baseColWidth="10" defaultRowHeight="12.75" x14ac:dyDescent="0.25"/>
  <cols>
    <col min="1" max="1" width="0.85546875" style="194" customWidth="1"/>
    <col min="2" max="2" width="3.140625" style="194" customWidth="1"/>
    <col min="3" max="3" width="3.5703125" style="194" customWidth="1"/>
    <col min="4" max="4" width="50.5703125" style="194" customWidth="1"/>
    <col min="5" max="5" width="10.140625" style="194" bestFit="1" customWidth="1"/>
    <col min="6" max="6" width="10.140625" style="194" customWidth="1"/>
    <col min="7" max="10" width="10.140625" style="194" bestFit="1" customWidth="1"/>
    <col min="11" max="16384" width="11.42578125" style="194"/>
  </cols>
  <sheetData>
    <row r="1" spans="1:10" ht="13.5" thickBot="1" x14ac:dyDescent="0.3">
      <c r="A1" s="193" t="s">
        <v>342</v>
      </c>
      <c r="B1" s="193" t="s">
        <v>343</v>
      </c>
      <c r="H1" s="194" t="s">
        <v>345</v>
      </c>
      <c r="I1" s="194" t="s">
        <v>346</v>
      </c>
      <c r="J1" s="194" t="s">
        <v>347</v>
      </c>
    </row>
    <row r="2" spans="1:10" x14ac:dyDescent="0.25">
      <c r="B2" s="325" t="s">
        <v>0</v>
      </c>
      <c r="C2" s="326"/>
      <c r="D2" s="326"/>
      <c r="E2" s="326"/>
      <c r="F2" s="326"/>
      <c r="G2" s="326"/>
      <c r="H2" s="326"/>
      <c r="I2" s="326"/>
      <c r="J2" s="327"/>
    </row>
    <row r="3" spans="1:10" x14ac:dyDescent="0.25">
      <c r="B3" s="328" t="s">
        <v>396</v>
      </c>
      <c r="C3" s="329"/>
      <c r="D3" s="329"/>
      <c r="E3" s="329"/>
      <c r="F3" s="329"/>
      <c r="G3" s="329"/>
      <c r="H3" s="329"/>
      <c r="I3" s="329"/>
      <c r="J3" s="330"/>
    </row>
    <row r="4" spans="1:10" x14ac:dyDescent="0.25">
      <c r="B4" s="328" t="s">
        <v>350</v>
      </c>
      <c r="C4" s="329"/>
      <c r="D4" s="329"/>
      <c r="E4" s="329"/>
      <c r="F4" s="329"/>
      <c r="G4" s="329"/>
      <c r="H4" s="329"/>
      <c r="I4" s="329"/>
      <c r="J4" s="330"/>
    </row>
    <row r="5" spans="1:10" ht="13.5" thickBot="1" x14ac:dyDescent="0.3">
      <c r="B5" s="331" t="s">
        <v>397</v>
      </c>
      <c r="C5" s="332"/>
      <c r="D5" s="332"/>
      <c r="E5" s="332"/>
      <c r="F5" s="332"/>
      <c r="G5" s="332"/>
      <c r="H5" s="332"/>
      <c r="I5" s="332"/>
      <c r="J5" s="333"/>
    </row>
    <row r="6" spans="1:10" ht="13.5" thickBot="1" x14ac:dyDescent="0.3">
      <c r="B6" s="325"/>
      <c r="C6" s="326"/>
      <c r="D6" s="327"/>
      <c r="E6" s="334" t="s">
        <v>3</v>
      </c>
      <c r="F6" s="335"/>
      <c r="G6" s="335"/>
      <c r="H6" s="335"/>
      <c r="I6" s="336"/>
      <c r="J6" s="317" t="s">
        <v>398</v>
      </c>
    </row>
    <row r="7" spans="1:10" x14ac:dyDescent="0.25">
      <c r="B7" s="328" t="s">
        <v>369</v>
      </c>
      <c r="C7" s="329"/>
      <c r="D7" s="330"/>
      <c r="E7" s="317" t="s">
        <v>399</v>
      </c>
      <c r="F7" s="338" t="s">
        <v>400</v>
      </c>
      <c r="G7" s="317" t="s">
        <v>6</v>
      </c>
      <c r="H7" s="317" t="s">
        <v>7</v>
      </c>
      <c r="I7" s="317" t="s">
        <v>8</v>
      </c>
      <c r="J7" s="337"/>
    </row>
    <row r="8" spans="1:10" ht="13.5" thickBot="1" x14ac:dyDescent="0.3">
      <c r="B8" s="319" t="s">
        <v>401</v>
      </c>
      <c r="C8" s="320"/>
      <c r="D8" s="321"/>
      <c r="E8" s="318"/>
      <c r="F8" s="339"/>
      <c r="G8" s="318"/>
      <c r="H8" s="318"/>
      <c r="I8" s="318"/>
      <c r="J8" s="318"/>
    </row>
    <row r="9" spans="1:10" x14ac:dyDescent="0.25">
      <c r="B9" s="322"/>
      <c r="C9" s="323"/>
      <c r="D9" s="324"/>
      <c r="E9" s="195"/>
      <c r="F9" s="195"/>
      <c r="G9" s="195"/>
      <c r="H9" s="195"/>
      <c r="I9" s="195"/>
      <c r="J9" s="196"/>
    </row>
    <row r="10" spans="1:10" x14ac:dyDescent="0.25">
      <c r="B10" s="315" t="s">
        <v>402</v>
      </c>
      <c r="C10" s="304"/>
      <c r="D10" s="305"/>
      <c r="E10" s="195"/>
      <c r="F10" s="195"/>
      <c r="G10" s="195"/>
      <c r="H10" s="195"/>
      <c r="I10" s="195"/>
      <c r="J10" s="196"/>
    </row>
    <row r="11" spans="1:10" x14ac:dyDescent="0.25">
      <c r="B11" s="197"/>
      <c r="C11" s="308" t="s">
        <v>403</v>
      </c>
      <c r="D11" s="309"/>
      <c r="E11" s="198">
        <v>2884280750</v>
      </c>
      <c r="F11" s="198">
        <v>0</v>
      </c>
      <c r="G11" s="198">
        <v>2884280750</v>
      </c>
      <c r="H11" s="198">
        <v>818600195</v>
      </c>
      <c r="I11" s="199">
        <v>818600195</v>
      </c>
      <c r="J11" s="199">
        <f>G11-I11</f>
        <v>2065680555</v>
      </c>
    </row>
    <row r="12" spans="1:10" x14ac:dyDescent="0.25">
      <c r="B12" s="197"/>
      <c r="C12" s="308" t="s">
        <v>404</v>
      </c>
      <c r="D12" s="309"/>
      <c r="E12" s="198">
        <v>0</v>
      </c>
      <c r="F12" s="198">
        <v>0</v>
      </c>
      <c r="G12" s="198">
        <v>0</v>
      </c>
      <c r="H12" s="198">
        <v>0</v>
      </c>
      <c r="I12" s="200">
        <v>0</v>
      </c>
      <c r="J12" s="199">
        <f t="shared" ref="J12:J17" si="0">G12-I12</f>
        <v>0</v>
      </c>
    </row>
    <row r="13" spans="1:10" x14ac:dyDescent="0.25">
      <c r="B13" s="197"/>
      <c r="C13" s="308" t="s">
        <v>405</v>
      </c>
      <c r="D13" s="309"/>
      <c r="E13" s="198">
        <v>0</v>
      </c>
      <c r="F13" s="198">
        <v>0</v>
      </c>
      <c r="G13" s="198">
        <v>0</v>
      </c>
      <c r="H13" s="198">
        <v>0</v>
      </c>
      <c r="I13" s="200">
        <v>0</v>
      </c>
      <c r="J13" s="199">
        <f t="shared" si="0"/>
        <v>0</v>
      </c>
    </row>
    <row r="14" spans="1:10" x14ac:dyDescent="0.25">
      <c r="B14" s="197"/>
      <c r="C14" s="308" t="s">
        <v>406</v>
      </c>
      <c r="D14" s="309"/>
      <c r="E14" s="198">
        <v>1725981511</v>
      </c>
      <c r="F14" s="198">
        <v>0</v>
      </c>
      <c r="G14" s="198">
        <v>1725981511</v>
      </c>
      <c r="H14" s="198">
        <v>653391273</v>
      </c>
      <c r="I14" s="199">
        <v>653391273</v>
      </c>
      <c r="J14" s="199">
        <f t="shared" si="0"/>
        <v>1072590238</v>
      </c>
    </row>
    <row r="15" spans="1:10" x14ac:dyDescent="0.25">
      <c r="B15" s="197"/>
      <c r="C15" s="308" t="s">
        <v>407</v>
      </c>
      <c r="D15" s="309"/>
      <c r="E15" s="198">
        <v>45792731</v>
      </c>
      <c r="F15" s="198">
        <v>0</v>
      </c>
      <c r="G15" s="198">
        <v>45792731</v>
      </c>
      <c r="H15" s="198">
        <v>27109549</v>
      </c>
      <c r="I15" s="199">
        <v>27109549</v>
      </c>
      <c r="J15" s="199">
        <f t="shared" si="0"/>
        <v>18683182</v>
      </c>
    </row>
    <row r="16" spans="1:10" x14ac:dyDescent="0.25">
      <c r="B16" s="197"/>
      <c r="C16" s="308" t="s">
        <v>408</v>
      </c>
      <c r="D16" s="309"/>
      <c r="E16" s="198">
        <v>59139280</v>
      </c>
      <c r="F16" s="198">
        <v>0</v>
      </c>
      <c r="G16" s="198">
        <v>59139280</v>
      </c>
      <c r="H16" s="198">
        <v>144557842</v>
      </c>
      <c r="I16" s="201">
        <v>144557842</v>
      </c>
      <c r="J16" s="199">
        <f t="shared" si="0"/>
        <v>-85418562</v>
      </c>
    </row>
    <row r="17" spans="2:10" x14ac:dyDescent="0.25">
      <c r="B17" s="197"/>
      <c r="C17" s="308" t="s">
        <v>409</v>
      </c>
      <c r="D17" s="309"/>
      <c r="E17" s="198">
        <v>4788853</v>
      </c>
      <c r="F17" s="198">
        <v>0</v>
      </c>
      <c r="G17" s="198">
        <v>4788853</v>
      </c>
      <c r="H17" s="198">
        <v>695537</v>
      </c>
      <c r="I17" s="201">
        <v>695537</v>
      </c>
      <c r="J17" s="199">
        <f t="shared" si="0"/>
        <v>4093316</v>
      </c>
    </row>
    <row r="18" spans="2:10" x14ac:dyDescent="0.25">
      <c r="B18" s="316"/>
      <c r="C18" s="308" t="s">
        <v>410</v>
      </c>
      <c r="D18" s="309"/>
      <c r="E18" s="202" t="s">
        <v>387</v>
      </c>
      <c r="F18" s="202"/>
      <c r="G18" s="202" t="s">
        <v>387</v>
      </c>
      <c r="H18" s="202" t="s">
        <v>387</v>
      </c>
      <c r="I18" s="203"/>
      <c r="J18" s="203"/>
    </row>
    <row r="19" spans="2:10" x14ac:dyDescent="0.25">
      <c r="B19" s="316"/>
      <c r="C19" s="308" t="s">
        <v>411</v>
      </c>
      <c r="D19" s="309"/>
      <c r="E19" s="204">
        <f>SUM(E20:E30)</f>
        <v>17988005166</v>
      </c>
      <c r="F19" s="204">
        <f t="shared" ref="F19:J19" si="1">SUM(F20:F30)</f>
        <v>0</v>
      </c>
      <c r="G19" s="204">
        <f t="shared" si="1"/>
        <v>17988005166</v>
      </c>
      <c r="H19" s="204">
        <f t="shared" si="1"/>
        <v>5542894346</v>
      </c>
      <c r="I19" s="204">
        <f t="shared" si="1"/>
        <v>5542894346</v>
      </c>
      <c r="J19" s="204">
        <f t="shared" si="1"/>
        <v>12445110820</v>
      </c>
    </row>
    <row r="20" spans="2:10" x14ac:dyDescent="0.25">
      <c r="B20" s="197"/>
      <c r="C20" s="205"/>
      <c r="D20" s="206" t="s">
        <v>412</v>
      </c>
      <c r="E20" s="198">
        <v>13075164118</v>
      </c>
      <c r="F20" s="198">
        <v>0</v>
      </c>
      <c r="G20" s="201">
        <v>13075164118</v>
      </c>
      <c r="H20" s="204">
        <v>4392320730</v>
      </c>
      <c r="I20" s="201">
        <v>4392320730</v>
      </c>
      <c r="J20" s="199">
        <f t="shared" ref="J20:J37" si="2">G20-I20</f>
        <v>8682843388</v>
      </c>
    </row>
    <row r="21" spans="2:10" x14ac:dyDescent="0.25">
      <c r="B21" s="197"/>
      <c r="C21" s="205"/>
      <c r="D21" s="206" t="s">
        <v>413</v>
      </c>
      <c r="E21" s="198">
        <v>389726585</v>
      </c>
      <c r="F21" s="198">
        <v>0</v>
      </c>
      <c r="G21" s="201">
        <v>389726585</v>
      </c>
      <c r="H21" s="204">
        <v>106898207</v>
      </c>
      <c r="I21" s="201">
        <v>106898207</v>
      </c>
      <c r="J21" s="199">
        <f t="shared" si="2"/>
        <v>282828378</v>
      </c>
    </row>
    <row r="22" spans="2:10" x14ac:dyDescent="0.25">
      <c r="B22" s="197"/>
      <c r="C22" s="205"/>
      <c r="D22" s="206" t="s">
        <v>414</v>
      </c>
      <c r="E22" s="198">
        <v>3330331398</v>
      </c>
      <c r="F22" s="198">
        <v>0</v>
      </c>
      <c r="G22" s="199">
        <v>3330331398</v>
      </c>
      <c r="H22" s="204">
        <v>804668244</v>
      </c>
      <c r="I22" s="201">
        <v>804668244</v>
      </c>
      <c r="J22" s="199">
        <f t="shared" si="2"/>
        <v>2525663154</v>
      </c>
    </row>
    <row r="23" spans="2:10" x14ac:dyDescent="0.25">
      <c r="B23" s="197"/>
      <c r="C23" s="205"/>
      <c r="D23" s="206" t="s">
        <v>415</v>
      </c>
      <c r="E23" s="198" t="s">
        <v>387</v>
      </c>
      <c r="F23" s="198">
        <v>0</v>
      </c>
      <c r="G23" s="207"/>
      <c r="H23" s="208"/>
      <c r="I23" s="207"/>
      <c r="J23" s="199">
        <f t="shared" si="2"/>
        <v>0</v>
      </c>
    </row>
    <row r="24" spans="2:10" x14ac:dyDescent="0.25">
      <c r="B24" s="197"/>
      <c r="C24" s="205"/>
      <c r="D24" s="206" t="s">
        <v>416</v>
      </c>
      <c r="E24" s="198" t="s">
        <v>387</v>
      </c>
      <c r="F24" s="198">
        <v>0</v>
      </c>
      <c r="G24" s="207"/>
      <c r="H24" s="208"/>
      <c r="I24" s="207"/>
      <c r="J24" s="199">
        <f t="shared" si="2"/>
        <v>0</v>
      </c>
    </row>
    <row r="25" spans="2:10" x14ac:dyDescent="0.25">
      <c r="B25" s="197"/>
      <c r="C25" s="205"/>
      <c r="D25" s="206" t="s">
        <v>417</v>
      </c>
      <c r="E25" s="198">
        <v>384197713</v>
      </c>
      <c r="F25" s="198">
        <v>0</v>
      </c>
      <c r="G25" s="199">
        <v>384197713</v>
      </c>
      <c r="H25" s="204">
        <v>110151280</v>
      </c>
      <c r="I25" s="201">
        <v>110151280</v>
      </c>
      <c r="J25" s="199">
        <f t="shared" si="2"/>
        <v>274046433</v>
      </c>
    </row>
    <row r="26" spans="2:10" x14ac:dyDescent="0.25">
      <c r="B26" s="197"/>
      <c r="C26" s="205"/>
      <c r="D26" s="206" t="s">
        <v>418</v>
      </c>
      <c r="E26" s="198" t="s">
        <v>387</v>
      </c>
      <c r="F26" s="198">
        <v>0</v>
      </c>
      <c r="G26" s="207"/>
      <c r="H26" s="208"/>
      <c r="I26" s="207"/>
      <c r="J26" s="199">
        <f t="shared" si="2"/>
        <v>0</v>
      </c>
    </row>
    <row r="27" spans="2:10" x14ac:dyDescent="0.25">
      <c r="B27" s="197"/>
      <c r="C27" s="205"/>
      <c r="D27" s="206" t="s">
        <v>419</v>
      </c>
      <c r="E27" s="198" t="s">
        <v>387</v>
      </c>
      <c r="F27" s="198">
        <v>0</v>
      </c>
      <c r="G27" s="207"/>
      <c r="H27" s="208"/>
      <c r="I27" s="207"/>
      <c r="J27" s="199">
        <f t="shared" si="2"/>
        <v>0</v>
      </c>
    </row>
    <row r="28" spans="2:10" x14ac:dyDescent="0.25">
      <c r="B28" s="197"/>
      <c r="C28" s="205"/>
      <c r="D28" s="206" t="s">
        <v>420</v>
      </c>
      <c r="E28" s="198" t="s">
        <v>387</v>
      </c>
      <c r="F28" s="198">
        <v>0</v>
      </c>
      <c r="G28" s="207"/>
      <c r="H28" s="208"/>
      <c r="I28" s="207"/>
      <c r="J28" s="199">
        <f t="shared" si="2"/>
        <v>0</v>
      </c>
    </row>
    <row r="29" spans="2:10" x14ac:dyDescent="0.25">
      <c r="B29" s="197"/>
      <c r="C29" s="205"/>
      <c r="D29" s="206" t="s">
        <v>421</v>
      </c>
      <c r="E29" s="198">
        <v>808585352</v>
      </c>
      <c r="F29" s="198">
        <v>0</v>
      </c>
      <c r="G29" s="199">
        <v>808585352</v>
      </c>
      <c r="H29" s="204">
        <v>128855885</v>
      </c>
      <c r="I29" s="201">
        <v>128855885</v>
      </c>
      <c r="J29" s="199">
        <f t="shared" si="2"/>
        <v>679729467</v>
      </c>
    </row>
    <row r="30" spans="2:10" x14ac:dyDescent="0.25">
      <c r="B30" s="197"/>
      <c r="C30" s="205"/>
      <c r="D30" s="209" t="s">
        <v>422</v>
      </c>
      <c r="E30" s="210" t="s">
        <v>387</v>
      </c>
      <c r="F30" s="210"/>
      <c r="G30" s="207"/>
      <c r="H30" s="208"/>
      <c r="I30" s="207"/>
      <c r="J30" s="199">
        <f t="shared" si="2"/>
        <v>0</v>
      </c>
    </row>
    <row r="31" spans="2:10" x14ac:dyDescent="0.25">
      <c r="B31" s="197"/>
      <c r="C31" s="308" t="s">
        <v>423</v>
      </c>
      <c r="D31" s="309"/>
      <c r="E31" s="198">
        <f>SUM(E32:E36)</f>
        <v>1902689864</v>
      </c>
      <c r="F31" s="198">
        <f t="shared" ref="F31:J31" si="3">SUM(F32:F36)</f>
        <v>0</v>
      </c>
      <c r="G31" s="198">
        <f t="shared" si="3"/>
        <v>1902689864</v>
      </c>
      <c r="H31" s="198">
        <f t="shared" si="3"/>
        <v>510727092</v>
      </c>
      <c r="I31" s="198">
        <f t="shared" si="3"/>
        <v>510727092</v>
      </c>
      <c r="J31" s="198">
        <f t="shared" si="3"/>
        <v>1391962772</v>
      </c>
    </row>
    <row r="32" spans="2:10" x14ac:dyDescent="0.25">
      <c r="B32" s="197"/>
      <c r="C32" s="205"/>
      <c r="D32" s="206" t="s">
        <v>424</v>
      </c>
      <c r="E32" s="198">
        <v>600000</v>
      </c>
      <c r="F32" s="198">
        <v>0</v>
      </c>
      <c r="G32" s="199">
        <v>600000</v>
      </c>
      <c r="H32" s="199">
        <v>200746</v>
      </c>
      <c r="I32" s="199">
        <v>200746</v>
      </c>
      <c r="J32" s="199">
        <f t="shared" si="2"/>
        <v>399254</v>
      </c>
    </row>
    <row r="33" spans="2:10" x14ac:dyDescent="0.25">
      <c r="B33" s="197"/>
      <c r="C33" s="205"/>
      <c r="D33" s="206" t="s">
        <v>425</v>
      </c>
      <c r="E33" s="198">
        <v>62892465</v>
      </c>
      <c r="F33" s="198">
        <v>0</v>
      </c>
      <c r="G33" s="199">
        <v>62892465</v>
      </c>
      <c r="H33" s="199">
        <v>15723117</v>
      </c>
      <c r="I33" s="199">
        <v>15723117</v>
      </c>
      <c r="J33" s="199">
        <f t="shared" si="2"/>
        <v>47169348</v>
      </c>
    </row>
    <row r="34" spans="2:10" x14ac:dyDescent="0.25">
      <c r="B34" s="197"/>
      <c r="C34" s="205"/>
      <c r="D34" s="206" t="s">
        <v>426</v>
      </c>
      <c r="E34" s="198">
        <v>261707250</v>
      </c>
      <c r="F34" s="198">
        <v>0</v>
      </c>
      <c r="G34" s="199">
        <v>261707250</v>
      </c>
      <c r="H34" s="199">
        <v>80682983</v>
      </c>
      <c r="I34" s="199">
        <v>80682983</v>
      </c>
      <c r="J34" s="199">
        <f t="shared" si="2"/>
        <v>181024267</v>
      </c>
    </row>
    <row r="35" spans="2:10" x14ac:dyDescent="0.25">
      <c r="B35" s="197"/>
      <c r="C35" s="205"/>
      <c r="D35" s="206" t="s">
        <v>427</v>
      </c>
      <c r="E35" s="198">
        <v>964240290</v>
      </c>
      <c r="F35" s="198">
        <v>0</v>
      </c>
      <c r="G35" s="199">
        <v>964240290</v>
      </c>
      <c r="H35" s="199">
        <v>245636361</v>
      </c>
      <c r="I35" s="199">
        <v>245636361</v>
      </c>
      <c r="J35" s="199">
        <f t="shared" si="2"/>
        <v>718603929</v>
      </c>
    </row>
    <row r="36" spans="2:10" x14ac:dyDescent="0.25">
      <c r="B36" s="197"/>
      <c r="C36" s="205"/>
      <c r="D36" s="206" t="s">
        <v>428</v>
      </c>
      <c r="E36" s="198">
        <v>613249859</v>
      </c>
      <c r="F36" s="198">
        <v>0</v>
      </c>
      <c r="G36" s="199">
        <v>613249859</v>
      </c>
      <c r="H36" s="199">
        <v>168483885</v>
      </c>
      <c r="I36" s="199">
        <v>168483885</v>
      </c>
      <c r="J36" s="199">
        <f t="shared" si="2"/>
        <v>444765974</v>
      </c>
    </row>
    <row r="37" spans="2:10" x14ac:dyDescent="0.25">
      <c r="B37" s="197"/>
      <c r="C37" s="205" t="s">
        <v>429</v>
      </c>
      <c r="D37" s="206"/>
      <c r="E37" s="198">
        <v>7252770866</v>
      </c>
      <c r="F37" s="198">
        <v>0</v>
      </c>
      <c r="G37" s="199">
        <v>7252770866</v>
      </c>
      <c r="H37" s="199">
        <v>1861769596</v>
      </c>
      <c r="I37" s="199">
        <v>1861769596</v>
      </c>
      <c r="J37" s="199">
        <f t="shared" si="2"/>
        <v>5391001270</v>
      </c>
    </row>
    <row r="38" spans="2:10" x14ac:dyDescent="0.25">
      <c r="B38" s="197"/>
      <c r="C38" s="205" t="s">
        <v>430</v>
      </c>
      <c r="D38" s="206"/>
      <c r="E38" s="198">
        <v>0</v>
      </c>
      <c r="F38" s="198">
        <v>0</v>
      </c>
      <c r="G38" s="200">
        <v>0</v>
      </c>
      <c r="H38" s="198">
        <v>0</v>
      </c>
      <c r="I38" s="200">
        <v>0</v>
      </c>
      <c r="J38" s="200">
        <v>0</v>
      </c>
    </row>
    <row r="39" spans="2:10" x14ac:dyDescent="0.25">
      <c r="B39" s="197"/>
      <c r="C39" s="205"/>
      <c r="D39" s="206" t="s">
        <v>431</v>
      </c>
      <c r="E39" s="198"/>
      <c r="F39" s="198"/>
      <c r="G39" s="200"/>
      <c r="H39" s="198"/>
      <c r="I39" s="198"/>
      <c r="J39" s="198"/>
    </row>
    <row r="40" spans="2:10" x14ac:dyDescent="0.25">
      <c r="B40" s="197"/>
      <c r="C40" s="308" t="s">
        <v>432</v>
      </c>
      <c r="D40" s="309"/>
      <c r="E40" s="198">
        <f>SUM(E41:E42)</f>
        <v>0</v>
      </c>
      <c r="F40" s="198">
        <f t="shared" ref="F40:J40" si="4">SUM(F41:F42)</f>
        <v>0</v>
      </c>
      <c r="G40" s="198">
        <f t="shared" si="4"/>
        <v>0</v>
      </c>
      <c r="H40" s="198">
        <f t="shared" si="4"/>
        <v>0</v>
      </c>
      <c r="I40" s="198">
        <f t="shared" si="4"/>
        <v>0</v>
      </c>
      <c r="J40" s="198">
        <f t="shared" si="4"/>
        <v>0</v>
      </c>
    </row>
    <row r="41" spans="2:10" x14ac:dyDescent="0.25">
      <c r="B41" s="197"/>
      <c r="C41" s="205"/>
      <c r="D41" s="206" t="s">
        <v>433</v>
      </c>
      <c r="E41" s="198"/>
      <c r="F41" s="198"/>
      <c r="G41" s="198">
        <v>0</v>
      </c>
      <c r="H41" s="198"/>
      <c r="I41" s="198"/>
      <c r="J41" s="198"/>
    </row>
    <row r="42" spans="2:10" x14ac:dyDescent="0.25">
      <c r="B42" s="197"/>
      <c r="C42" s="205"/>
      <c r="D42" s="206" t="s">
        <v>434</v>
      </c>
      <c r="E42" s="198">
        <v>0</v>
      </c>
      <c r="F42" s="198">
        <v>0</v>
      </c>
      <c r="G42" s="198">
        <v>0</v>
      </c>
      <c r="H42" s="198">
        <v>0</v>
      </c>
      <c r="I42" s="198">
        <v>0</v>
      </c>
      <c r="J42" s="198">
        <v>0</v>
      </c>
    </row>
    <row r="43" spans="2:10" x14ac:dyDescent="0.25">
      <c r="B43" s="197"/>
      <c r="C43" s="205"/>
      <c r="D43" s="206"/>
      <c r="E43" s="198"/>
      <c r="F43" s="198"/>
      <c r="G43" s="198"/>
      <c r="H43" s="198"/>
      <c r="I43" s="198"/>
      <c r="J43" s="198"/>
    </row>
    <row r="44" spans="2:10" x14ac:dyDescent="0.25">
      <c r="B44" s="315" t="s">
        <v>435</v>
      </c>
      <c r="C44" s="304"/>
      <c r="D44" s="305"/>
      <c r="E44" s="211">
        <f>+E11+E12+E13+E14+E15+E16+E17+E19+E31+E37+E38+E40</f>
        <v>31863449021</v>
      </c>
      <c r="F44" s="211">
        <f t="shared" ref="F44:J44" si="5">+F11+F12+F13+F14+F15+F16+F17+F19+F31+F37+F38+F40</f>
        <v>0</v>
      </c>
      <c r="G44" s="211">
        <f t="shared" si="5"/>
        <v>31863449021</v>
      </c>
      <c r="H44" s="211">
        <f t="shared" si="5"/>
        <v>9559745430</v>
      </c>
      <c r="I44" s="211">
        <f t="shared" si="5"/>
        <v>9559745430</v>
      </c>
      <c r="J44" s="211">
        <f t="shared" si="5"/>
        <v>22303703591</v>
      </c>
    </row>
    <row r="45" spans="2:10" x14ac:dyDescent="0.25">
      <c r="B45" s="315" t="s">
        <v>436</v>
      </c>
      <c r="C45" s="304"/>
      <c r="D45" s="305"/>
      <c r="E45" s="204"/>
      <c r="F45" s="204"/>
      <c r="G45" s="204"/>
      <c r="H45" s="204"/>
      <c r="I45" s="204"/>
      <c r="J45" s="212"/>
    </row>
    <row r="46" spans="2:10" x14ac:dyDescent="0.25">
      <c r="B46" s="316"/>
      <c r="C46" s="308"/>
      <c r="D46" s="309"/>
      <c r="E46" s="204"/>
      <c r="F46" s="204"/>
      <c r="G46" s="204"/>
      <c r="H46" s="204"/>
      <c r="I46" s="204"/>
      <c r="J46" s="212"/>
    </row>
    <row r="47" spans="2:10" x14ac:dyDescent="0.25">
      <c r="B47" s="315" t="s">
        <v>437</v>
      </c>
      <c r="C47" s="304"/>
      <c r="D47" s="305"/>
      <c r="E47" s="210"/>
      <c r="F47" s="210"/>
      <c r="G47" s="210"/>
      <c r="H47" s="210"/>
      <c r="I47" s="210"/>
      <c r="J47" s="198"/>
    </row>
    <row r="48" spans="2:10" x14ac:dyDescent="0.25">
      <c r="B48" s="197"/>
      <c r="C48" s="205"/>
      <c r="D48" s="206"/>
      <c r="E48" s="210"/>
      <c r="F48" s="213"/>
      <c r="G48" s="213"/>
      <c r="H48" s="213"/>
      <c r="I48" s="213"/>
      <c r="J48" s="198"/>
    </row>
    <row r="49" spans="2:10" x14ac:dyDescent="0.25">
      <c r="B49" s="315" t="s">
        <v>438</v>
      </c>
      <c r="C49" s="304"/>
      <c r="D49" s="305"/>
      <c r="E49" s="210"/>
      <c r="F49" s="210"/>
      <c r="G49" s="210"/>
      <c r="H49" s="210"/>
      <c r="I49" s="210"/>
      <c r="J49" s="198"/>
    </row>
    <row r="50" spans="2:10" x14ac:dyDescent="0.25">
      <c r="B50" s="197"/>
      <c r="C50" s="308" t="s">
        <v>439</v>
      </c>
      <c r="D50" s="309"/>
      <c r="E50" s="198">
        <f>SUM(E51:E58)</f>
        <v>15419803856</v>
      </c>
      <c r="F50" s="198">
        <f t="shared" ref="F50:J50" si="6">SUM(F51:F58)</f>
        <v>0</v>
      </c>
      <c r="G50" s="198">
        <f t="shared" si="6"/>
        <v>15419803856</v>
      </c>
      <c r="H50" s="198">
        <f t="shared" si="6"/>
        <v>3984552516</v>
      </c>
      <c r="I50" s="198">
        <f t="shared" si="6"/>
        <v>3984552516</v>
      </c>
      <c r="J50" s="198">
        <f t="shared" si="6"/>
        <v>11435251340</v>
      </c>
    </row>
    <row r="51" spans="2:10" x14ac:dyDescent="0.25">
      <c r="B51" s="197"/>
      <c r="C51" s="205"/>
      <c r="D51" s="209" t="s">
        <v>440</v>
      </c>
      <c r="E51" s="198">
        <v>8631444606</v>
      </c>
      <c r="F51" s="198">
        <v>0</v>
      </c>
      <c r="G51" s="198">
        <v>8631444606</v>
      </c>
      <c r="H51" s="198">
        <v>2300761724</v>
      </c>
      <c r="I51" s="199">
        <v>2300761724</v>
      </c>
      <c r="J51" s="199">
        <v>6330682882</v>
      </c>
    </row>
    <row r="52" spans="2:10" x14ac:dyDescent="0.25">
      <c r="B52" s="197"/>
      <c r="C52" s="205"/>
      <c r="D52" s="209" t="s">
        <v>441</v>
      </c>
      <c r="E52" s="198">
        <v>2283970188</v>
      </c>
      <c r="F52" s="198">
        <v>0</v>
      </c>
      <c r="G52" s="198">
        <v>2283970188</v>
      </c>
      <c r="H52" s="198">
        <v>565309997</v>
      </c>
      <c r="I52" s="199">
        <v>565309997</v>
      </c>
      <c r="J52" s="199">
        <v>1718660191</v>
      </c>
    </row>
    <row r="53" spans="2:10" x14ac:dyDescent="0.25">
      <c r="B53" s="197"/>
      <c r="C53" s="205"/>
      <c r="D53" s="209" t="s">
        <v>442</v>
      </c>
      <c r="E53" s="198">
        <v>606210969</v>
      </c>
      <c r="F53" s="198">
        <v>0</v>
      </c>
      <c r="G53" s="198">
        <v>606210969</v>
      </c>
      <c r="H53" s="198">
        <v>193010763</v>
      </c>
      <c r="I53" s="199">
        <v>193010763</v>
      </c>
      <c r="J53" s="199">
        <v>413200206</v>
      </c>
    </row>
    <row r="54" spans="2:10" ht="25.5" x14ac:dyDescent="0.25">
      <c r="B54" s="197"/>
      <c r="C54" s="205"/>
      <c r="D54" s="209" t="s">
        <v>443</v>
      </c>
      <c r="E54" s="198">
        <v>1640966574</v>
      </c>
      <c r="F54" s="198">
        <v>0</v>
      </c>
      <c r="G54" s="198">
        <v>1640966574</v>
      </c>
      <c r="H54" s="198">
        <v>409832182</v>
      </c>
      <c r="I54" s="199">
        <v>409832182</v>
      </c>
      <c r="J54" s="199">
        <v>1231134392</v>
      </c>
    </row>
    <row r="55" spans="2:10" x14ac:dyDescent="0.25">
      <c r="B55" s="197"/>
      <c r="C55" s="205"/>
      <c r="D55" s="209" t="s">
        <v>444</v>
      </c>
      <c r="E55" s="198">
        <v>787393555</v>
      </c>
      <c r="F55" s="198">
        <v>0</v>
      </c>
      <c r="G55" s="198">
        <v>787393555</v>
      </c>
      <c r="H55" s="198">
        <v>129650635</v>
      </c>
      <c r="I55" s="199">
        <v>129650635</v>
      </c>
      <c r="J55" s="199">
        <v>657742920</v>
      </c>
    </row>
    <row r="56" spans="2:10" x14ac:dyDescent="0.25">
      <c r="B56" s="197"/>
      <c r="C56" s="205"/>
      <c r="D56" s="209" t="s">
        <v>445</v>
      </c>
      <c r="E56" s="198">
        <v>285959780</v>
      </c>
      <c r="F56" s="198">
        <v>0</v>
      </c>
      <c r="G56" s="198">
        <v>285959780</v>
      </c>
      <c r="H56" s="198">
        <v>74172571</v>
      </c>
      <c r="I56" s="199">
        <v>74172571</v>
      </c>
      <c r="J56" s="199">
        <v>211787209</v>
      </c>
    </row>
    <row r="57" spans="2:10" ht="25.5" x14ac:dyDescent="0.25">
      <c r="B57" s="197"/>
      <c r="C57" s="205"/>
      <c r="D57" s="209" t="s">
        <v>446</v>
      </c>
      <c r="E57" s="198">
        <v>299726465</v>
      </c>
      <c r="F57" s="198">
        <v>0</v>
      </c>
      <c r="G57" s="198">
        <v>299726465</v>
      </c>
      <c r="H57" s="198">
        <v>90481689</v>
      </c>
      <c r="I57" s="199">
        <v>90481689</v>
      </c>
      <c r="J57" s="199">
        <v>209244776</v>
      </c>
    </row>
    <row r="58" spans="2:10" x14ac:dyDescent="0.25">
      <c r="B58" s="197"/>
      <c r="C58" s="205"/>
      <c r="D58" s="209" t="s">
        <v>447</v>
      </c>
      <c r="E58" s="198">
        <v>884131719</v>
      </c>
      <c r="F58" s="198"/>
      <c r="G58" s="198">
        <v>884131719</v>
      </c>
      <c r="H58" s="198">
        <v>221332955</v>
      </c>
      <c r="I58" s="199">
        <v>221332955</v>
      </c>
      <c r="J58" s="199">
        <v>662798764</v>
      </c>
    </row>
    <row r="59" spans="2:10" x14ac:dyDescent="0.25">
      <c r="B59" s="197"/>
      <c r="C59" s="308" t="s">
        <v>448</v>
      </c>
      <c r="D59" s="309"/>
      <c r="E59" s="198">
        <f>SUM(E60:E63)</f>
        <v>1566500000</v>
      </c>
      <c r="F59" s="198">
        <f t="shared" ref="F59:J59" si="7">SUM(F60:F63)</f>
        <v>0</v>
      </c>
      <c r="G59" s="198">
        <f t="shared" si="7"/>
        <v>1566500000</v>
      </c>
      <c r="H59" s="198">
        <f t="shared" si="7"/>
        <v>1050682374</v>
      </c>
      <c r="I59" s="198">
        <f t="shared" si="7"/>
        <v>1050682374</v>
      </c>
      <c r="J59" s="198">
        <f t="shared" si="7"/>
        <v>515817626</v>
      </c>
    </row>
    <row r="60" spans="2:10" x14ac:dyDescent="0.25">
      <c r="B60" s="197"/>
      <c r="C60" s="205"/>
      <c r="D60" s="206" t="s">
        <v>449</v>
      </c>
      <c r="E60" s="198" t="s">
        <v>387</v>
      </c>
      <c r="F60" s="198"/>
      <c r="G60" s="198"/>
      <c r="H60" s="198"/>
      <c r="I60" s="198"/>
      <c r="J60" s="198">
        <v>0</v>
      </c>
    </row>
    <row r="61" spans="2:10" x14ac:dyDescent="0.25">
      <c r="B61" s="197"/>
      <c r="C61" s="205"/>
      <c r="D61" s="206" t="s">
        <v>450</v>
      </c>
      <c r="E61" s="198">
        <v>1566500000</v>
      </c>
      <c r="F61" s="198">
        <v>0</v>
      </c>
      <c r="G61" s="199">
        <v>1566500000</v>
      </c>
      <c r="H61" s="199">
        <v>1050682374</v>
      </c>
      <c r="I61" s="199">
        <v>1050682374</v>
      </c>
      <c r="J61" s="199">
        <v>515817626</v>
      </c>
    </row>
    <row r="62" spans="2:10" x14ac:dyDescent="0.25">
      <c r="B62" s="197"/>
      <c r="C62" s="205"/>
      <c r="D62" s="206" t="s">
        <v>451</v>
      </c>
      <c r="E62" s="210" t="s">
        <v>387</v>
      </c>
      <c r="F62" s="210"/>
      <c r="G62" s="210"/>
      <c r="H62" s="210"/>
      <c r="I62" s="210"/>
      <c r="J62" s="198"/>
    </row>
    <row r="63" spans="2:10" x14ac:dyDescent="0.25">
      <c r="B63" s="197"/>
      <c r="C63" s="205"/>
      <c r="D63" s="206" t="s">
        <v>452</v>
      </c>
      <c r="E63" s="210" t="s">
        <v>387</v>
      </c>
      <c r="F63" s="210"/>
      <c r="G63" s="210"/>
      <c r="H63" s="210"/>
      <c r="I63" s="210"/>
      <c r="J63" s="198"/>
    </row>
    <row r="64" spans="2:10" x14ac:dyDescent="0.25">
      <c r="B64" s="197"/>
      <c r="C64" s="308" t="s">
        <v>453</v>
      </c>
      <c r="D64" s="309"/>
      <c r="E64" s="198">
        <f>SUM(E65:E66)</f>
        <v>0</v>
      </c>
      <c r="F64" s="198">
        <f t="shared" ref="F64:J64" si="8">SUM(F65:F66)</f>
        <v>0</v>
      </c>
      <c r="G64" s="198">
        <f t="shared" si="8"/>
        <v>0</v>
      </c>
      <c r="H64" s="198">
        <f t="shared" si="8"/>
        <v>0</v>
      </c>
      <c r="I64" s="198">
        <f t="shared" si="8"/>
        <v>0</v>
      </c>
      <c r="J64" s="198">
        <f t="shared" si="8"/>
        <v>0</v>
      </c>
    </row>
    <row r="65" spans="2:10" x14ac:dyDescent="0.25">
      <c r="B65" s="197"/>
      <c r="C65" s="205"/>
      <c r="D65" s="209" t="s">
        <v>454</v>
      </c>
      <c r="E65" s="210"/>
      <c r="F65" s="210"/>
      <c r="G65" s="210"/>
      <c r="H65" s="210"/>
      <c r="I65" s="210"/>
      <c r="J65" s="198"/>
    </row>
    <row r="66" spans="2:10" x14ac:dyDescent="0.25">
      <c r="B66" s="197"/>
      <c r="C66" s="205"/>
      <c r="D66" s="206" t="s">
        <v>455</v>
      </c>
      <c r="E66" s="210"/>
      <c r="F66" s="210"/>
      <c r="G66" s="210"/>
      <c r="H66" s="210"/>
      <c r="I66" s="210"/>
      <c r="J66" s="198"/>
    </row>
    <row r="67" spans="2:10" x14ac:dyDescent="0.25">
      <c r="B67" s="197"/>
      <c r="C67" s="308" t="s">
        <v>456</v>
      </c>
      <c r="D67" s="309"/>
      <c r="E67" s="198">
        <v>3102127067</v>
      </c>
      <c r="F67" s="198">
        <v>0</v>
      </c>
      <c r="G67" s="199">
        <v>3102127067</v>
      </c>
      <c r="H67" s="199">
        <v>449810457</v>
      </c>
      <c r="I67" s="199">
        <v>449810457</v>
      </c>
      <c r="J67" s="199">
        <v>2652316610</v>
      </c>
    </row>
    <row r="68" spans="2:10" x14ac:dyDescent="0.25">
      <c r="B68" s="197"/>
      <c r="C68" s="308" t="s">
        <v>457</v>
      </c>
      <c r="D68" s="309"/>
      <c r="E68" s="198">
        <v>0</v>
      </c>
      <c r="F68" s="198">
        <v>0</v>
      </c>
      <c r="G68" s="198">
        <v>0</v>
      </c>
      <c r="H68" s="198">
        <v>0</v>
      </c>
      <c r="I68" s="198">
        <v>0</v>
      </c>
      <c r="J68" s="198">
        <v>0</v>
      </c>
    </row>
    <row r="69" spans="2:10" x14ac:dyDescent="0.25">
      <c r="B69" s="197"/>
      <c r="C69" s="308"/>
      <c r="D69" s="309"/>
      <c r="E69" s="210"/>
      <c r="F69" s="213"/>
      <c r="G69" s="213"/>
      <c r="H69" s="213"/>
      <c r="I69" s="213"/>
      <c r="J69" s="198"/>
    </row>
    <row r="70" spans="2:10" x14ac:dyDescent="0.25">
      <c r="B70" s="312" t="s">
        <v>458</v>
      </c>
      <c r="C70" s="313"/>
      <c r="D70" s="314"/>
      <c r="E70" s="211">
        <f>+E50+E59+E64+E67+E68</f>
        <v>20088430923</v>
      </c>
      <c r="F70" s="211">
        <f t="shared" ref="F70:J70" si="9">+F50+F59+F64+F67+F68</f>
        <v>0</v>
      </c>
      <c r="G70" s="211">
        <f t="shared" si="9"/>
        <v>20088430923</v>
      </c>
      <c r="H70" s="211">
        <f t="shared" si="9"/>
        <v>5485045347</v>
      </c>
      <c r="I70" s="211">
        <f t="shared" si="9"/>
        <v>5485045347</v>
      </c>
      <c r="J70" s="211">
        <f t="shared" si="9"/>
        <v>14603385576</v>
      </c>
    </row>
    <row r="71" spans="2:10" x14ac:dyDescent="0.25">
      <c r="B71" s="197"/>
      <c r="C71" s="308"/>
      <c r="D71" s="309"/>
      <c r="E71" s="198"/>
      <c r="F71" s="198"/>
      <c r="G71" s="198"/>
      <c r="H71" s="198"/>
      <c r="I71" s="198"/>
      <c r="J71" s="198"/>
    </row>
    <row r="72" spans="2:10" x14ac:dyDescent="0.25">
      <c r="B72" s="315" t="s">
        <v>459</v>
      </c>
      <c r="C72" s="304"/>
      <c r="D72" s="305"/>
      <c r="E72" s="214">
        <f>+E73</f>
        <v>4500000000</v>
      </c>
      <c r="F72" s="214">
        <f t="shared" ref="F72:J72" si="10">+F73</f>
        <v>0</v>
      </c>
      <c r="G72" s="214">
        <f t="shared" si="10"/>
        <v>4500000000</v>
      </c>
      <c r="H72" s="214">
        <f t="shared" si="10"/>
        <v>2016150842</v>
      </c>
      <c r="I72" s="214">
        <f t="shared" si="10"/>
        <v>2016150842</v>
      </c>
      <c r="J72" s="214">
        <f t="shared" si="10"/>
        <v>2483849158</v>
      </c>
    </row>
    <row r="73" spans="2:10" x14ac:dyDescent="0.25">
      <c r="B73" s="197"/>
      <c r="C73" s="308" t="s">
        <v>460</v>
      </c>
      <c r="D73" s="309"/>
      <c r="E73" s="198">
        <v>4500000000</v>
      </c>
      <c r="F73" s="198">
        <v>0</v>
      </c>
      <c r="G73" s="199">
        <v>4500000000</v>
      </c>
      <c r="H73" s="199">
        <v>2016150842</v>
      </c>
      <c r="I73" s="199">
        <v>2016150842</v>
      </c>
      <c r="J73" s="199">
        <v>2483849158</v>
      </c>
    </row>
    <row r="74" spans="2:10" x14ac:dyDescent="0.25">
      <c r="B74" s="197"/>
      <c r="C74" s="308"/>
      <c r="D74" s="309"/>
      <c r="E74" s="198"/>
      <c r="F74" s="198"/>
      <c r="G74" s="198"/>
      <c r="H74" s="198"/>
      <c r="I74" s="198"/>
      <c r="J74" s="198"/>
    </row>
    <row r="75" spans="2:10" x14ac:dyDescent="0.25">
      <c r="B75" s="315" t="s">
        <v>461</v>
      </c>
      <c r="C75" s="304"/>
      <c r="D75" s="305"/>
      <c r="E75" s="211">
        <f>+E44+E70+E72</f>
        <v>56451879944</v>
      </c>
      <c r="F75" s="211">
        <f t="shared" ref="F75:J75" si="11">+F44+F70+F72</f>
        <v>0</v>
      </c>
      <c r="G75" s="211">
        <f t="shared" si="11"/>
        <v>56451879944</v>
      </c>
      <c r="H75" s="211">
        <f t="shared" si="11"/>
        <v>17060941619</v>
      </c>
      <c r="I75" s="211">
        <f t="shared" si="11"/>
        <v>17060941619</v>
      </c>
      <c r="J75" s="211">
        <f t="shared" si="11"/>
        <v>39390938325</v>
      </c>
    </row>
    <row r="76" spans="2:10" x14ac:dyDescent="0.25">
      <c r="B76" s="197"/>
      <c r="C76" s="308"/>
      <c r="D76" s="309"/>
      <c r="E76" s="210"/>
      <c r="F76" s="210"/>
      <c r="G76" s="210"/>
      <c r="H76" s="210"/>
      <c r="I76" s="210"/>
      <c r="J76" s="198"/>
    </row>
    <row r="77" spans="2:10" x14ac:dyDescent="0.25">
      <c r="B77" s="197"/>
      <c r="C77" s="304" t="s">
        <v>462</v>
      </c>
      <c r="D77" s="305"/>
      <c r="E77" s="210"/>
      <c r="F77" s="210"/>
      <c r="G77" s="210"/>
      <c r="H77" s="210"/>
      <c r="I77" s="210"/>
      <c r="J77" s="198"/>
    </row>
    <row r="78" spans="2:10" ht="21.75" customHeight="1" x14ac:dyDescent="0.25">
      <c r="B78" s="197"/>
      <c r="C78" s="306" t="s">
        <v>463</v>
      </c>
      <c r="D78" s="307"/>
      <c r="E78" s="198">
        <v>4500000000</v>
      </c>
      <c r="F78" s="198">
        <v>0</v>
      </c>
      <c r="G78" s="198">
        <v>4500000000</v>
      </c>
      <c r="H78" s="198">
        <v>2016150842</v>
      </c>
      <c r="I78" s="198">
        <v>2016150842</v>
      </c>
      <c r="J78" s="198">
        <v>2483849158</v>
      </c>
    </row>
    <row r="79" spans="2:10" x14ac:dyDescent="0.25">
      <c r="B79" s="197"/>
      <c r="C79" s="308" t="s">
        <v>464</v>
      </c>
      <c r="D79" s="309"/>
      <c r="E79" s="210"/>
      <c r="F79" s="210"/>
      <c r="G79" s="210"/>
      <c r="H79" s="210"/>
      <c r="I79" s="210"/>
      <c r="J79" s="198"/>
    </row>
    <row r="80" spans="2:10" x14ac:dyDescent="0.25">
      <c r="B80" s="197"/>
      <c r="C80" s="304" t="s">
        <v>465</v>
      </c>
      <c r="D80" s="305"/>
      <c r="E80" s="211">
        <f>+E78+E79</f>
        <v>4500000000</v>
      </c>
      <c r="F80" s="211">
        <f t="shared" ref="F80:J80" si="12">+F78+F79</f>
        <v>0</v>
      </c>
      <c r="G80" s="211">
        <f t="shared" si="12"/>
        <v>4500000000</v>
      </c>
      <c r="H80" s="211">
        <f t="shared" si="12"/>
        <v>2016150842</v>
      </c>
      <c r="I80" s="211">
        <f t="shared" si="12"/>
        <v>2016150842</v>
      </c>
      <c r="J80" s="211">
        <f t="shared" si="12"/>
        <v>2483849158</v>
      </c>
    </row>
    <row r="81" spans="2:10" ht="13.5" thickBot="1" x14ac:dyDescent="0.3">
      <c r="B81" s="215"/>
      <c r="C81" s="310"/>
      <c r="D81" s="311"/>
      <c r="E81" s="216"/>
      <c r="F81" s="217"/>
      <c r="G81" s="217"/>
      <c r="H81" s="217"/>
      <c r="I81" s="217"/>
      <c r="J81" s="217"/>
    </row>
    <row r="82" spans="2:10" x14ac:dyDescent="0.25">
      <c r="B82" s="218"/>
      <c r="C82" s="218"/>
      <c r="D82" s="218"/>
      <c r="E82" s="218"/>
      <c r="F82" s="218"/>
      <c r="G82" s="218"/>
      <c r="H82" s="218"/>
      <c r="I82" s="218"/>
      <c r="J82" s="218"/>
    </row>
    <row r="83" spans="2:10" x14ac:dyDescent="0.25">
      <c r="F83" s="219"/>
    </row>
    <row r="84" spans="2:10" ht="16.5" x14ac:dyDescent="0.3">
      <c r="D84" s="125"/>
      <c r="E84" s="125"/>
      <c r="F84" s="125"/>
      <c r="G84" s="125"/>
      <c r="H84" s="125"/>
      <c r="I84" s="125"/>
      <c r="J84" s="125"/>
    </row>
    <row r="85" spans="2:10" ht="16.5" x14ac:dyDescent="0.3">
      <c r="B85" s="303" t="s">
        <v>394</v>
      </c>
      <c r="C85" s="303"/>
      <c r="D85" s="303"/>
      <c r="E85" s="303"/>
      <c r="F85" s="303"/>
      <c r="G85" s="303"/>
      <c r="H85" s="303"/>
      <c r="I85" s="303"/>
      <c r="J85" s="303"/>
    </row>
    <row r="86" spans="2:10" ht="16.5" x14ac:dyDescent="0.3">
      <c r="B86" s="303" t="s">
        <v>395</v>
      </c>
      <c r="C86" s="303"/>
      <c r="D86" s="303"/>
      <c r="E86" s="303"/>
      <c r="F86" s="303"/>
      <c r="G86" s="303"/>
      <c r="H86" s="303"/>
      <c r="I86" s="303"/>
      <c r="J86" s="303"/>
    </row>
    <row r="87" spans="2:10" ht="16.5" x14ac:dyDescent="0.3">
      <c r="D87" s="125"/>
      <c r="E87" s="125"/>
      <c r="F87" s="125"/>
      <c r="G87" s="125"/>
      <c r="H87" s="220"/>
      <c r="I87" s="125"/>
      <c r="J87" s="125"/>
    </row>
  </sheetData>
  <mergeCells count="53"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C50:D50"/>
    <mergeCell ref="C17:D17"/>
    <mergeCell ref="B18:B19"/>
    <mergeCell ref="C18:D18"/>
    <mergeCell ref="C19:D19"/>
    <mergeCell ref="C31:D31"/>
    <mergeCell ref="C40:D40"/>
    <mergeCell ref="B44:D44"/>
    <mergeCell ref="B45:D45"/>
    <mergeCell ref="B46:D46"/>
    <mergeCell ref="B47:D47"/>
    <mergeCell ref="B49:D49"/>
    <mergeCell ref="C76:D76"/>
    <mergeCell ref="C59:D59"/>
    <mergeCell ref="C64:D64"/>
    <mergeCell ref="C67:D67"/>
    <mergeCell ref="C68:D68"/>
    <mergeCell ref="C69:D69"/>
    <mergeCell ref="B70:D70"/>
    <mergeCell ref="C71:D71"/>
    <mergeCell ref="B72:D72"/>
    <mergeCell ref="C73:D73"/>
    <mergeCell ref="C74:D74"/>
    <mergeCell ref="B75:D75"/>
    <mergeCell ref="B86:J86"/>
    <mergeCell ref="C77:D77"/>
    <mergeCell ref="C78:D78"/>
    <mergeCell ref="C79:D79"/>
    <mergeCell ref="C80:D80"/>
    <mergeCell ref="C81:D81"/>
    <mergeCell ref="B85:J85"/>
  </mergeCells>
  <pageMargins left="0.7" right="0.7" top="0.75" bottom="0.75" header="0.3" footer="0.3"/>
  <pageSetup paperSize="128" scale="6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31" zoomScale="75" zoomScaleNormal="75" workbookViewId="0">
      <selection activeCell="G2" sqref="G2"/>
    </sheetView>
  </sheetViews>
  <sheetFormatPr baseColWidth="10" defaultRowHeight="15" x14ac:dyDescent="0.25"/>
  <cols>
    <col min="1" max="1" width="19.140625" bestFit="1" customWidth="1"/>
    <col min="2" max="2" width="13.7109375" bestFit="1" customWidth="1"/>
    <col min="3" max="3" width="31" bestFit="1" customWidth="1"/>
    <col min="4" max="4" width="22.42578125" bestFit="1" customWidth="1"/>
    <col min="5" max="5" width="28.28515625" bestFit="1" customWidth="1"/>
    <col min="6" max="6" width="22.42578125" bestFit="1" customWidth="1"/>
    <col min="7" max="7" width="21.28515625" bestFit="1" customWidth="1"/>
    <col min="8" max="8" width="21.85546875" bestFit="1" customWidth="1"/>
    <col min="9" max="9" width="18" bestFit="1" customWidth="1"/>
    <col min="10" max="10" width="23" bestFit="1" customWidth="1"/>
    <col min="11" max="11" width="21.140625" bestFit="1" customWidth="1"/>
    <col min="12" max="12" width="16.85546875" bestFit="1" customWidth="1"/>
    <col min="13" max="13" width="21.140625" bestFit="1" customWidth="1"/>
  </cols>
  <sheetData>
    <row r="1" spans="1:10" ht="38.25" x14ac:dyDescent="0.25">
      <c r="A1" s="13" t="s">
        <v>40</v>
      </c>
      <c r="B1" s="13" t="s">
        <v>41</v>
      </c>
      <c r="C1" s="13" t="s">
        <v>42</v>
      </c>
      <c r="D1" s="14" t="s">
        <v>59</v>
      </c>
      <c r="E1" s="14" t="s">
        <v>60</v>
      </c>
      <c r="F1" s="14" t="s">
        <v>61</v>
      </c>
      <c r="G1" s="14" t="s">
        <v>62</v>
      </c>
      <c r="H1" s="14" t="s">
        <v>63</v>
      </c>
      <c r="I1" s="14" t="s">
        <v>64</v>
      </c>
      <c r="J1" s="14" t="s">
        <v>65</v>
      </c>
    </row>
    <row r="2" spans="1:10" x14ac:dyDescent="0.25">
      <c r="A2" s="1" t="s">
        <v>43</v>
      </c>
      <c r="B2" s="1" t="s">
        <v>44</v>
      </c>
      <c r="C2" s="1" t="s">
        <v>45</v>
      </c>
      <c r="D2" s="2" t="e">
        <f ca="1">[1]!BexGetData("DP_1","00O2TNJGODT0K3USBW3W18AN4","0","01","2")</f>
        <v>#NAME?</v>
      </c>
      <c r="E2" s="3" t="e">
        <f ca="1">[1]!BexGetData("DP_1","00O2TNJGODT0K3USBW3W1A1UO","0","01","2")</f>
        <v>#NAME?</v>
      </c>
      <c r="F2" s="2" t="e">
        <f ca="1">[1]!BexGetData("DP_1","00O2TNJGODT0K3USBW3W1A868","0","01","2")</f>
        <v>#NAME?</v>
      </c>
      <c r="G2" s="2" t="e">
        <f ca="1">[1]!BexGetData("DP_1","00O2TNJGODT0K3USBW3W1AKTC","0","01","2")</f>
        <v>#NAME?</v>
      </c>
      <c r="H2" s="2" t="e">
        <f ca="1">[1]!BexGetData("DP_1","00O2TNJGODT0K3USBW3W1AR4W","0","01","2")</f>
        <v>#NAME?</v>
      </c>
      <c r="I2" s="4" t="e">
        <f ca="1">[1]!BexGetData("DP_1","00O2TNJGODT0K3USBW3W1B3S0","0","01","2")</f>
        <v>#NAME?</v>
      </c>
      <c r="J2" s="2" t="e">
        <f ca="1">[1]!BexGetData("DP_1","00O2TNJGODT0K3USBW3W1BA3K","0","01","2")</f>
        <v>#NAME?</v>
      </c>
    </row>
    <row r="3" spans="1:10" x14ac:dyDescent="0.25">
      <c r="A3" s="1" t="s">
        <v>46</v>
      </c>
      <c r="B3" s="1" t="s">
        <v>46</v>
      </c>
      <c r="C3" s="5" t="s">
        <v>47</v>
      </c>
      <c r="D3" s="6" t="e">
        <f ca="1">[1]!BexGetData("DP_1","00O2TNJGODT0K3USBW3W18AN4","0","01","SUMME")</f>
        <v>#NAME?</v>
      </c>
      <c r="E3" s="7" t="e">
        <f ca="1">[1]!BexGetData("DP_1","00O2TNJGODT0K3USBW3W1A1UO","0","01","SUMME")</f>
        <v>#NAME?</v>
      </c>
      <c r="F3" s="6" t="e">
        <f ca="1">[1]!BexGetData("DP_1","00O2TNJGODT0K3USBW3W1A868","0","01","SUMME")</f>
        <v>#NAME?</v>
      </c>
      <c r="G3" s="6" t="e">
        <f ca="1">[1]!BexGetData("DP_1","00O2TNJGODT0K3USBW3W1AKTC","0","01","SUMME")</f>
        <v>#NAME?</v>
      </c>
      <c r="H3" s="6" t="e">
        <f ca="1">[1]!BexGetData("DP_1","00O2TNJGODT0K3USBW3W1AR4W","0","01","SUMME")</f>
        <v>#NAME?</v>
      </c>
      <c r="I3" s="8" t="e">
        <f ca="1">[1]!BexGetData("DP_1","00O2TNJGODT0K3USBW3W1B3S0","0","01","SUMME")</f>
        <v>#NAME?</v>
      </c>
      <c r="J3" s="6" t="e">
        <f ca="1">[1]!BexGetData("DP_1","00O2TNJGODT0K3USBW3W1BA3K","0","01","SUMME")</f>
        <v>#NAME?</v>
      </c>
    </row>
    <row r="4" spans="1:10" x14ac:dyDescent="0.25">
      <c r="A4" s="1" t="s">
        <v>46</v>
      </c>
      <c r="B4" s="5" t="s">
        <v>47</v>
      </c>
      <c r="C4" s="5" t="s">
        <v>46</v>
      </c>
      <c r="D4" s="6" t="e">
        <f ca="1">[1]!BexGetData("DP_1","00O2TNJGODT0K3USBW3W18AN4","0","SUMME","SUMME")</f>
        <v>#NAME?</v>
      </c>
      <c r="E4" s="7" t="e">
        <f ca="1">[1]!BexGetData("DP_1","00O2TNJGODT0K3USBW3W1A1UO","0","SUMME","SUMME")</f>
        <v>#NAME?</v>
      </c>
      <c r="F4" s="6" t="e">
        <f ca="1">[1]!BexGetData("DP_1","00O2TNJGODT0K3USBW3W1A868","0","SUMME","SUMME")</f>
        <v>#NAME?</v>
      </c>
      <c r="G4" s="6" t="e">
        <f ca="1">[1]!BexGetData("DP_1","00O2TNJGODT0K3USBW3W1AKTC","0","SUMME","SUMME")</f>
        <v>#NAME?</v>
      </c>
      <c r="H4" s="6" t="e">
        <f ca="1">[1]!BexGetData("DP_1","00O2TNJGODT0K3USBW3W1AR4W","0","SUMME","SUMME")</f>
        <v>#NAME?</v>
      </c>
      <c r="I4" s="8" t="e">
        <f ca="1">[1]!BexGetData("DP_1","00O2TNJGODT0K3USBW3W1B3S0","0","SUMME","SUMME")</f>
        <v>#NAME?</v>
      </c>
      <c r="J4" s="6" t="e">
        <f ca="1">[1]!BexGetData("DP_1","00O2TNJGODT0K3USBW3W1BA3K","0","SUMME","SUMME")</f>
        <v>#NAME?</v>
      </c>
    </row>
    <row r="5" spans="1:10" x14ac:dyDescent="0.25">
      <c r="A5" s="1" t="s">
        <v>44</v>
      </c>
      <c r="B5" s="1" t="s">
        <v>44</v>
      </c>
      <c r="C5" s="1" t="s">
        <v>44</v>
      </c>
      <c r="D5" s="2" t="e">
        <f ca="1">[1]!BexGetData("DP_1","00O2TNJGODT0K3USBW3W18AN4","1","11","1")</f>
        <v>#NAME?</v>
      </c>
      <c r="E5" s="3" t="e">
        <f ca="1">[1]!BexGetData("DP_1","00O2TNJGODT0K3USBW3W1A1UO","1","11","1")</f>
        <v>#NAME?</v>
      </c>
      <c r="F5" s="2" t="e">
        <f ca="1">[1]!BexGetData("DP_1","00O2TNJGODT0K3USBW3W1A868","1","11","1")</f>
        <v>#NAME?</v>
      </c>
      <c r="G5" s="2" t="e">
        <f ca="1">[1]!BexGetData("DP_1","00O2TNJGODT0K3USBW3W1AKTC","1","11","1")</f>
        <v>#NAME?</v>
      </c>
      <c r="H5" s="2" t="e">
        <f ca="1">[1]!BexGetData("DP_1","00O2TNJGODT0K3USBW3W1AR4W","1","11","1")</f>
        <v>#NAME?</v>
      </c>
      <c r="I5" s="4" t="e">
        <f ca="1">[1]!BexGetData("DP_1","00O2TNJGODT0K3USBW3W1B3S0","1","11","1")</f>
        <v>#NAME?</v>
      </c>
      <c r="J5" s="2" t="e">
        <f ca="1">[1]!BexGetData("DP_1","00O2TNJGODT0K3USBW3W1BA3K","1","11","1")</f>
        <v>#NAME?</v>
      </c>
    </row>
    <row r="6" spans="1:10" x14ac:dyDescent="0.25">
      <c r="A6" s="1" t="s">
        <v>46</v>
      </c>
      <c r="B6" s="1" t="s">
        <v>46</v>
      </c>
      <c r="C6" s="5" t="s">
        <v>47</v>
      </c>
      <c r="D6" s="6" t="e">
        <f ca="1">[1]!BexGetData("DP_1","00O2TNJGODT0K3USBW3W18AN4","1","11","SUMME")</f>
        <v>#NAME?</v>
      </c>
      <c r="E6" s="7" t="e">
        <f ca="1">[1]!BexGetData("DP_1","00O2TNJGODT0K3USBW3W1A1UO","1","11","SUMME")</f>
        <v>#NAME?</v>
      </c>
      <c r="F6" s="6" t="e">
        <f ca="1">[1]!BexGetData("DP_1","00O2TNJGODT0K3USBW3W1A868","1","11","SUMME")</f>
        <v>#NAME?</v>
      </c>
      <c r="G6" s="6" t="e">
        <f ca="1">[1]!BexGetData("DP_1","00O2TNJGODT0K3USBW3W1AKTC","1","11","SUMME")</f>
        <v>#NAME?</v>
      </c>
      <c r="H6" s="6" t="e">
        <f ca="1">[1]!BexGetData("DP_1","00O2TNJGODT0K3USBW3W1AR4W","1","11","SUMME")</f>
        <v>#NAME?</v>
      </c>
      <c r="I6" s="8" t="e">
        <f ca="1">[1]!BexGetData("DP_1","00O2TNJGODT0K3USBW3W1B3S0","1","11","SUMME")</f>
        <v>#NAME?</v>
      </c>
      <c r="J6" s="6" t="e">
        <f ca="1">[1]!BexGetData("DP_1","00O2TNJGODT0K3USBW3W1BA3K","1","11","SUMME")</f>
        <v>#NAME?</v>
      </c>
    </row>
    <row r="7" spans="1:10" x14ac:dyDescent="0.25">
      <c r="A7" s="1" t="s">
        <v>46</v>
      </c>
      <c r="B7" s="1" t="s">
        <v>48</v>
      </c>
      <c r="C7" s="1" t="s">
        <v>44</v>
      </c>
      <c r="D7" s="2" t="e">
        <f ca="1">[1]!BexGetData("DP_1","00O2TNJGODT0K3USBW3W18AN4","1","13","1")</f>
        <v>#NAME?</v>
      </c>
      <c r="E7" s="3" t="e">
        <f ca="1">[1]!BexGetData("DP_1","00O2TNJGODT0K3USBW3W1A1UO","1","13","1")</f>
        <v>#NAME?</v>
      </c>
      <c r="F7" s="2" t="e">
        <f ca="1">[1]!BexGetData("DP_1","00O2TNJGODT0K3USBW3W1A868","1","13","1")</f>
        <v>#NAME?</v>
      </c>
      <c r="G7" s="2" t="e">
        <f ca="1">[1]!BexGetData("DP_1","00O2TNJGODT0K3USBW3W1AKTC","1","13","1")</f>
        <v>#NAME?</v>
      </c>
      <c r="H7" s="2" t="e">
        <f ca="1">[1]!BexGetData("DP_1","00O2TNJGODT0K3USBW3W1AR4W","1","13","1")</f>
        <v>#NAME?</v>
      </c>
      <c r="I7" s="4" t="e">
        <f ca="1">[1]!BexGetData("DP_1","00O2TNJGODT0K3USBW3W1B3S0","1","13","1")</f>
        <v>#NAME?</v>
      </c>
      <c r="J7" s="2" t="e">
        <f ca="1">[1]!BexGetData("DP_1","00O2TNJGODT0K3USBW3W1BA3K","1","13","1")</f>
        <v>#NAME?</v>
      </c>
    </row>
    <row r="8" spans="1:10" x14ac:dyDescent="0.25">
      <c r="A8" s="1" t="s">
        <v>46</v>
      </c>
      <c r="B8" s="1" t="s">
        <v>46</v>
      </c>
      <c r="C8" s="5" t="s">
        <v>47</v>
      </c>
      <c r="D8" s="6" t="e">
        <f ca="1">[1]!BexGetData("DP_1","00O2TNJGODT0K3USBW3W18AN4","1","13","SUMME")</f>
        <v>#NAME?</v>
      </c>
      <c r="E8" s="7" t="e">
        <f ca="1">[1]!BexGetData("DP_1","00O2TNJGODT0K3USBW3W1A1UO","1","13","SUMME")</f>
        <v>#NAME?</v>
      </c>
      <c r="F8" s="6" t="e">
        <f ca="1">[1]!BexGetData("DP_1","00O2TNJGODT0K3USBW3W1A868","1","13","SUMME")</f>
        <v>#NAME?</v>
      </c>
      <c r="G8" s="6" t="e">
        <f ca="1">[1]!BexGetData("DP_1","00O2TNJGODT0K3USBW3W1AKTC","1","13","SUMME")</f>
        <v>#NAME?</v>
      </c>
      <c r="H8" s="6" t="e">
        <f ca="1">[1]!BexGetData("DP_1","00O2TNJGODT0K3USBW3W1AR4W","1","13","SUMME")</f>
        <v>#NAME?</v>
      </c>
      <c r="I8" s="8" t="e">
        <f ca="1">[1]!BexGetData("DP_1","00O2TNJGODT0K3USBW3W1B3S0","1","13","SUMME")</f>
        <v>#NAME?</v>
      </c>
      <c r="J8" s="6" t="e">
        <f ca="1">[1]!BexGetData("DP_1","00O2TNJGODT0K3USBW3W1BA3K","1","13","SUMME")</f>
        <v>#NAME?</v>
      </c>
    </row>
    <row r="9" spans="1:10" x14ac:dyDescent="0.25">
      <c r="A9" s="1" t="s">
        <v>46</v>
      </c>
      <c r="B9" s="1" t="s">
        <v>49</v>
      </c>
      <c r="C9" s="1" t="s">
        <v>44</v>
      </c>
      <c r="D9" s="2" t="e">
        <f ca="1">[1]!BexGetData("DP_1","00O2TNJGODT0K3USBW3W18AN4","1","15","1")</f>
        <v>#NAME?</v>
      </c>
      <c r="E9" s="3" t="e">
        <f ca="1">[1]!BexGetData("DP_1","00O2TNJGODT0K3USBW3W1A1UO","1","15","1")</f>
        <v>#NAME?</v>
      </c>
      <c r="F9" s="2" t="e">
        <f ca="1">[1]!BexGetData("DP_1","00O2TNJGODT0K3USBW3W1A868","1","15","1")</f>
        <v>#NAME?</v>
      </c>
      <c r="G9" s="2" t="e">
        <f ca="1">[1]!BexGetData("DP_1","00O2TNJGODT0K3USBW3W1AKTC","1","15","1")</f>
        <v>#NAME?</v>
      </c>
      <c r="H9" s="2" t="e">
        <f ca="1">[1]!BexGetData("DP_1","00O2TNJGODT0K3USBW3W1AR4W","1","15","1")</f>
        <v>#NAME?</v>
      </c>
      <c r="I9" s="4" t="e">
        <f ca="1">[1]!BexGetData("DP_1","00O2TNJGODT0K3USBW3W1B3S0","1","15","1")</f>
        <v>#NAME?</v>
      </c>
      <c r="J9" s="2" t="e">
        <f ca="1">[1]!BexGetData("DP_1","00O2TNJGODT0K3USBW3W1BA3K","1","15","1")</f>
        <v>#NAME?</v>
      </c>
    </row>
    <row r="10" spans="1:10" x14ac:dyDescent="0.25">
      <c r="A10" s="1" t="s">
        <v>46</v>
      </c>
      <c r="B10" s="1" t="s">
        <v>46</v>
      </c>
      <c r="C10" s="5" t="s">
        <v>47</v>
      </c>
      <c r="D10" s="6" t="e">
        <f ca="1">[1]!BexGetData("DP_1","00O2TNJGODT0K3USBW3W18AN4","1","15","SUMME")</f>
        <v>#NAME?</v>
      </c>
      <c r="E10" s="7" t="e">
        <f ca="1">[1]!BexGetData("DP_1","00O2TNJGODT0K3USBW3W1A1UO","1","15","SUMME")</f>
        <v>#NAME?</v>
      </c>
      <c r="F10" s="6" t="e">
        <f ca="1">[1]!BexGetData("DP_1","00O2TNJGODT0K3USBW3W1A868","1","15","SUMME")</f>
        <v>#NAME?</v>
      </c>
      <c r="G10" s="6" t="e">
        <f ca="1">[1]!BexGetData("DP_1","00O2TNJGODT0K3USBW3W1AKTC","1","15","SUMME")</f>
        <v>#NAME?</v>
      </c>
      <c r="H10" s="6" t="e">
        <f ca="1">[1]!BexGetData("DP_1","00O2TNJGODT0K3USBW3W1AR4W","1","15","SUMME")</f>
        <v>#NAME?</v>
      </c>
      <c r="I10" s="8" t="e">
        <f ca="1">[1]!BexGetData("DP_1","00O2TNJGODT0K3USBW3W1B3S0","1","15","SUMME")</f>
        <v>#NAME?</v>
      </c>
      <c r="J10" s="6" t="e">
        <f ca="1">[1]!BexGetData("DP_1","00O2TNJGODT0K3USBW3W1BA3K","1","15","SUMME")</f>
        <v>#NAME?</v>
      </c>
    </row>
    <row r="11" spans="1:10" x14ac:dyDescent="0.25">
      <c r="A11" s="1" t="s">
        <v>46</v>
      </c>
      <c r="B11" s="1" t="s">
        <v>50</v>
      </c>
      <c r="C11" s="1" t="s">
        <v>44</v>
      </c>
      <c r="D11" s="2" t="e">
        <f ca="1">[1]!BexGetData("DP_1","00O2TNJGODT0K3USBW3W18AN4","1","17","1")</f>
        <v>#NAME?</v>
      </c>
      <c r="E11" s="3" t="e">
        <f ca="1">[1]!BexGetData("DP_1","00O2TNJGODT0K3USBW3W1A1UO","1","17","1")</f>
        <v>#NAME?</v>
      </c>
      <c r="F11" s="2" t="e">
        <f ca="1">[1]!BexGetData("DP_1","00O2TNJGODT0K3USBW3W1A868","1","17","1")</f>
        <v>#NAME?</v>
      </c>
      <c r="G11" s="2" t="e">
        <f ca="1">[1]!BexGetData("DP_1","00O2TNJGODT0K3USBW3W1AKTC","1","17","1")</f>
        <v>#NAME?</v>
      </c>
      <c r="H11" s="2" t="e">
        <f ca="1">[1]!BexGetData("DP_1","00O2TNJGODT0K3USBW3W1AR4W","1","17","1")</f>
        <v>#NAME?</v>
      </c>
      <c r="I11" s="4" t="e">
        <f ca="1">[1]!BexGetData("DP_1","00O2TNJGODT0K3USBW3W1B3S0","1","17","1")</f>
        <v>#NAME?</v>
      </c>
      <c r="J11" s="2" t="e">
        <f ca="1">[1]!BexGetData("DP_1","00O2TNJGODT0K3USBW3W1BA3K","1","17","1")</f>
        <v>#NAME?</v>
      </c>
    </row>
    <row r="12" spans="1:10" x14ac:dyDescent="0.25">
      <c r="A12" s="1" t="s">
        <v>46</v>
      </c>
      <c r="B12" s="1" t="s">
        <v>46</v>
      </c>
      <c r="C12" s="5" t="s">
        <v>47</v>
      </c>
      <c r="D12" s="6" t="e">
        <f ca="1">[1]!BexGetData("DP_1","00O2TNJGODT0K3USBW3W18AN4","1","17","SUMME")</f>
        <v>#NAME?</v>
      </c>
      <c r="E12" s="7" t="e">
        <f ca="1">[1]!BexGetData("DP_1","00O2TNJGODT0K3USBW3W1A1UO","1","17","SUMME")</f>
        <v>#NAME?</v>
      </c>
      <c r="F12" s="6" t="e">
        <f ca="1">[1]!BexGetData("DP_1","00O2TNJGODT0K3USBW3W1A868","1","17","SUMME")</f>
        <v>#NAME?</v>
      </c>
      <c r="G12" s="6" t="e">
        <f ca="1">[1]!BexGetData("DP_1","00O2TNJGODT0K3USBW3W1AKTC","1","17","SUMME")</f>
        <v>#NAME?</v>
      </c>
      <c r="H12" s="6" t="e">
        <f ca="1">[1]!BexGetData("DP_1","00O2TNJGODT0K3USBW3W1AR4W","1","17","SUMME")</f>
        <v>#NAME?</v>
      </c>
      <c r="I12" s="8" t="e">
        <f ca="1">[1]!BexGetData("DP_1","00O2TNJGODT0K3USBW3W1B3S0","1","17","SUMME")</f>
        <v>#NAME?</v>
      </c>
      <c r="J12" s="6" t="e">
        <f ca="1">[1]!BexGetData("DP_1","00O2TNJGODT0K3USBW3W1BA3K","1","17","SUMME")</f>
        <v>#NAME?</v>
      </c>
    </row>
    <row r="13" spans="1:10" x14ac:dyDescent="0.25">
      <c r="A13" s="1" t="s">
        <v>46</v>
      </c>
      <c r="B13" s="1" t="s">
        <v>51</v>
      </c>
      <c r="C13" s="1" t="s">
        <v>44</v>
      </c>
      <c r="D13" s="2" t="e">
        <f ca="1">[1]!BexGetData("DP_1","00O2TNJGODT0K3USBW3W18AN4","1","18","1")</f>
        <v>#NAME?</v>
      </c>
      <c r="E13" s="3" t="e">
        <f ca="1">[1]!BexGetData("DP_1","00O2TNJGODT0K3USBW3W1A1UO","1","18","1")</f>
        <v>#NAME?</v>
      </c>
      <c r="F13" s="2" t="e">
        <f ca="1">[1]!BexGetData("DP_1","00O2TNJGODT0K3USBW3W1A868","1","18","1")</f>
        <v>#NAME?</v>
      </c>
      <c r="G13" s="2" t="e">
        <f ca="1">[1]!BexGetData("DP_1","00O2TNJGODT0K3USBW3W1AKTC","1","18","1")</f>
        <v>#NAME?</v>
      </c>
      <c r="H13" s="2" t="e">
        <f ca="1">[1]!BexGetData("DP_1","00O2TNJGODT0K3USBW3W1AR4W","1","18","1")</f>
        <v>#NAME?</v>
      </c>
      <c r="I13" s="4" t="e">
        <f ca="1">[1]!BexGetData("DP_1","00O2TNJGODT0K3USBW3W1B3S0","1","18","1")</f>
        <v>#NAME?</v>
      </c>
      <c r="J13" s="2" t="e">
        <f ca="1">[1]!BexGetData("DP_1","00O2TNJGODT0K3USBW3W1BA3K","1","18","1")</f>
        <v>#NAME?</v>
      </c>
    </row>
    <row r="14" spans="1:10" x14ac:dyDescent="0.25">
      <c r="A14" s="1" t="s">
        <v>46</v>
      </c>
      <c r="B14" s="1" t="s">
        <v>46</v>
      </c>
      <c r="C14" s="5" t="s">
        <v>47</v>
      </c>
      <c r="D14" s="6" t="e">
        <f ca="1">[1]!BexGetData("DP_1","00O2TNJGODT0K3USBW3W18AN4","1","18","SUMME")</f>
        <v>#NAME?</v>
      </c>
      <c r="E14" s="7" t="e">
        <f ca="1">[1]!BexGetData("DP_1","00O2TNJGODT0K3USBW3W1A1UO","1","18","SUMME")</f>
        <v>#NAME?</v>
      </c>
      <c r="F14" s="6" t="e">
        <f ca="1">[1]!BexGetData("DP_1","00O2TNJGODT0K3USBW3W1A868","1","18","SUMME")</f>
        <v>#NAME?</v>
      </c>
      <c r="G14" s="6" t="e">
        <f ca="1">[1]!BexGetData("DP_1","00O2TNJGODT0K3USBW3W1AKTC","1","18","SUMME")</f>
        <v>#NAME?</v>
      </c>
      <c r="H14" s="6" t="e">
        <f ca="1">[1]!BexGetData("DP_1","00O2TNJGODT0K3USBW3W1AR4W","1","18","SUMME")</f>
        <v>#NAME?</v>
      </c>
      <c r="I14" s="8" t="e">
        <f ca="1">[1]!BexGetData("DP_1","00O2TNJGODT0K3USBW3W1B3S0","1","18","SUMME")</f>
        <v>#NAME?</v>
      </c>
      <c r="J14" s="6" t="e">
        <f ca="1">[1]!BexGetData("DP_1","00O2TNJGODT0K3USBW3W1BA3K","1","18","SUMME")</f>
        <v>#NAME?</v>
      </c>
    </row>
    <row r="15" spans="1:10" x14ac:dyDescent="0.25">
      <c r="A15" s="1" t="s">
        <v>46</v>
      </c>
      <c r="B15" s="5" t="s">
        <v>47</v>
      </c>
      <c r="C15" s="5" t="s">
        <v>46</v>
      </c>
      <c r="D15" s="6" t="e">
        <f ca="1">[1]!BexGetData("DP_1","00O2TNJGODT0K3USBW3W18AN4","1","SUMME","SUMME")</f>
        <v>#NAME?</v>
      </c>
      <c r="E15" s="7" t="e">
        <f ca="1">[1]!BexGetData("DP_1","00O2TNJGODT0K3USBW3W1A1UO","1","SUMME","SUMME")</f>
        <v>#NAME?</v>
      </c>
      <c r="F15" s="6" t="e">
        <f ca="1">[1]!BexGetData("DP_1","00O2TNJGODT0K3USBW3W1A868","1","SUMME","SUMME")</f>
        <v>#NAME?</v>
      </c>
      <c r="G15" s="6" t="e">
        <f ca="1">[1]!BexGetData("DP_1","00O2TNJGODT0K3USBW3W1AKTC","1","SUMME","SUMME")</f>
        <v>#NAME?</v>
      </c>
      <c r="H15" s="6" t="e">
        <f ca="1">[1]!BexGetData("DP_1","00O2TNJGODT0K3USBW3W1AR4W","1","SUMME","SUMME")</f>
        <v>#NAME?</v>
      </c>
      <c r="I15" s="8" t="e">
        <f ca="1">[1]!BexGetData("DP_1","00O2TNJGODT0K3USBW3W1B3S0","1","SUMME","SUMME")</f>
        <v>#NAME?</v>
      </c>
      <c r="J15" s="6" t="e">
        <f ca="1">[1]!BexGetData("DP_1","00O2TNJGODT0K3USBW3W1BA3K","1","SUMME","SUMME")</f>
        <v>#NAME?</v>
      </c>
    </row>
    <row r="16" spans="1:10" x14ac:dyDescent="0.25">
      <c r="A16" s="1" t="s">
        <v>53</v>
      </c>
      <c r="B16" s="1" t="s">
        <v>44</v>
      </c>
      <c r="C16" s="1" t="s">
        <v>44</v>
      </c>
      <c r="D16" s="2" t="e">
        <f ca="1">[1]!BexGetData("DP_1","00O2TNJGODT0K3USBW3W18AN4","4","41","1")</f>
        <v>#NAME?</v>
      </c>
      <c r="E16" s="3" t="e">
        <f ca="1">[1]!BexGetData("DP_1","00O2TNJGODT0K3USBW3W1A1UO","4","41","1")</f>
        <v>#NAME?</v>
      </c>
      <c r="F16" s="2" t="e">
        <f ca="1">[1]!BexGetData("DP_1","00O2TNJGODT0K3USBW3W1A868","4","41","1")</f>
        <v>#NAME?</v>
      </c>
      <c r="G16" s="2" t="e">
        <f ca="1">[1]!BexGetData("DP_1","00O2TNJGODT0K3USBW3W1AKTC","4","41","1")</f>
        <v>#NAME?</v>
      </c>
      <c r="H16" s="2" t="e">
        <f ca="1">[1]!BexGetData("DP_1","00O2TNJGODT0K3USBW3W1AR4W","4","41","1")</f>
        <v>#NAME?</v>
      </c>
      <c r="I16" s="4" t="e">
        <f ca="1">[1]!BexGetData("DP_1","00O2TNJGODT0K3USBW3W1B3S0","4","41","1")</f>
        <v>#NAME?</v>
      </c>
      <c r="J16" s="2" t="e">
        <f ca="1">[1]!BexGetData("DP_1","00O2TNJGODT0K3USBW3W1BA3K","4","41","1")</f>
        <v>#NAME?</v>
      </c>
    </row>
    <row r="17" spans="1:10" x14ac:dyDescent="0.25">
      <c r="A17" s="1" t="s">
        <v>46</v>
      </c>
      <c r="B17" s="1" t="s">
        <v>46</v>
      </c>
      <c r="C17" s="5" t="s">
        <v>47</v>
      </c>
      <c r="D17" s="6" t="e">
        <f ca="1">[1]!BexGetData("DP_1","00O2TNJGODT0K3USBW3W18AN4","4","41","SUMME")</f>
        <v>#NAME?</v>
      </c>
      <c r="E17" s="7" t="e">
        <f ca="1">[1]!BexGetData("DP_1","00O2TNJGODT0K3USBW3W1A1UO","4","41","SUMME")</f>
        <v>#NAME?</v>
      </c>
      <c r="F17" s="6" t="e">
        <f ca="1">[1]!BexGetData("DP_1","00O2TNJGODT0K3USBW3W1A868","4","41","SUMME")</f>
        <v>#NAME?</v>
      </c>
      <c r="G17" s="6" t="e">
        <f ca="1">[1]!BexGetData("DP_1","00O2TNJGODT0K3USBW3W1AKTC","4","41","SUMME")</f>
        <v>#NAME?</v>
      </c>
      <c r="H17" s="6" t="e">
        <f ca="1">[1]!BexGetData("DP_1","00O2TNJGODT0K3USBW3W1AR4W","4","41","SUMME")</f>
        <v>#NAME?</v>
      </c>
      <c r="I17" s="8" t="e">
        <f ca="1">[1]!BexGetData("DP_1","00O2TNJGODT0K3USBW3W1B3S0","4","41","SUMME")</f>
        <v>#NAME?</v>
      </c>
      <c r="J17" s="6" t="e">
        <f ca="1">[1]!BexGetData("DP_1","00O2TNJGODT0K3USBW3W1BA3K","4","41","SUMME")</f>
        <v>#NAME?</v>
      </c>
    </row>
    <row r="18" spans="1:10" x14ac:dyDescent="0.25">
      <c r="A18" s="1" t="s">
        <v>46</v>
      </c>
      <c r="B18" s="1" t="s">
        <v>48</v>
      </c>
      <c r="C18" s="1" t="s">
        <v>44</v>
      </c>
      <c r="D18" s="2" t="e">
        <f ca="1">[1]!BexGetData("DP_1","00O2TNJGODT0K3USBW3W18AN4","4","43","1")</f>
        <v>#NAME?</v>
      </c>
      <c r="E18" s="3" t="e">
        <f ca="1">[1]!BexGetData("DP_1","00O2TNJGODT0K3USBW3W1A1UO","4","43","1")</f>
        <v>#NAME?</v>
      </c>
      <c r="F18" s="2" t="e">
        <f ca="1">[1]!BexGetData("DP_1","00O2TNJGODT0K3USBW3W1A868","4","43","1")</f>
        <v>#NAME?</v>
      </c>
      <c r="G18" s="2" t="e">
        <f ca="1">[1]!BexGetData("DP_1","00O2TNJGODT0K3USBW3W1AKTC","4","43","1")</f>
        <v>#NAME?</v>
      </c>
      <c r="H18" s="2" t="e">
        <f ca="1">[1]!BexGetData("DP_1","00O2TNJGODT0K3USBW3W1AR4W","4","43","1")</f>
        <v>#NAME?</v>
      </c>
      <c r="I18" s="4" t="e">
        <f ca="1">[1]!BexGetData("DP_1","00O2TNJGODT0K3USBW3W1B3S0","4","43","1")</f>
        <v>#NAME?</v>
      </c>
      <c r="J18" s="2" t="e">
        <f ca="1">[1]!BexGetData("DP_1","00O2TNJGODT0K3USBW3W1BA3K","4","43","1")</f>
        <v>#NAME?</v>
      </c>
    </row>
    <row r="19" spans="1:10" x14ac:dyDescent="0.25">
      <c r="A19" s="1" t="s">
        <v>46</v>
      </c>
      <c r="B19" s="1" t="s">
        <v>46</v>
      </c>
      <c r="C19" s="5" t="s">
        <v>47</v>
      </c>
      <c r="D19" s="6" t="e">
        <f ca="1">[1]!BexGetData("DP_1","00O2TNJGODT0K3USBW3W18AN4","4","43","SUMME")</f>
        <v>#NAME?</v>
      </c>
      <c r="E19" s="7" t="e">
        <f ca="1">[1]!BexGetData("DP_1","00O2TNJGODT0K3USBW3W1A1UO","4","43","SUMME")</f>
        <v>#NAME?</v>
      </c>
      <c r="F19" s="6" t="e">
        <f ca="1">[1]!BexGetData("DP_1","00O2TNJGODT0K3USBW3W1A868","4","43","SUMME")</f>
        <v>#NAME?</v>
      </c>
      <c r="G19" s="6" t="e">
        <f ca="1">[1]!BexGetData("DP_1","00O2TNJGODT0K3USBW3W1AKTC","4","43","SUMME")</f>
        <v>#NAME?</v>
      </c>
      <c r="H19" s="6" t="e">
        <f ca="1">[1]!BexGetData("DP_1","00O2TNJGODT0K3USBW3W1AR4W","4","43","SUMME")</f>
        <v>#NAME?</v>
      </c>
      <c r="I19" s="8" t="e">
        <f ca="1">[1]!BexGetData("DP_1","00O2TNJGODT0K3USBW3W1B3S0","4","43","SUMME")</f>
        <v>#NAME?</v>
      </c>
      <c r="J19" s="6" t="e">
        <f ca="1">[1]!BexGetData("DP_1","00O2TNJGODT0K3USBW3W1BA3K","4","43","SUMME")</f>
        <v>#NAME?</v>
      </c>
    </row>
    <row r="20" spans="1:10" x14ac:dyDescent="0.25">
      <c r="A20" s="1" t="s">
        <v>46</v>
      </c>
      <c r="B20" s="1" t="s">
        <v>49</v>
      </c>
      <c r="C20" s="1" t="s">
        <v>44</v>
      </c>
      <c r="D20" s="2" t="e">
        <f ca="1">[1]!BexGetData("DP_1","00O2TNJGODT0K3USBW3W18AN4","4","45","1")</f>
        <v>#NAME?</v>
      </c>
      <c r="E20" s="3" t="e">
        <f ca="1">[1]!BexGetData("DP_1","00O2TNJGODT0K3USBW3W1A1UO","4","45","1")</f>
        <v>#NAME?</v>
      </c>
      <c r="F20" s="2" t="e">
        <f ca="1">[1]!BexGetData("DP_1","00O2TNJGODT0K3USBW3W1A868","4","45","1")</f>
        <v>#NAME?</v>
      </c>
      <c r="G20" s="2" t="e">
        <f ca="1">[1]!BexGetData("DP_1","00O2TNJGODT0K3USBW3W1AKTC","4","45","1")</f>
        <v>#NAME?</v>
      </c>
      <c r="H20" s="2" t="e">
        <f ca="1">[1]!BexGetData("DP_1","00O2TNJGODT0K3USBW3W1AR4W","4","45","1")</f>
        <v>#NAME?</v>
      </c>
      <c r="I20" s="4" t="e">
        <f ca="1">[1]!BexGetData("DP_1","00O2TNJGODT0K3USBW3W1B3S0","4","45","1")</f>
        <v>#NAME?</v>
      </c>
      <c r="J20" s="2" t="e">
        <f ca="1">[1]!BexGetData("DP_1","00O2TNJGODT0K3USBW3W1BA3K","4","45","1")</f>
        <v>#NAME?</v>
      </c>
    </row>
    <row r="21" spans="1:10" x14ac:dyDescent="0.25">
      <c r="A21" s="1" t="s">
        <v>46</v>
      </c>
      <c r="B21" s="1" t="s">
        <v>46</v>
      </c>
      <c r="C21" s="5" t="s">
        <v>47</v>
      </c>
      <c r="D21" s="6" t="e">
        <f ca="1">[1]!BexGetData("DP_1","00O2TNJGODT0K3USBW3W18AN4","4","45","SUMME")</f>
        <v>#NAME?</v>
      </c>
      <c r="E21" s="7" t="e">
        <f ca="1">[1]!BexGetData("DP_1","00O2TNJGODT0K3USBW3W1A1UO","4","45","SUMME")</f>
        <v>#NAME?</v>
      </c>
      <c r="F21" s="6" t="e">
        <f ca="1">[1]!BexGetData("DP_1","00O2TNJGODT0K3USBW3W1A868","4","45","SUMME")</f>
        <v>#NAME?</v>
      </c>
      <c r="G21" s="6" t="e">
        <f ca="1">[1]!BexGetData("DP_1","00O2TNJGODT0K3USBW3W1AKTC","4","45","SUMME")</f>
        <v>#NAME?</v>
      </c>
      <c r="H21" s="6" t="e">
        <f ca="1">[1]!BexGetData("DP_1","00O2TNJGODT0K3USBW3W1AR4W","4","45","SUMME")</f>
        <v>#NAME?</v>
      </c>
      <c r="I21" s="8" t="e">
        <f ca="1">[1]!BexGetData("DP_1","00O2TNJGODT0K3USBW3W1B3S0","4","45","SUMME")</f>
        <v>#NAME?</v>
      </c>
      <c r="J21" s="6" t="e">
        <f ca="1">[1]!BexGetData("DP_1","00O2TNJGODT0K3USBW3W1BA3K","4","45","SUMME")</f>
        <v>#NAME?</v>
      </c>
    </row>
    <row r="22" spans="1:10" x14ac:dyDescent="0.25">
      <c r="A22" s="1" t="s">
        <v>46</v>
      </c>
      <c r="B22" s="1" t="s">
        <v>52</v>
      </c>
      <c r="C22" s="1" t="s">
        <v>44</v>
      </c>
      <c r="D22" s="2" t="e">
        <f ca="1">[1]!BexGetData("DP_1","00O2TNJGODT0K3USBW3W18AN4","4","49","1")</f>
        <v>#NAME?</v>
      </c>
      <c r="E22" s="3" t="e">
        <f ca="1">[1]!BexGetData("DP_1","00O2TNJGODT0K3USBW3W1A1UO","4","49","1")</f>
        <v>#NAME?</v>
      </c>
      <c r="F22" s="2" t="e">
        <f ca="1">[1]!BexGetData("DP_1","00O2TNJGODT0K3USBW3W1A868","4","49","1")</f>
        <v>#NAME?</v>
      </c>
      <c r="G22" s="2" t="e">
        <f ca="1">[1]!BexGetData("DP_1","00O2TNJGODT0K3USBW3W1AKTC","4","49","1")</f>
        <v>#NAME?</v>
      </c>
      <c r="H22" s="2" t="e">
        <f ca="1">[1]!BexGetData("DP_1","00O2TNJGODT0K3USBW3W1AR4W","4","49","1")</f>
        <v>#NAME?</v>
      </c>
      <c r="I22" s="4" t="e">
        <f ca="1">[1]!BexGetData("DP_1","00O2TNJGODT0K3USBW3W1B3S0","4","49","1")</f>
        <v>#NAME?</v>
      </c>
      <c r="J22" s="2" t="e">
        <f ca="1">[1]!BexGetData("DP_1","00O2TNJGODT0K3USBW3W1BA3K","4","49","1")</f>
        <v>#NAME?</v>
      </c>
    </row>
    <row r="23" spans="1:10" x14ac:dyDescent="0.25">
      <c r="A23" s="1" t="s">
        <v>46</v>
      </c>
      <c r="B23" s="1" t="s">
        <v>46</v>
      </c>
      <c r="C23" s="5" t="s">
        <v>47</v>
      </c>
      <c r="D23" s="6" t="e">
        <f ca="1">[1]!BexGetData("DP_1","00O2TNJGODT0K3USBW3W18AN4","4","49","SUMME")</f>
        <v>#NAME?</v>
      </c>
      <c r="E23" s="7" t="e">
        <f ca="1">[1]!BexGetData("DP_1","00O2TNJGODT0K3USBW3W1A1UO","4","49","SUMME")</f>
        <v>#NAME?</v>
      </c>
      <c r="F23" s="6" t="e">
        <f ca="1">[1]!BexGetData("DP_1","00O2TNJGODT0K3USBW3W1A868","4","49","SUMME")</f>
        <v>#NAME?</v>
      </c>
      <c r="G23" s="6" t="e">
        <f ca="1">[1]!BexGetData("DP_1","00O2TNJGODT0K3USBW3W1AKTC","4","49","SUMME")</f>
        <v>#NAME?</v>
      </c>
      <c r="H23" s="6" t="e">
        <f ca="1">[1]!BexGetData("DP_1","00O2TNJGODT0K3USBW3W1AR4W","4","49","SUMME")</f>
        <v>#NAME?</v>
      </c>
      <c r="I23" s="8" t="e">
        <f ca="1">[1]!BexGetData("DP_1","00O2TNJGODT0K3USBW3W1B3S0","4","49","SUMME")</f>
        <v>#NAME?</v>
      </c>
      <c r="J23" s="6" t="e">
        <f ca="1">[1]!BexGetData("DP_1","00O2TNJGODT0K3USBW3W1BA3K","4","49","SUMME")</f>
        <v>#NAME?</v>
      </c>
    </row>
    <row r="24" spans="1:10" x14ac:dyDescent="0.25">
      <c r="A24" s="1" t="s">
        <v>46</v>
      </c>
      <c r="B24" s="5" t="s">
        <v>47</v>
      </c>
      <c r="C24" s="5" t="s">
        <v>46</v>
      </c>
      <c r="D24" s="6" t="e">
        <f ca="1">[1]!BexGetData("DP_1","00O2TNJGODT0K3USBW3W18AN4","4","SUMME","SUMME")</f>
        <v>#NAME?</v>
      </c>
      <c r="E24" s="7" t="e">
        <f ca="1">[1]!BexGetData("DP_1","00O2TNJGODT0K3USBW3W1A1UO","4","SUMME","SUMME")</f>
        <v>#NAME?</v>
      </c>
      <c r="F24" s="6" t="e">
        <f ca="1">[1]!BexGetData("DP_1","00O2TNJGODT0K3USBW3W1A868","4","SUMME","SUMME")</f>
        <v>#NAME?</v>
      </c>
      <c r="G24" s="6" t="e">
        <f ca="1">[1]!BexGetData("DP_1","00O2TNJGODT0K3USBW3W1AKTC","4","SUMME","SUMME")</f>
        <v>#NAME?</v>
      </c>
      <c r="H24" s="6" t="e">
        <f ca="1">[1]!BexGetData("DP_1","00O2TNJGODT0K3USBW3W1AR4W","4","SUMME","SUMME")</f>
        <v>#NAME?</v>
      </c>
      <c r="I24" s="8" t="e">
        <f ca="1">[1]!BexGetData("DP_1","00O2TNJGODT0K3USBW3W1B3S0","4","SUMME","SUMME")</f>
        <v>#NAME?</v>
      </c>
      <c r="J24" s="6" t="e">
        <f ca="1">[1]!BexGetData("DP_1","00O2TNJGODT0K3USBW3W1BA3K","4","SUMME","SUMME")</f>
        <v>#NAME?</v>
      </c>
    </row>
    <row r="25" spans="1:10" x14ac:dyDescent="0.25">
      <c r="A25" s="1" t="s">
        <v>49</v>
      </c>
      <c r="B25" s="1" t="s">
        <v>44</v>
      </c>
      <c r="C25" s="1" t="s">
        <v>44</v>
      </c>
      <c r="D25" s="2" t="e">
        <f ca="1">[1]!BexGetData("DP_1","00O2TNJGODT0K3USBW3W18AN4","5","51","1")</f>
        <v>#NAME?</v>
      </c>
      <c r="E25" s="3" t="e">
        <f ca="1">[1]!BexGetData("DP_1","00O2TNJGODT0K3USBW3W1A1UO","5","51","1")</f>
        <v>#NAME?</v>
      </c>
      <c r="F25" s="2" t="e">
        <f ca="1">[1]!BexGetData("DP_1","00O2TNJGODT0K3USBW3W1A868","5","51","1")</f>
        <v>#NAME?</v>
      </c>
      <c r="G25" s="2" t="e">
        <f ca="1">[1]!BexGetData("DP_1","00O2TNJGODT0K3USBW3W1AKTC","5","51","1")</f>
        <v>#NAME?</v>
      </c>
      <c r="H25" s="2" t="e">
        <f ca="1">[1]!BexGetData("DP_1","00O2TNJGODT0K3USBW3W1AR4W","5","51","1")</f>
        <v>#NAME?</v>
      </c>
      <c r="I25" s="4" t="e">
        <f ca="1">[1]!BexGetData("DP_1","00O2TNJGODT0K3USBW3W1B3S0","5","51","1")</f>
        <v>#NAME?</v>
      </c>
      <c r="J25" s="2" t="e">
        <f ca="1">[1]!BexGetData("DP_1","00O2TNJGODT0K3USBW3W1BA3K","5","51","1")</f>
        <v>#NAME?</v>
      </c>
    </row>
    <row r="26" spans="1:10" x14ac:dyDescent="0.25">
      <c r="A26" s="1" t="s">
        <v>46</v>
      </c>
      <c r="B26" s="1" t="s">
        <v>46</v>
      </c>
      <c r="C26" s="1" t="s">
        <v>45</v>
      </c>
      <c r="D26" s="2" t="e">
        <f ca="1">[1]!BexGetData("DP_1","00O2TNJGODT0K3USBW3W18AN4","5","51","2")</f>
        <v>#NAME?</v>
      </c>
      <c r="E26" s="3" t="e">
        <f ca="1">[1]!BexGetData("DP_1","00O2TNJGODT0K3USBW3W1A1UO","5","51","2")</f>
        <v>#NAME?</v>
      </c>
      <c r="F26" s="2" t="e">
        <f ca="1">[1]!BexGetData("DP_1","00O2TNJGODT0K3USBW3W1A868","5","51","2")</f>
        <v>#NAME?</v>
      </c>
      <c r="G26" s="2" t="e">
        <f ca="1">[1]!BexGetData("DP_1","00O2TNJGODT0K3USBW3W1AKTC","5","51","2")</f>
        <v>#NAME?</v>
      </c>
      <c r="H26" s="2" t="e">
        <f ca="1">[1]!BexGetData("DP_1","00O2TNJGODT0K3USBW3W1AR4W","5","51","2")</f>
        <v>#NAME?</v>
      </c>
      <c r="I26" s="4" t="e">
        <f ca="1">[1]!BexGetData("DP_1","00O2TNJGODT0K3USBW3W1B3S0","5","51","2")</f>
        <v>#NAME?</v>
      </c>
      <c r="J26" s="2" t="e">
        <f ca="1">[1]!BexGetData("DP_1","00O2TNJGODT0K3USBW3W1BA3K","5","51","2")</f>
        <v>#NAME?</v>
      </c>
    </row>
    <row r="27" spans="1:10" x14ac:dyDescent="0.25">
      <c r="A27" s="1" t="s">
        <v>46</v>
      </c>
      <c r="B27" s="1" t="s">
        <v>46</v>
      </c>
      <c r="C27" s="1" t="s">
        <v>49</v>
      </c>
      <c r="D27" s="2" t="e">
        <f ca="1">[1]!BexGetData("DP_1","00O2TNJGODT0K3USBW3W18AN4","5","51","5")</f>
        <v>#NAME?</v>
      </c>
      <c r="E27" s="3" t="e">
        <f ca="1">[1]!BexGetData("DP_1","00O2TNJGODT0K3USBW3W1A1UO","5","51","5")</f>
        <v>#NAME?</v>
      </c>
      <c r="F27" s="2" t="e">
        <f ca="1">[1]!BexGetData("DP_1","00O2TNJGODT0K3USBW3W1A868","5","51","5")</f>
        <v>#NAME?</v>
      </c>
      <c r="G27" s="2" t="e">
        <f ca="1">[1]!BexGetData("DP_1","00O2TNJGODT0K3USBW3W1AKTC","5","51","5")</f>
        <v>#NAME?</v>
      </c>
      <c r="H27" s="2" t="e">
        <f ca="1">[1]!BexGetData("DP_1","00O2TNJGODT0K3USBW3W1AR4W","5","51","5")</f>
        <v>#NAME?</v>
      </c>
      <c r="I27" s="4" t="e">
        <f ca="1">[1]!BexGetData("DP_1","00O2TNJGODT0K3USBW3W1B3S0","5","51","5")</f>
        <v>#NAME?</v>
      </c>
      <c r="J27" s="2" t="e">
        <f ca="1">[1]!BexGetData("DP_1","00O2TNJGODT0K3USBW3W1BA3K","5","51","5")</f>
        <v>#NAME?</v>
      </c>
    </row>
    <row r="28" spans="1:10" x14ac:dyDescent="0.25">
      <c r="A28" s="1" t="s">
        <v>46</v>
      </c>
      <c r="B28" s="1" t="s">
        <v>46</v>
      </c>
      <c r="C28" s="1" t="s">
        <v>54</v>
      </c>
      <c r="D28" s="2" t="e">
        <f ca="1">[1]!BexGetData("DP_1","00O2TNJGODT0K3USBW3W18AN4","5","51","6")</f>
        <v>#NAME?</v>
      </c>
      <c r="E28" s="3" t="e">
        <f ca="1">[1]!BexGetData("DP_1","00O2TNJGODT0K3USBW3W1A1UO","5","51","6")</f>
        <v>#NAME?</v>
      </c>
      <c r="F28" s="2" t="e">
        <f ca="1">[1]!BexGetData("DP_1","00O2TNJGODT0K3USBW3W1A868","5","51","6")</f>
        <v>#NAME?</v>
      </c>
      <c r="G28" s="2" t="e">
        <f ca="1">[1]!BexGetData("DP_1","00O2TNJGODT0K3USBW3W1AKTC","5","51","6")</f>
        <v>#NAME?</v>
      </c>
      <c r="H28" s="2" t="e">
        <f ca="1">[1]!BexGetData("DP_1","00O2TNJGODT0K3USBW3W1AR4W","5","51","6")</f>
        <v>#NAME?</v>
      </c>
      <c r="I28" s="4" t="e">
        <f ca="1">[1]!BexGetData("DP_1","00O2TNJGODT0K3USBW3W1B3S0","5","51","6")</f>
        <v>#NAME?</v>
      </c>
      <c r="J28" s="2" t="e">
        <f ca="1">[1]!BexGetData("DP_1","00O2TNJGODT0K3USBW3W1BA3K","5","51","6")</f>
        <v>#NAME?</v>
      </c>
    </row>
    <row r="29" spans="1:10" x14ac:dyDescent="0.25">
      <c r="A29" s="1" t="s">
        <v>46</v>
      </c>
      <c r="B29" s="1" t="s">
        <v>46</v>
      </c>
      <c r="C29" s="1" t="s">
        <v>50</v>
      </c>
      <c r="D29" s="2" t="e">
        <f ca="1">[1]!BexGetData("DP_1","00O2TNJGODT0K3USBW3W18AN4","5","51","7")</f>
        <v>#NAME?</v>
      </c>
      <c r="E29" s="3" t="e">
        <f ca="1">[1]!BexGetData("DP_1","00O2TNJGODT0K3USBW3W1A1UO","5","51","7")</f>
        <v>#NAME?</v>
      </c>
      <c r="F29" s="2" t="e">
        <f ca="1">[1]!BexGetData("DP_1","00O2TNJGODT0K3USBW3W1A868","5","51","7")</f>
        <v>#NAME?</v>
      </c>
      <c r="G29" s="2" t="e">
        <f ca="1">[1]!BexGetData("DP_1","00O2TNJGODT0K3USBW3W1AKTC","5","51","7")</f>
        <v>#NAME?</v>
      </c>
      <c r="H29" s="2" t="e">
        <f ca="1">[1]!BexGetData("DP_1","00O2TNJGODT0K3USBW3W1AR4W","5","51","7")</f>
        <v>#NAME?</v>
      </c>
      <c r="I29" s="4" t="e">
        <f ca="1">[1]!BexGetData("DP_1","00O2TNJGODT0K3USBW3W1B3S0","5","51","7")</f>
        <v>#NAME?</v>
      </c>
      <c r="J29" s="2" t="e">
        <f ca="1">[1]!BexGetData("DP_1","00O2TNJGODT0K3USBW3W1BA3K","5","51","7")</f>
        <v>#NAME?</v>
      </c>
    </row>
    <row r="30" spans="1:10" x14ac:dyDescent="0.25">
      <c r="A30" s="1" t="s">
        <v>46</v>
      </c>
      <c r="B30" s="1" t="s">
        <v>46</v>
      </c>
      <c r="C30" s="5" t="s">
        <v>47</v>
      </c>
      <c r="D30" s="6" t="e">
        <f ca="1">[1]!BexGetData("DP_1","00O2TNJGODT0K3USBW3W18AN4","5","51","SUMME")</f>
        <v>#NAME?</v>
      </c>
      <c r="E30" s="7" t="e">
        <f ca="1">[1]!BexGetData("DP_1","00O2TNJGODT0K3USBW3W1A1UO","5","51","SUMME")</f>
        <v>#NAME?</v>
      </c>
      <c r="F30" s="6" t="e">
        <f ca="1">[1]!BexGetData("DP_1","00O2TNJGODT0K3USBW3W1A868","5","51","SUMME")</f>
        <v>#NAME?</v>
      </c>
      <c r="G30" s="6" t="e">
        <f ca="1">[1]!BexGetData("DP_1","00O2TNJGODT0K3USBW3W1AKTC","5","51","SUMME")</f>
        <v>#NAME?</v>
      </c>
      <c r="H30" s="6" t="e">
        <f ca="1">[1]!BexGetData("DP_1","00O2TNJGODT0K3USBW3W1AR4W","5","51","SUMME")</f>
        <v>#NAME?</v>
      </c>
      <c r="I30" s="8" t="e">
        <f ca="1">[1]!BexGetData("DP_1","00O2TNJGODT0K3USBW3W1B3S0","5","51","SUMME")</f>
        <v>#NAME?</v>
      </c>
      <c r="J30" s="6" t="e">
        <f ca="1">[1]!BexGetData("DP_1","00O2TNJGODT0K3USBW3W1BA3K","5","51","SUMME")</f>
        <v>#NAME?</v>
      </c>
    </row>
    <row r="31" spans="1:10" x14ac:dyDescent="0.25">
      <c r="A31" s="1" t="s">
        <v>46</v>
      </c>
      <c r="B31" s="1" t="s">
        <v>45</v>
      </c>
      <c r="C31" s="1" t="s">
        <v>44</v>
      </c>
      <c r="D31" s="2" t="e">
        <f ca="1">[1]!BexGetData("DP_1","00O2TNJGODT0K3USBW3W18AN4","5","52","1")</f>
        <v>#NAME?</v>
      </c>
      <c r="E31" s="3" t="e">
        <f ca="1">[1]!BexGetData("DP_1","00O2TNJGODT0K3USBW3W1A1UO","5","52","1")</f>
        <v>#NAME?</v>
      </c>
      <c r="F31" s="2" t="e">
        <f ca="1">[1]!BexGetData("DP_1","00O2TNJGODT0K3USBW3W1A868","5","52","1")</f>
        <v>#NAME?</v>
      </c>
      <c r="G31" s="2" t="e">
        <f ca="1">[1]!BexGetData("DP_1","00O2TNJGODT0K3USBW3W1AKTC","5","52","1")</f>
        <v>#NAME?</v>
      </c>
      <c r="H31" s="2" t="e">
        <f ca="1">[1]!BexGetData("DP_1","00O2TNJGODT0K3USBW3W1AR4W","5","52","1")</f>
        <v>#NAME?</v>
      </c>
      <c r="I31" s="4" t="e">
        <f ca="1">[1]!BexGetData("DP_1","00O2TNJGODT0K3USBW3W1B3S0","5","52","1")</f>
        <v>#NAME?</v>
      </c>
      <c r="J31" s="2" t="e">
        <f ca="1">[1]!BexGetData("DP_1","00O2TNJGODT0K3USBW3W1BA3K","5","52","1")</f>
        <v>#NAME?</v>
      </c>
    </row>
    <row r="32" spans="1:10" x14ac:dyDescent="0.25">
      <c r="A32" s="1" t="s">
        <v>46</v>
      </c>
      <c r="B32" s="1" t="s">
        <v>46</v>
      </c>
      <c r="C32" s="5" t="s">
        <v>47</v>
      </c>
      <c r="D32" s="6" t="e">
        <f ca="1">[1]!BexGetData("DP_1","00O2TNJGODT0K3USBW3W18AN4","5","52","SUMME")</f>
        <v>#NAME?</v>
      </c>
      <c r="E32" s="7" t="e">
        <f ca="1">[1]!BexGetData("DP_1","00O2TNJGODT0K3USBW3W1A1UO","5","52","SUMME")</f>
        <v>#NAME?</v>
      </c>
      <c r="F32" s="6" t="e">
        <f ca="1">[1]!BexGetData("DP_1","00O2TNJGODT0K3USBW3W1A868","5","52","SUMME")</f>
        <v>#NAME?</v>
      </c>
      <c r="G32" s="6" t="e">
        <f ca="1">[1]!BexGetData("DP_1","00O2TNJGODT0K3USBW3W1AKTC","5","52","SUMME")</f>
        <v>#NAME?</v>
      </c>
      <c r="H32" s="6" t="e">
        <f ca="1">[1]!BexGetData("DP_1","00O2TNJGODT0K3USBW3W1AR4W","5","52","SUMME")</f>
        <v>#NAME?</v>
      </c>
      <c r="I32" s="8" t="e">
        <f ca="1">[1]!BexGetData("DP_1","00O2TNJGODT0K3USBW3W1B3S0","5","52","SUMME")</f>
        <v>#NAME?</v>
      </c>
      <c r="J32" s="6" t="e">
        <f ca="1">[1]!BexGetData("DP_1","00O2TNJGODT0K3USBW3W1BA3K","5","52","SUMME")</f>
        <v>#NAME?</v>
      </c>
    </row>
    <row r="33" spans="1:10" x14ac:dyDescent="0.25">
      <c r="A33" s="1" t="s">
        <v>46</v>
      </c>
      <c r="B33" s="5" t="s">
        <v>47</v>
      </c>
      <c r="C33" s="5" t="s">
        <v>46</v>
      </c>
      <c r="D33" s="6" t="e">
        <f ca="1">[1]!BexGetData("DP_1","00O2TNJGODT0K3USBW3W18AN4","5","SUMME","SUMME")</f>
        <v>#NAME?</v>
      </c>
      <c r="E33" s="7" t="e">
        <f ca="1">[1]!BexGetData("DP_1","00O2TNJGODT0K3USBW3W1A1UO","5","SUMME","SUMME")</f>
        <v>#NAME?</v>
      </c>
      <c r="F33" s="6" t="e">
        <f ca="1">[1]!BexGetData("DP_1","00O2TNJGODT0K3USBW3W1A868","5","SUMME","SUMME")</f>
        <v>#NAME?</v>
      </c>
      <c r="G33" s="6" t="e">
        <f ca="1">[1]!BexGetData("DP_1","00O2TNJGODT0K3USBW3W1AKTC","5","SUMME","SUMME")</f>
        <v>#NAME?</v>
      </c>
      <c r="H33" s="6" t="e">
        <f ca="1">[1]!BexGetData("DP_1","00O2TNJGODT0K3USBW3W1AR4W","5","SUMME","SUMME")</f>
        <v>#NAME?</v>
      </c>
      <c r="I33" s="8" t="e">
        <f ca="1">[1]!BexGetData("DP_1","00O2TNJGODT0K3USBW3W1B3S0","5","SUMME","SUMME")</f>
        <v>#NAME?</v>
      </c>
      <c r="J33" s="6" t="e">
        <f ca="1">[1]!BexGetData("DP_1","00O2TNJGODT0K3USBW3W1BA3K","5","SUMME","SUMME")</f>
        <v>#NAME?</v>
      </c>
    </row>
    <row r="34" spans="1:10" x14ac:dyDescent="0.25">
      <c r="A34" s="1" t="s">
        <v>54</v>
      </c>
      <c r="B34" s="1" t="s">
        <v>44</v>
      </c>
      <c r="C34" s="1" t="s">
        <v>44</v>
      </c>
      <c r="D34" s="2" t="e">
        <f ca="1">[1]!BexGetData("DP_1","00O2TNJGODT0K3USBW3W18AN4","6","61","1")</f>
        <v>#NAME?</v>
      </c>
      <c r="E34" s="3" t="e">
        <f ca="1">[1]!BexGetData("DP_1","00O2TNJGODT0K3USBW3W1A1UO","6","61","1")</f>
        <v>#NAME?</v>
      </c>
      <c r="F34" s="2" t="e">
        <f ca="1">[1]!BexGetData("DP_1","00O2TNJGODT0K3USBW3W1A868","6","61","1")</f>
        <v>#NAME?</v>
      </c>
      <c r="G34" s="2" t="e">
        <f ca="1">[1]!BexGetData("DP_1","00O2TNJGODT0K3USBW3W1AKTC","6","61","1")</f>
        <v>#NAME?</v>
      </c>
      <c r="H34" s="2" t="e">
        <f ca="1">[1]!BexGetData("DP_1","00O2TNJGODT0K3USBW3W1AR4W","6","61","1")</f>
        <v>#NAME?</v>
      </c>
      <c r="I34" s="4" t="e">
        <f ca="1">[1]!BexGetData("DP_1","00O2TNJGODT0K3USBW3W1B3S0","6","61","1")</f>
        <v>#NAME?</v>
      </c>
      <c r="J34" s="2" t="e">
        <f ca="1">[1]!BexGetData("DP_1","00O2TNJGODT0K3USBW3W1BA3K","6","61","1")</f>
        <v>#NAME?</v>
      </c>
    </row>
    <row r="35" spans="1:10" x14ac:dyDescent="0.25">
      <c r="A35" s="1" t="s">
        <v>46</v>
      </c>
      <c r="B35" s="1" t="s">
        <v>46</v>
      </c>
      <c r="C35" s="1" t="s">
        <v>49</v>
      </c>
      <c r="D35" s="2" t="e">
        <f ca="1">[1]!BexGetData("DP_1","00O2TNJGODT0K3USBW3W18AN4","6","61","5")</f>
        <v>#NAME?</v>
      </c>
      <c r="E35" s="3" t="e">
        <f ca="1">[1]!BexGetData("DP_1","00O2TNJGODT0K3USBW3W1A1UO","6","61","5")</f>
        <v>#NAME?</v>
      </c>
      <c r="F35" s="2" t="e">
        <f ca="1">[1]!BexGetData("DP_1","00O2TNJGODT0K3USBW3W1A868","6","61","5")</f>
        <v>#NAME?</v>
      </c>
      <c r="G35" s="2" t="e">
        <f ca="1">[1]!BexGetData("DP_1","00O2TNJGODT0K3USBW3W1AKTC","6","61","5")</f>
        <v>#NAME?</v>
      </c>
      <c r="H35" s="2" t="e">
        <f ca="1">[1]!BexGetData("DP_1","00O2TNJGODT0K3USBW3W1AR4W","6","61","5")</f>
        <v>#NAME?</v>
      </c>
      <c r="I35" s="4" t="e">
        <f ca="1">[1]!BexGetData("DP_1","00O2TNJGODT0K3USBW3W1B3S0","6","61","5")</f>
        <v>#NAME?</v>
      </c>
      <c r="J35" s="2" t="e">
        <f ca="1">[1]!BexGetData("DP_1","00O2TNJGODT0K3USBW3W1BA3K","6","61","5")</f>
        <v>#NAME?</v>
      </c>
    </row>
    <row r="36" spans="1:10" x14ac:dyDescent="0.25">
      <c r="A36" s="1" t="s">
        <v>46</v>
      </c>
      <c r="B36" s="1" t="s">
        <v>46</v>
      </c>
      <c r="C36" s="5" t="s">
        <v>47</v>
      </c>
      <c r="D36" s="6" t="e">
        <f ca="1">[1]!BexGetData("DP_1","00O2TNJGODT0K3USBW3W18AN4","6","61","SUMME")</f>
        <v>#NAME?</v>
      </c>
      <c r="E36" s="7" t="e">
        <f ca="1">[1]!BexGetData("DP_1","00O2TNJGODT0K3USBW3W1A1UO","6","61","SUMME")</f>
        <v>#NAME?</v>
      </c>
      <c r="F36" s="6" t="e">
        <f ca="1">[1]!BexGetData("DP_1","00O2TNJGODT0K3USBW3W1A868","6","61","SUMME")</f>
        <v>#NAME?</v>
      </c>
      <c r="G36" s="6" t="e">
        <f ca="1">[1]!BexGetData("DP_1","00O2TNJGODT0K3USBW3W1AKTC","6","61","SUMME")</f>
        <v>#NAME?</v>
      </c>
      <c r="H36" s="6" t="e">
        <f ca="1">[1]!BexGetData("DP_1","00O2TNJGODT0K3USBW3W1AR4W","6","61","SUMME")</f>
        <v>#NAME?</v>
      </c>
      <c r="I36" s="8" t="e">
        <f ca="1">[1]!BexGetData("DP_1","00O2TNJGODT0K3USBW3W1B3S0","6","61","SUMME")</f>
        <v>#NAME?</v>
      </c>
      <c r="J36" s="6" t="e">
        <f ca="1">[1]!BexGetData("DP_1","00O2TNJGODT0K3USBW3W1BA3K","6","61","SUMME")</f>
        <v>#NAME?</v>
      </c>
    </row>
    <row r="37" spans="1:10" x14ac:dyDescent="0.25">
      <c r="A37" s="1" t="s">
        <v>46</v>
      </c>
      <c r="B37" s="1" t="s">
        <v>52</v>
      </c>
      <c r="C37" s="1" t="s">
        <v>44</v>
      </c>
      <c r="D37" s="2" t="e">
        <f ca="1">[1]!BexGetData("DP_1","00O2TNJGODT0K3USBW3W18AN4","6","69","1")</f>
        <v>#NAME?</v>
      </c>
      <c r="E37" s="3" t="e">
        <f ca="1">[1]!BexGetData("DP_1","00O2TNJGODT0K3USBW3W1A1UO","6","69","1")</f>
        <v>#NAME?</v>
      </c>
      <c r="F37" s="2" t="e">
        <f ca="1">[1]!BexGetData("DP_1","00O2TNJGODT0K3USBW3W1A868","6","69","1")</f>
        <v>#NAME?</v>
      </c>
      <c r="G37" s="2" t="e">
        <f ca="1">[1]!BexGetData("DP_1","00O2TNJGODT0K3USBW3W1AKTC","6","69","1")</f>
        <v>#NAME?</v>
      </c>
      <c r="H37" s="2" t="e">
        <f ca="1">[1]!BexGetData("DP_1","00O2TNJGODT0K3USBW3W1AR4W","6","69","1")</f>
        <v>#NAME?</v>
      </c>
      <c r="I37" s="4" t="e">
        <f ca="1">[1]!BexGetData("DP_1","00O2TNJGODT0K3USBW3W1B3S0","6","69","1")</f>
        <v>#NAME?</v>
      </c>
      <c r="J37" s="2" t="e">
        <f ca="1">[1]!BexGetData("DP_1","00O2TNJGODT0K3USBW3W1BA3K","6","69","1")</f>
        <v>#NAME?</v>
      </c>
    </row>
    <row r="38" spans="1:10" x14ac:dyDescent="0.25">
      <c r="A38" s="1" t="s">
        <v>46</v>
      </c>
      <c r="B38" s="1" t="s">
        <v>46</v>
      </c>
      <c r="C38" s="5" t="s">
        <v>47</v>
      </c>
      <c r="D38" s="6" t="e">
        <f ca="1">[1]!BexGetData("DP_1","00O2TNJGODT0K3USBW3W18AN4","6","69","SUMME")</f>
        <v>#NAME?</v>
      </c>
      <c r="E38" s="7" t="e">
        <f ca="1">[1]!BexGetData("DP_1","00O2TNJGODT0K3USBW3W1A1UO","6","69","SUMME")</f>
        <v>#NAME?</v>
      </c>
      <c r="F38" s="6" t="e">
        <f ca="1">[1]!BexGetData("DP_1","00O2TNJGODT0K3USBW3W1A868","6","69","SUMME")</f>
        <v>#NAME?</v>
      </c>
      <c r="G38" s="6" t="e">
        <f ca="1">[1]!BexGetData("DP_1","00O2TNJGODT0K3USBW3W1AKTC","6","69","SUMME")</f>
        <v>#NAME?</v>
      </c>
      <c r="H38" s="6" t="e">
        <f ca="1">[1]!BexGetData("DP_1","00O2TNJGODT0K3USBW3W1AR4W","6","69","SUMME")</f>
        <v>#NAME?</v>
      </c>
      <c r="I38" s="8" t="e">
        <f ca="1">[1]!BexGetData("DP_1","00O2TNJGODT0K3USBW3W1B3S0","6","69","SUMME")</f>
        <v>#NAME?</v>
      </c>
      <c r="J38" s="6" t="e">
        <f ca="1">[1]!BexGetData("DP_1","00O2TNJGODT0K3USBW3W1BA3K","6","69","SUMME")</f>
        <v>#NAME?</v>
      </c>
    </row>
    <row r="39" spans="1:10" x14ac:dyDescent="0.25">
      <c r="A39" s="1" t="s">
        <v>46</v>
      </c>
      <c r="B39" s="5" t="s">
        <v>47</v>
      </c>
      <c r="C39" s="5" t="s">
        <v>46</v>
      </c>
      <c r="D39" s="6" t="e">
        <f ca="1">[1]!BexGetData("DP_1","00O2TNJGODT0K3USBW3W18AN4","6","SUMME","SUMME")</f>
        <v>#NAME?</v>
      </c>
      <c r="E39" s="7" t="e">
        <f ca="1">[1]!BexGetData("DP_1","00O2TNJGODT0K3USBW3W1A1UO","6","SUMME","SUMME")</f>
        <v>#NAME?</v>
      </c>
      <c r="F39" s="6" t="e">
        <f ca="1">[1]!BexGetData("DP_1","00O2TNJGODT0K3USBW3W1A868","6","SUMME","SUMME")</f>
        <v>#NAME?</v>
      </c>
      <c r="G39" s="6" t="e">
        <f ca="1">[1]!BexGetData("DP_1","00O2TNJGODT0K3USBW3W1AKTC","6","SUMME","SUMME")</f>
        <v>#NAME?</v>
      </c>
      <c r="H39" s="6" t="e">
        <f ca="1">[1]!BexGetData("DP_1","00O2TNJGODT0K3USBW3W1AR4W","6","SUMME","SUMME")</f>
        <v>#NAME?</v>
      </c>
      <c r="I39" s="8" t="e">
        <f ca="1">[1]!BexGetData("DP_1","00O2TNJGODT0K3USBW3W1B3S0","6","SUMME","SUMME")</f>
        <v>#NAME?</v>
      </c>
      <c r="J39" s="6" t="e">
        <f ca="1">[1]!BexGetData("DP_1","00O2TNJGODT0K3USBW3W1BA3K","6","SUMME","SUMME")</f>
        <v>#NAME?</v>
      </c>
    </row>
    <row r="40" spans="1:10" x14ac:dyDescent="0.25">
      <c r="A40" s="1" t="s">
        <v>50</v>
      </c>
      <c r="B40" s="1" t="s">
        <v>48</v>
      </c>
      <c r="C40" s="1" t="s">
        <v>44</v>
      </c>
      <c r="D40" s="2" t="e">
        <f ca="1">[1]!BexGetData("DP_1","00O2TNJGODT0K3USBW3W18AN4","7","73","1")</f>
        <v>#NAME?</v>
      </c>
      <c r="E40" s="3" t="e">
        <f ca="1">[1]!BexGetData("DP_1","00O2TNJGODT0K3USBW3W1A1UO","7","73","1")</f>
        <v>#NAME?</v>
      </c>
      <c r="F40" s="2" t="e">
        <f ca="1">[1]!BexGetData("DP_1","00O2TNJGODT0K3USBW3W1A868","7","73","1")</f>
        <v>#NAME?</v>
      </c>
      <c r="G40" s="2" t="e">
        <f ca="1">[1]!BexGetData("DP_1","00O2TNJGODT0K3USBW3W1AKTC","7","73","1")</f>
        <v>#NAME?</v>
      </c>
      <c r="H40" s="2" t="e">
        <f ca="1">[1]!BexGetData("DP_1","00O2TNJGODT0K3USBW3W1AR4W","7","73","1")</f>
        <v>#NAME?</v>
      </c>
      <c r="I40" s="4" t="e">
        <f ca="1">[1]!BexGetData("DP_1","00O2TNJGODT0K3USBW3W1B3S0","7","73","1")</f>
        <v>#NAME?</v>
      </c>
      <c r="J40" s="2" t="e">
        <f ca="1">[1]!BexGetData("DP_1","00O2TNJGODT0K3USBW3W1BA3K","7","73","1")</f>
        <v>#NAME?</v>
      </c>
    </row>
    <row r="41" spans="1:10" x14ac:dyDescent="0.25">
      <c r="A41" s="1" t="s">
        <v>46</v>
      </c>
      <c r="B41" s="1" t="s">
        <v>46</v>
      </c>
      <c r="C41" s="5" t="s">
        <v>47</v>
      </c>
      <c r="D41" s="6" t="e">
        <f ca="1">[1]!BexGetData("DP_1","00O2TNJGODT0K3USBW3W18AN4","7","73","SUMME")</f>
        <v>#NAME?</v>
      </c>
      <c r="E41" s="7" t="e">
        <f ca="1">[1]!BexGetData("DP_1","00O2TNJGODT0K3USBW3W1A1UO","7","73","SUMME")</f>
        <v>#NAME?</v>
      </c>
      <c r="F41" s="6" t="e">
        <f ca="1">[1]!BexGetData("DP_1","00O2TNJGODT0K3USBW3W1A868","7","73","SUMME")</f>
        <v>#NAME?</v>
      </c>
      <c r="G41" s="6" t="e">
        <f ca="1">[1]!BexGetData("DP_1","00O2TNJGODT0K3USBW3W1AKTC","7","73","SUMME")</f>
        <v>#NAME?</v>
      </c>
      <c r="H41" s="6" t="e">
        <f ca="1">[1]!BexGetData("DP_1","00O2TNJGODT0K3USBW3W1AR4W","7","73","SUMME")</f>
        <v>#NAME?</v>
      </c>
      <c r="I41" s="8" t="e">
        <f ca="1">[1]!BexGetData("DP_1","00O2TNJGODT0K3USBW3W1B3S0","7","73","SUMME")</f>
        <v>#NAME?</v>
      </c>
      <c r="J41" s="6" t="e">
        <f ca="1">[1]!BexGetData("DP_1","00O2TNJGODT0K3USBW3W1BA3K","7","73","SUMME")</f>
        <v>#NAME?</v>
      </c>
    </row>
    <row r="42" spans="1:10" x14ac:dyDescent="0.25">
      <c r="A42" s="1" t="s">
        <v>46</v>
      </c>
      <c r="B42" s="5" t="s">
        <v>47</v>
      </c>
      <c r="C42" s="5" t="s">
        <v>46</v>
      </c>
      <c r="D42" s="6" t="e">
        <f ca="1">[1]!BexGetData("DP_1","00O2TNJGODT0K3USBW3W18AN4","7","SUMME","SUMME")</f>
        <v>#NAME?</v>
      </c>
      <c r="E42" s="7" t="e">
        <f ca="1">[1]!BexGetData("DP_1","00O2TNJGODT0K3USBW3W1A1UO","7","SUMME","SUMME")</f>
        <v>#NAME?</v>
      </c>
      <c r="F42" s="6" t="e">
        <f ca="1">[1]!BexGetData("DP_1","00O2TNJGODT0K3USBW3W1A868","7","SUMME","SUMME")</f>
        <v>#NAME?</v>
      </c>
      <c r="G42" s="6" t="e">
        <f ca="1">[1]!BexGetData("DP_1","00O2TNJGODT0K3USBW3W1AKTC","7","SUMME","SUMME")</f>
        <v>#NAME?</v>
      </c>
      <c r="H42" s="6" t="e">
        <f ca="1">[1]!BexGetData("DP_1","00O2TNJGODT0K3USBW3W1AR4W","7","SUMME","SUMME")</f>
        <v>#NAME?</v>
      </c>
      <c r="I42" s="8" t="e">
        <f ca="1">[1]!BexGetData("DP_1","00O2TNJGODT0K3USBW3W1B3S0","7","SUMME","SUMME")</f>
        <v>#NAME?</v>
      </c>
      <c r="J42" s="6" t="e">
        <f ca="1">[1]!BexGetData("DP_1","00O2TNJGODT0K3USBW3W1BA3K","7","SUMME","SUMME")</f>
        <v>#NAME?</v>
      </c>
    </row>
    <row r="43" spans="1:10" x14ac:dyDescent="0.25">
      <c r="A43" s="1" t="s">
        <v>51</v>
      </c>
      <c r="B43" s="1" t="s">
        <v>44</v>
      </c>
      <c r="C43" s="1" t="s">
        <v>44</v>
      </c>
      <c r="D43" s="2" t="e">
        <f ca="1">[1]!BexGetData("DP_1","00O2TNJGODT0K3USBW3W18AN4","8","81","1")</f>
        <v>#NAME?</v>
      </c>
      <c r="E43" s="3" t="e">
        <f ca="1">[1]!BexGetData("DP_1","00O2TNJGODT0K3USBW3W1A1UO","8","81","1")</f>
        <v>#NAME?</v>
      </c>
      <c r="F43" s="2" t="e">
        <f ca="1">[1]!BexGetData("DP_1","00O2TNJGODT0K3USBW3W1A868","8","81","1")</f>
        <v>#NAME?</v>
      </c>
      <c r="G43" s="2" t="e">
        <f ca="1">[1]!BexGetData("DP_1","00O2TNJGODT0K3USBW3W1AKTC","8","81","1")</f>
        <v>#NAME?</v>
      </c>
      <c r="H43" s="2" t="e">
        <f ca="1">[1]!BexGetData("DP_1","00O2TNJGODT0K3USBW3W1AR4W","8","81","1")</f>
        <v>#NAME?</v>
      </c>
      <c r="I43" s="4" t="e">
        <f ca="1">[1]!BexGetData("DP_1","00O2TNJGODT0K3USBW3W1B3S0","8","81","1")</f>
        <v>#NAME?</v>
      </c>
      <c r="J43" s="2" t="e">
        <f ca="1">[1]!BexGetData("DP_1","00O2TNJGODT0K3USBW3W1BA3K","8","81","1")</f>
        <v>#NAME?</v>
      </c>
    </row>
    <row r="44" spans="1:10" x14ac:dyDescent="0.25">
      <c r="A44" s="1" t="s">
        <v>46</v>
      </c>
      <c r="B44" s="1" t="s">
        <v>46</v>
      </c>
      <c r="C44" s="1" t="s">
        <v>45</v>
      </c>
      <c r="D44" s="2" t="e">
        <f ca="1">[1]!BexGetData("DP_1","00O2TNJGODT0K3USBW3W18AN4","8","81","2")</f>
        <v>#NAME?</v>
      </c>
      <c r="E44" s="3" t="e">
        <f ca="1">[1]!BexGetData("DP_1","00O2TNJGODT0K3USBW3W1A1UO","8","81","2")</f>
        <v>#NAME?</v>
      </c>
      <c r="F44" s="2" t="e">
        <f ca="1">[1]!BexGetData("DP_1","00O2TNJGODT0K3USBW3W1A868","8","81","2")</f>
        <v>#NAME?</v>
      </c>
      <c r="G44" s="2" t="e">
        <f ca="1">[1]!BexGetData("DP_1","00O2TNJGODT0K3USBW3W1AKTC","8","81","2")</f>
        <v>#NAME?</v>
      </c>
      <c r="H44" s="2" t="e">
        <f ca="1">[1]!BexGetData("DP_1","00O2TNJGODT0K3USBW3W1AR4W","8","81","2")</f>
        <v>#NAME?</v>
      </c>
      <c r="I44" s="4" t="e">
        <f ca="1">[1]!BexGetData("DP_1","00O2TNJGODT0K3USBW3W1B3S0","8","81","2")</f>
        <v>#NAME?</v>
      </c>
      <c r="J44" s="2" t="e">
        <f ca="1">[1]!BexGetData("DP_1","00O2TNJGODT0K3USBW3W1BA3K","8","81","2")</f>
        <v>#NAME?</v>
      </c>
    </row>
    <row r="45" spans="1:10" x14ac:dyDescent="0.25">
      <c r="A45" s="1" t="s">
        <v>46</v>
      </c>
      <c r="B45" s="1" t="s">
        <v>46</v>
      </c>
      <c r="C45" s="1" t="s">
        <v>49</v>
      </c>
      <c r="D45" s="2" t="e">
        <f ca="1">[1]!BexGetData("DP_1","00O2TNJGODT0K3USBW3W18AN4","8","81","5")</f>
        <v>#NAME?</v>
      </c>
      <c r="E45" s="3" t="e">
        <f ca="1">[1]!BexGetData("DP_1","00O2TNJGODT0K3USBW3W1A1UO","8","81","5")</f>
        <v>#NAME?</v>
      </c>
      <c r="F45" s="2" t="e">
        <f ca="1">[1]!BexGetData("DP_1","00O2TNJGODT0K3USBW3W1A868","8","81","5")</f>
        <v>#NAME?</v>
      </c>
      <c r="G45" s="2" t="e">
        <f ca="1">[1]!BexGetData("DP_1","00O2TNJGODT0K3USBW3W1AKTC","8","81","5")</f>
        <v>#NAME?</v>
      </c>
      <c r="H45" s="2" t="e">
        <f ca="1">[1]!BexGetData("DP_1","00O2TNJGODT0K3USBW3W1AR4W","8","81","5")</f>
        <v>#NAME?</v>
      </c>
      <c r="I45" s="4" t="e">
        <f ca="1">[1]!BexGetData("DP_1","00O2TNJGODT0K3USBW3W1B3S0","8","81","5")</f>
        <v>#NAME?</v>
      </c>
      <c r="J45" s="2" t="e">
        <f ca="1">[1]!BexGetData("DP_1","00O2TNJGODT0K3USBW3W1BA3K","8","81","5")</f>
        <v>#NAME?</v>
      </c>
    </row>
    <row r="46" spans="1:10" x14ac:dyDescent="0.25">
      <c r="A46" s="1" t="s">
        <v>46</v>
      </c>
      <c r="B46" s="1" t="s">
        <v>46</v>
      </c>
      <c r="C46" s="1" t="s">
        <v>54</v>
      </c>
      <c r="D46" s="2" t="e">
        <f ca="1">[1]!BexGetData("DP_1","00O2TNJGODT0K3USBW3W18AN4","8","81","6")</f>
        <v>#NAME?</v>
      </c>
      <c r="E46" s="3" t="e">
        <f ca="1">[1]!BexGetData("DP_1","00O2TNJGODT0K3USBW3W1A1UO","8","81","6")</f>
        <v>#NAME?</v>
      </c>
      <c r="F46" s="2" t="e">
        <f ca="1">[1]!BexGetData("DP_1","00O2TNJGODT0K3USBW3W1A868","8","81","6")</f>
        <v>#NAME?</v>
      </c>
      <c r="G46" s="2" t="e">
        <f ca="1">[1]!BexGetData("DP_1","00O2TNJGODT0K3USBW3W1AKTC","8","81","6")</f>
        <v>#NAME?</v>
      </c>
      <c r="H46" s="2" t="e">
        <f ca="1">[1]!BexGetData("DP_1","00O2TNJGODT0K3USBW3W1AR4W","8","81","6")</f>
        <v>#NAME?</v>
      </c>
      <c r="I46" s="4" t="e">
        <f ca="1">[1]!BexGetData("DP_1","00O2TNJGODT0K3USBW3W1B3S0","8","81","6")</f>
        <v>#NAME?</v>
      </c>
      <c r="J46" s="2" t="e">
        <f ca="1">[1]!BexGetData("DP_1","00O2TNJGODT0K3USBW3W1BA3K","8","81","6")</f>
        <v>#NAME?</v>
      </c>
    </row>
    <row r="47" spans="1:10" x14ac:dyDescent="0.25">
      <c r="A47" s="1" t="s">
        <v>46</v>
      </c>
      <c r="B47" s="1" t="s">
        <v>46</v>
      </c>
      <c r="C47" s="5" t="s">
        <v>47</v>
      </c>
      <c r="D47" s="6" t="e">
        <f ca="1">[1]!BexGetData("DP_1","00O2TNJGODT0K3USBW3W18AN4","8","81","SUMME")</f>
        <v>#NAME?</v>
      </c>
      <c r="E47" s="7" t="e">
        <f ca="1">[1]!BexGetData("DP_1","00O2TNJGODT0K3USBW3W1A1UO","8","81","SUMME")</f>
        <v>#NAME?</v>
      </c>
      <c r="F47" s="6" t="e">
        <f ca="1">[1]!BexGetData("DP_1","00O2TNJGODT0K3USBW3W1A868","8","81","SUMME")</f>
        <v>#NAME?</v>
      </c>
      <c r="G47" s="6" t="e">
        <f ca="1">[1]!BexGetData("DP_1","00O2TNJGODT0K3USBW3W1AKTC","8","81","SUMME")</f>
        <v>#NAME?</v>
      </c>
      <c r="H47" s="6" t="e">
        <f ca="1">[1]!BexGetData("DP_1","00O2TNJGODT0K3USBW3W1AR4W","8","81","SUMME")</f>
        <v>#NAME?</v>
      </c>
      <c r="I47" s="8" t="e">
        <f ca="1">[1]!BexGetData("DP_1","00O2TNJGODT0K3USBW3W1B3S0","8","81","SUMME")</f>
        <v>#NAME?</v>
      </c>
      <c r="J47" s="6" t="e">
        <f ca="1">[1]!BexGetData("DP_1","00O2TNJGODT0K3USBW3W1BA3K","8","81","SUMME")</f>
        <v>#NAME?</v>
      </c>
    </row>
    <row r="48" spans="1:10" x14ac:dyDescent="0.25">
      <c r="A48" s="1" t="s">
        <v>46</v>
      </c>
      <c r="B48" s="1" t="s">
        <v>45</v>
      </c>
      <c r="C48" s="1" t="s">
        <v>45</v>
      </c>
      <c r="D48" s="2" t="e">
        <f ca="1">[1]!BexGetData("DP_1","00O2TNJGODT0K3USBW3W18AN4","8","82","2")</f>
        <v>#NAME?</v>
      </c>
      <c r="E48" s="3" t="e">
        <f ca="1">[1]!BexGetData("DP_1","00O2TNJGODT0K3USBW3W1A1UO","8","82","2")</f>
        <v>#NAME?</v>
      </c>
      <c r="F48" s="2" t="e">
        <f ca="1">[1]!BexGetData("DP_1","00O2TNJGODT0K3USBW3W1A868","8","82","2")</f>
        <v>#NAME?</v>
      </c>
      <c r="G48" s="2" t="e">
        <f ca="1">[1]!BexGetData("DP_1","00O2TNJGODT0K3USBW3W1AKTC","8","82","2")</f>
        <v>#NAME?</v>
      </c>
      <c r="H48" s="2" t="e">
        <f ca="1">[1]!BexGetData("DP_1","00O2TNJGODT0K3USBW3W1AR4W","8","82","2")</f>
        <v>#NAME?</v>
      </c>
      <c r="I48" s="4" t="e">
        <f ca="1">[1]!BexGetData("DP_1","00O2TNJGODT0K3USBW3W1B3S0","8","82","2")</f>
        <v>#NAME?</v>
      </c>
      <c r="J48" s="2" t="e">
        <f ca="1">[1]!BexGetData("DP_1","00O2TNJGODT0K3USBW3W1BA3K","8","82","2")</f>
        <v>#NAME?</v>
      </c>
    </row>
    <row r="49" spans="1:10" x14ac:dyDescent="0.25">
      <c r="A49" s="1" t="s">
        <v>46</v>
      </c>
      <c r="B49" s="1" t="s">
        <v>46</v>
      </c>
      <c r="C49" s="1" t="s">
        <v>49</v>
      </c>
      <c r="D49" s="2" t="e">
        <f ca="1">[1]!BexGetData("DP_1","00O2TNJGODT0K3USBW3W18AN4","8","82","5")</f>
        <v>#NAME?</v>
      </c>
      <c r="E49" s="3" t="e">
        <f ca="1">[1]!BexGetData("DP_1","00O2TNJGODT0K3USBW3W1A1UO","8","82","5")</f>
        <v>#NAME?</v>
      </c>
      <c r="F49" s="2" t="e">
        <f ca="1">[1]!BexGetData("DP_1","00O2TNJGODT0K3USBW3W1A868","8","82","5")</f>
        <v>#NAME?</v>
      </c>
      <c r="G49" s="2" t="e">
        <f ca="1">[1]!BexGetData("DP_1","00O2TNJGODT0K3USBW3W1AKTC","8","82","5")</f>
        <v>#NAME?</v>
      </c>
      <c r="H49" s="2" t="e">
        <f ca="1">[1]!BexGetData("DP_1","00O2TNJGODT0K3USBW3W1AR4W","8","82","5")</f>
        <v>#NAME?</v>
      </c>
      <c r="I49" s="4" t="e">
        <f ca="1">[1]!BexGetData("DP_1","00O2TNJGODT0K3USBW3W1B3S0","8","82","5")</f>
        <v>#NAME?</v>
      </c>
      <c r="J49" s="2" t="e">
        <f ca="1">[1]!BexGetData("DP_1","00O2TNJGODT0K3USBW3W1BA3K","8","82","5")</f>
        <v>#NAME?</v>
      </c>
    </row>
    <row r="50" spans="1:10" x14ac:dyDescent="0.25">
      <c r="A50" s="1" t="s">
        <v>46</v>
      </c>
      <c r="B50" s="1" t="s">
        <v>46</v>
      </c>
      <c r="C50" s="5" t="s">
        <v>47</v>
      </c>
      <c r="D50" s="6" t="e">
        <f ca="1">[1]!BexGetData("DP_1","00O2TNJGODT0K3USBW3W18AN4","8","82","SUMME")</f>
        <v>#NAME?</v>
      </c>
      <c r="E50" s="7" t="e">
        <f ca="1">[1]!BexGetData("DP_1","00O2TNJGODT0K3USBW3W1A1UO","8","82","SUMME")</f>
        <v>#NAME?</v>
      </c>
      <c r="F50" s="6" t="e">
        <f ca="1">[1]!BexGetData("DP_1","00O2TNJGODT0K3USBW3W1A868","8","82","SUMME")</f>
        <v>#NAME?</v>
      </c>
      <c r="G50" s="6" t="e">
        <f ca="1">[1]!BexGetData("DP_1","00O2TNJGODT0K3USBW3W1AKTC","8","82","SUMME")</f>
        <v>#NAME?</v>
      </c>
      <c r="H50" s="6" t="e">
        <f ca="1">[1]!BexGetData("DP_1","00O2TNJGODT0K3USBW3W1AR4W","8","82","SUMME")</f>
        <v>#NAME?</v>
      </c>
      <c r="I50" s="8" t="e">
        <f ca="1">[1]!BexGetData("DP_1","00O2TNJGODT0K3USBW3W1B3S0","8","82","SUMME")</f>
        <v>#NAME?</v>
      </c>
      <c r="J50" s="6" t="e">
        <f ca="1">[1]!BexGetData("DP_1","00O2TNJGODT0K3USBW3W1BA3K","8","82","SUMME")</f>
        <v>#NAME?</v>
      </c>
    </row>
    <row r="51" spans="1:10" x14ac:dyDescent="0.25">
      <c r="A51" s="1" t="s">
        <v>46</v>
      </c>
      <c r="B51" s="1" t="s">
        <v>48</v>
      </c>
      <c r="C51" s="1" t="s">
        <v>44</v>
      </c>
      <c r="D51" s="9" t="e">
        <f ca="1">[1]!BexGetData("DP_1","00O2TNJGODT0K3USBW3W18AN4","8","83","1")</f>
        <v>#NAME?</v>
      </c>
      <c r="E51" s="3" t="e">
        <f ca="1">[1]!BexGetData("DP_1","00O2TNJGODT0K3USBW3W1A1UO","8","83","1")</f>
        <v>#NAME?</v>
      </c>
      <c r="F51" s="3" t="e">
        <f ca="1">[1]!BexGetData("DP_1","00O2TNJGODT0K3USBW3W1A868","8","83","1")</f>
        <v>#NAME?</v>
      </c>
      <c r="G51" s="2" t="e">
        <f ca="1">[1]!BexGetData("DP_1","00O2TNJGODT0K3USBW3W1AKTC","8","83","1")</f>
        <v>#NAME?</v>
      </c>
      <c r="H51" s="2" t="e">
        <f ca="1">[1]!BexGetData("DP_1","00O2TNJGODT0K3USBW3W1AR4W","8","83","1")</f>
        <v>#NAME?</v>
      </c>
      <c r="I51" s="10" t="e">
        <f ca="1">[1]!BexGetData("DP_1","00O2TNJGODT0K3USBW3W1B3S0","8","83","1")</f>
        <v>#NAME?</v>
      </c>
      <c r="J51" s="2" t="e">
        <f ca="1">[1]!BexGetData("DP_1","00O2TNJGODT0K3USBW3W1BA3K","8","83","1")</f>
        <v>#NAME?</v>
      </c>
    </row>
    <row r="52" spans="1:10" x14ac:dyDescent="0.25">
      <c r="A52" s="1" t="s">
        <v>46</v>
      </c>
      <c r="B52" s="1" t="s">
        <v>46</v>
      </c>
      <c r="C52" s="1" t="s">
        <v>53</v>
      </c>
      <c r="D52" s="9" t="e">
        <f ca="1">[1]!BexGetData("DP_1","00O2TNJGODT0K3USBW3W18AN4","8","83","4")</f>
        <v>#NAME?</v>
      </c>
      <c r="E52" s="3" t="e">
        <f ca="1">[1]!BexGetData("DP_1","00O2TNJGODT0K3USBW3W1A1UO","8","83","4")</f>
        <v>#NAME?</v>
      </c>
      <c r="F52" s="3" t="e">
        <f ca="1">[1]!BexGetData("DP_1","00O2TNJGODT0K3USBW3W1A868","8","83","4")</f>
        <v>#NAME?</v>
      </c>
      <c r="G52" s="2" t="e">
        <f ca="1">[1]!BexGetData("DP_1","00O2TNJGODT0K3USBW3W1AKTC","8","83","4")</f>
        <v>#NAME?</v>
      </c>
      <c r="H52" s="2" t="e">
        <f ca="1">[1]!BexGetData("DP_1","00O2TNJGODT0K3USBW3W1AR4W","8","83","4")</f>
        <v>#NAME?</v>
      </c>
      <c r="I52" s="10" t="e">
        <f ca="1">[1]!BexGetData("DP_1","00O2TNJGODT0K3USBW3W1B3S0","8","83","4")</f>
        <v>#NAME?</v>
      </c>
      <c r="J52" s="2" t="e">
        <f ca="1">[1]!BexGetData("DP_1","00O2TNJGODT0K3USBW3W1BA3K","8","83","4")</f>
        <v>#NAME?</v>
      </c>
    </row>
    <row r="53" spans="1:10" x14ac:dyDescent="0.25">
      <c r="A53" s="1" t="s">
        <v>46</v>
      </c>
      <c r="B53" s="1" t="s">
        <v>46</v>
      </c>
      <c r="C53" s="1" t="s">
        <v>49</v>
      </c>
      <c r="D53" s="2" t="e">
        <f ca="1">[1]!BexGetData("DP_1","00O2TNJGODT0K3USBW3W18AN4","8","83","5")</f>
        <v>#NAME?</v>
      </c>
      <c r="E53" s="3" t="e">
        <f ca="1">[1]!BexGetData("DP_1","00O2TNJGODT0K3USBW3W1A1UO","8","83","5")</f>
        <v>#NAME?</v>
      </c>
      <c r="F53" s="2" t="e">
        <f ca="1">[1]!BexGetData("DP_1","00O2TNJGODT0K3USBW3W1A868","8","83","5")</f>
        <v>#NAME?</v>
      </c>
      <c r="G53" s="2" t="e">
        <f ca="1">[1]!BexGetData("DP_1","00O2TNJGODT0K3USBW3W1AKTC","8","83","5")</f>
        <v>#NAME?</v>
      </c>
      <c r="H53" s="2" t="e">
        <f ca="1">[1]!BexGetData("DP_1","00O2TNJGODT0K3USBW3W1AR4W","8","83","5")</f>
        <v>#NAME?</v>
      </c>
      <c r="I53" s="4" t="e">
        <f ca="1">[1]!BexGetData("DP_1","00O2TNJGODT0K3USBW3W1B3S0","8","83","5")</f>
        <v>#NAME?</v>
      </c>
      <c r="J53" s="2" t="e">
        <f ca="1">[1]!BexGetData("DP_1","00O2TNJGODT0K3USBW3W1BA3K","8","83","5")</f>
        <v>#NAME?</v>
      </c>
    </row>
    <row r="54" spans="1:10" x14ac:dyDescent="0.25">
      <c r="A54" s="1" t="s">
        <v>46</v>
      </c>
      <c r="B54" s="1" t="s">
        <v>46</v>
      </c>
      <c r="C54" s="5" t="s">
        <v>47</v>
      </c>
      <c r="D54" s="6" t="e">
        <f ca="1">[1]!BexGetData("DP_1","00O2TNJGODT0K3USBW3W18AN4","8","83","SUMME")</f>
        <v>#NAME?</v>
      </c>
      <c r="E54" s="7" t="e">
        <f ca="1">[1]!BexGetData("DP_1","00O2TNJGODT0K3USBW3W1A1UO","8","83","SUMME")</f>
        <v>#NAME?</v>
      </c>
      <c r="F54" s="6" t="e">
        <f ca="1">[1]!BexGetData("DP_1","00O2TNJGODT0K3USBW3W1A868","8","83","SUMME")</f>
        <v>#NAME?</v>
      </c>
      <c r="G54" s="6" t="e">
        <f ca="1">[1]!BexGetData("DP_1","00O2TNJGODT0K3USBW3W1AKTC","8","83","SUMME")</f>
        <v>#NAME?</v>
      </c>
      <c r="H54" s="6" t="e">
        <f ca="1">[1]!BexGetData("DP_1","00O2TNJGODT0K3USBW3W1AR4W","8","83","SUMME")</f>
        <v>#NAME?</v>
      </c>
      <c r="I54" s="8" t="e">
        <f ca="1">[1]!BexGetData("DP_1","00O2TNJGODT0K3USBW3W1B3S0","8","83","SUMME")</f>
        <v>#NAME?</v>
      </c>
      <c r="J54" s="6" t="e">
        <f ca="1">[1]!BexGetData("DP_1","00O2TNJGODT0K3USBW3W1BA3K","8","83","SUMME")</f>
        <v>#NAME?</v>
      </c>
    </row>
    <row r="55" spans="1:10" x14ac:dyDescent="0.25">
      <c r="A55" s="1" t="s">
        <v>46</v>
      </c>
      <c r="B55" s="5" t="s">
        <v>47</v>
      </c>
      <c r="C55" s="5" t="s">
        <v>46</v>
      </c>
      <c r="D55" s="6" t="e">
        <f ca="1">[1]!BexGetData("DP_1","00O2TNJGODT0K3USBW3W18AN4","8","SUMME","SUMME")</f>
        <v>#NAME?</v>
      </c>
      <c r="E55" s="7" t="e">
        <f ca="1">[1]!BexGetData("DP_1","00O2TNJGODT0K3USBW3W1A1UO","8","SUMME","SUMME")</f>
        <v>#NAME?</v>
      </c>
      <c r="F55" s="6" t="e">
        <f ca="1">[1]!BexGetData("DP_1","00O2TNJGODT0K3USBW3W1A868","8","SUMME","SUMME")</f>
        <v>#NAME?</v>
      </c>
      <c r="G55" s="6" t="e">
        <f ca="1">[1]!BexGetData("DP_1","00O2TNJGODT0K3USBW3W1AKTC","8","SUMME","SUMME")</f>
        <v>#NAME?</v>
      </c>
      <c r="H55" s="6" t="e">
        <f ca="1">[1]!BexGetData("DP_1","00O2TNJGODT0K3USBW3W1AR4W","8","SUMME","SUMME")</f>
        <v>#NAME?</v>
      </c>
      <c r="I55" s="8" t="e">
        <f ca="1">[1]!BexGetData("DP_1","00O2TNJGODT0K3USBW3W1B3S0","8","SUMME","SUMME")</f>
        <v>#NAME?</v>
      </c>
      <c r="J55" s="6" t="e">
        <f ca="1">[1]!BexGetData("DP_1","00O2TNJGODT0K3USBW3W1BA3K","8","SUMME","SUMME")</f>
        <v>#NAME?</v>
      </c>
    </row>
    <row r="56" spans="1:10" x14ac:dyDescent="0.25">
      <c r="A56" s="1" t="s">
        <v>52</v>
      </c>
      <c r="B56" s="1" t="s">
        <v>44</v>
      </c>
      <c r="C56" s="1" t="s">
        <v>53</v>
      </c>
      <c r="D56" s="2" t="e">
        <f ca="1">[1]!BexGetData("DP_1","00O2TNJGODT0K3USBW3W18AN4","9","91","4")</f>
        <v>#NAME?</v>
      </c>
      <c r="E56" s="3" t="e">
        <f ca="1">[1]!BexGetData("DP_1","00O2TNJGODT0K3USBW3W1A1UO","9","91","4")</f>
        <v>#NAME?</v>
      </c>
      <c r="F56" s="2" t="e">
        <f ca="1">[1]!BexGetData("DP_1","00O2TNJGODT0K3USBW3W1A868","9","91","4")</f>
        <v>#NAME?</v>
      </c>
      <c r="G56" s="2" t="e">
        <f ca="1">[1]!BexGetData("DP_1","00O2TNJGODT0K3USBW3W1AKTC","9","91","4")</f>
        <v>#NAME?</v>
      </c>
      <c r="H56" s="2" t="e">
        <f ca="1">[1]!BexGetData("DP_1","00O2TNJGODT0K3USBW3W1AR4W","9","91","4")</f>
        <v>#NAME?</v>
      </c>
      <c r="I56" s="4" t="e">
        <f ca="1">[1]!BexGetData("DP_1","00O2TNJGODT0K3USBW3W1B3S0","9","91","4")</f>
        <v>#NAME?</v>
      </c>
      <c r="J56" s="2" t="e">
        <f ca="1">[1]!BexGetData("DP_1","00O2TNJGODT0K3USBW3W1BA3K","9","91","4")</f>
        <v>#NAME?</v>
      </c>
    </row>
    <row r="57" spans="1:10" x14ac:dyDescent="0.25">
      <c r="A57" s="1" t="s">
        <v>46</v>
      </c>
      <c r="B57" s="1" t="s">
        <v>46</v>
      </c>
      <c r="C57" s="5" t="s">
        <v>47</v>
      </c>
      <c r="D57" s="6" t="e">
        <f ca="1">[1]!BexGetData("DP_1","00O2TNJGODT0K3USBW3W18AN4","9","91","SUMME")</f>
        <v>#NAME?</v>
      </c>
      <c r="E57" s="7" t="e">
        <f ca="1">[1]!BexGetData("DP_1","00O2TNJGODT0K3USBW3W1A1UO","9","91","SUMME")</f>
        <v>#NAME?</v>
      </c>
      <c r="F57" s="6" t="e">
        <f ca="1">[1]!BexGetData("DP_1","00O2TNJGODT0K3USBW3W1A868","9","91","SUMME")</f>
        <v>#NAME?</v>
      </c>
      <c r="G57" s="6" t="e">
        <f ca="1">[1]!BexGetData("DP_1","00O2TNJGODT0K3USBW3W1AKTC","9","91","SUMME")</f>
        <v>#NAME?</v>
      </c>
      <c r="H57" s="6" t="e">
        <f ca="1">[1]!BexGetData("DP_1","00O2TNJGODT0K3USBW3W1AR4W","9","91","SUMME")</f>
        <v>#NAME?</v>
      </c>
      <c r="I57" s="8" t="e">
        <f ca="1">[1]!BexGetData("DP_1","00O2TNJGODT0K3USBW3W1B3S0","9","91","SUMME")</f>
        <v>#NAME?</v>
      </c>
      <c r="J57" s="6" t="e">
        <f ca="1">[1]!BexGetData("DP_1","00O2TNJGODT0K3USBW3W1BA3K","9","91","SUMME")</f>
        <v>#NAME?</v>
      </c>
    </row>
    <row r="58" spans="1:10" x14ac:dyDescent="0.25">
      <c r="A58" s="1" t="s">
        <v>46</v>
      </c>
      <c r="B58" s="1" t="s">
        <v>48</v>
      </c>
      <c r="C58" s="1" t="s">
        <v>44</v>
      </c>
      <c r="D58" s="2" t="e">
        <f ca="1">[1]!BexGetData("DP_1","00O2TNJGODT0K3USBW3W18AN4","9","93","1")</f>
        <v>#NAME?</v>
      </c>
      <c r="E58" s="3" t="e">
        <f ca="1">[1]!BexGetData("DP_1","00O2TNJGODT0K3USBW3W1A1UO","9","93","1")</f>
        <v>#NAME?</v>
      </c>
      <c r="F58" s="2" t="e">
        <f ca="1">[1]!BexGetData("DP_1","00O2TNJGODT0K3USBW3W1A868","9","93","1")</f>
        <v>#NAME?</v>
      </c>
      <c r="G58" s="9" t="e">
        <f ca="1">[1]!BexGetData("DP_1","00O2TNJGODT0K3USBW3W1AKTC","9","93","1")</f>
        <v>#NAME?</v>
      </c>
      <c r="H58" s="9" t="e">
        <f ca="1">[1]!BexGetData("DP_1","00O2TNJGODT0K3USBW3W1AR4W","9","93","1")</f>
        <v>#NAME?</v>
      </c>
      <c r="I58" s="10" t="e">
        <f ca="1">[1]!BexGetData("DP_1","00O2TNJGODT0K3USBW3W1B3S0","9","93","1")</f>
        <v>#NAME?</v>
      </c>
      <c r="J58" s="2" t="e">
        <f ca="1">[1]!BexGetData("DP_1","00O2TNJGODT0K3USBW3W1BA3K","9","93","1")</f>
        <v>#NAME?</v>
      </c>
    </row>
    <row r="59" spans="1:10" x14ac:dyDescent="0.25">
      <c r="A59" s="1" t="s">
        <v>46</v>
      </c>
      <c r="B59" s="1" t="s">
        <v>46</v>
      </c>
      <c r="C59" s="1" t="s">
        <v>49</v>
      </c>
      <c r="D59" s="2" t="e">
        <f ca="1">[1]!BexGetData("DP_1","00O2TNJGODT0K3USBW3W18AN4","9","93","5")</f>
        <v>#NAME?</v>
      </c>
      <c r="E59" s="3" t="e">
        <f ca="1">[1]!BexGetData("DP_1","00O2TNJGODT0K3USBW3W1A1UO","9","93","5")</f>
        <v>#NAME?</v>
      </c>
      <c r="F59" s="2" t="e">
        <f ca="1">[1]!BexGetData("DP_1","00O2TNJGODT0K3USBW3W1A868","9","93","5")</f>
        <v>#NAME?</v>
      </c>
      <c r="G59" s="2" t="e">
        <f ca="1">[1]!BexGetData("DP_1","00O2TNJGODT0K3USBW3W1AKTC","9","93","5")</f>
        <v>#NAME?</v>
      </c>
      <c r="H59" s="2" t="e">
        <f ca="1">[1]!BexGetData("DP_1","00O2TNJGODT0K3USBW3W1AR4W","9","93","5")</f>
        <v>#NAME?</v>
      </c>
      <c r="I59" s="4" t="e">
        <f ca="1">[1]!BexGetData("DP_1","00O2TNJGODT0K3USBW3W1B3S0","9","93","5")</f>
        <v>#NAME?</v>
      </c>
      <c r="J59" s="2" t="e">
        <f ca="1">[1]!BexGetData("DP_1","00O2TNJGODT0K3USBW3W1BA3K","9","93","5")</f>
        <v>#NAME?</v>
      </c>
    </row>
    <row r="60" spans="1:10" x14ac:dyDescent="0.25">
      <c r="A60" s="1" t="s">
        <v>46</v>
      </c>
      <c r="B60" s="1" t="s">
        <v>46</v>
      </c>
      <c r="C60" s="5" t="s">
        <v>47</v>
      </c>
      <c r="D60" s="6" t="e">
        <f ca="1">[1]!BexGetData("DP_1","00O2TNJGODT0K3USBW3W18AN4","9","93","SUMME")</f>
        <v>#NAME?</v>
      </c>
      <c r="E60" s="7" t="e">
        <f ca="1">[1]!BexGetData("DP_1","00O2TNJGODT0K3USBW3W1A1UO","9","93","SUMME")</f>
        <v>#NAME?</v>
      </c>
      <c r="F60" s="6" t="e">
        <f ca="1">[1]!BexGetData("DP_1","00O2TNJGODT0K3USBW3W1A868","9","93","SUMME")</f>
        <v>#NAME?</v>
      </c>
      <c r="G60" s="6" t="e">
        <f ca="1">[1]!BexGetData("DP_1","00O2TNJGODT0K3USBW3W1AKTC","9","93","SUMME")</f>
        <v>#NAME?</v>
      </c>
      <c r="H60" s="6" t="e">
        <f ca="1">[1]!BexGetData("DP_1","00O2TNJGODT0K3USBW3W1AR4W","9","93","SUMME")</f>
        <v>#NAME?</v>
      </c>
      <c r="I60" s="8" t="e">
        <f ca="1">[1]!BexGetData("DP_1","00O2TNJGODT0K3USBW3W1B3S0","9","93","SUMME")</f>
        <v>#NAME?</v>
      </c>
      <c r="J60" s="6" t="e">
        <f ca="1">[1]!BexGetData("DP_1","00O2TNJGODT0K3USBW3W1BA3K","9","93","SUMME")</f>
        <v>#NAME?</v>
      </c>
    </row>
    <row r="61" spans="1:10" x14ac:dyDescent="0.25">
      <c r="A61" s="1" t="s">
        <v>46</v>
      </c>
      <c r="B61" s="1" t="s">
        <v>54</v>
      </c>
      <c r="C61" s="1" t="s">
        <v>44</v>
      </c>
      <c r="D61" s="2" t="e">
        <f ca="1">[1]!BexGetData("DP_1","00O2TNJGODT0K3USBW3W18AN4","9","96","1")</f>
        <v>#NAME?</v>
      </c>
      <c r="E61" s="3" t="e">
        <f ca="1">[1]!BexGetData("DP_1","00O2TNJGODT0K3USBW3W1A1UO","9","96","1")</f>
        <v>#NAME?</v>
      </c>
      <c r="F61" s="2" t="e">
        <f ca="1">[1]!BexGetData("DP_1","00O2TNJGODT0K3USBW3W1A868","9","96","1")</f>
        <v>#NAME?</v>
      </c>
      <c r="G61" s="9" t="e">
        <f ca="1">[1]!BexGetData("DP_1","00O2TNJGODT0K3USBW3W1AKTC","9","96","1")</f>
        <v>#NAME?</v>
      </c>
      <c r="H61" s="9" t="e">
        <f ca="1">[1]!BexGetData("DP_1","00O2TNJGODT0K3USBW3W1AR4W","9","96","1")</f>
        <v>#NAME?</v>
      </c>
      <c r="I61" s="10" t="e">
        <f ca="1">[1]!BexGetData("DP_1","00O2TNJGODT0K3USBW3W1B3S0","9","96","1")</f>
        <v>#NAME?</v>
      </c>
      <c r="J61" s="2" t="e">
        <f ca="1">[1]!BexGetData("DP_1","00O2TNJGODT0K3USBW3W1BA3K","9","96","1")</f>
        <v>#NAME?</v>
      </c>
    </row>
    <row r="62" spans="1:10" x14ac:dyDescent="0.25">
      <c r="A62" s="1" t="s">
        <v>46</v>
      </c>
      <c r="B62" s="1" t="s">
        <v>46</v>
      </c>
      <c r="C62" s="5" t="s">
        <v>47</v>
      </c>
      <c r="D62" s="6" t="e">
        <f ca="1">[1]!BexGetData("DP_1","00O2TNJGODT0K3USBW3W18AN4","9","96","SUMME")</f>
        <v>#NAME?</v>
      </c>
      <c r="E62" s="7" t="e">
        <f ca="1">[1]!BexGetData("DP_1","00O2TNJGODT0K3USBW3W1A1UO","9","96","SUMME")</f>
        <v>#NAME?</v>
      </c>
      <c r="F62" s="6" t="e">
        <f ca="1">[1]!BexGetData("DP_1","00O2TNJGODT0K3USBW3W1A868","9","96","SUMME")</f>
        <v>#NAME?</v>
      </c>
      <c r="G62" s="11" t="e">
        <f ca="1">[1]!BexGetData("DP_1","00O2TNJGODT0K3USBW3W1AKTC","9","96","SUMME")</f>
        <v>#NAME?</v>
      </c>
      <c r="H62" s="11" t="e">
        <f ca="1">[1]!BexGetData("DP_1","00O2TNJGODT0K3USBW3W1AR4W","9","96","SUMME")</f>
        <v>#NAME?</v>
      </c>
      <c r="I62" s="12" t="e">
        <f ca="1">[1]!BexGetData("DP_1","00O2TNJGODT0K3USBW3W1B3S0","9","96","SUMME")</f>
        <v>#NAME?</v>
      </c>
      <c r="J62" s="6" t="e">
        <f ca="1">[1]!BexGetData("DP_1","00O2TNJGODT0K3USBW3W1BA3K","9","96","SUMME")</f>
        <v>#NAME?</v>
      </c>
    </row>
    <row r="63" spans="1:10" x14ac:dyDescent="0.25">
      <c r="A63" s="1" t="s">
        <v>46</v>
      </c>
      <c r="B63" s="5" t="s">
        <v>47</v>
      </c>
      <c r="C63" s="5" t="s">
        <v>46</v>
      </c>
      <c r="D63" s="6" t="e">
        <f ca="1">[1]!BexGetData("DP_1","00O2TNJGODT0K3USBW3W18AN4","9","SUMME","SUMME")</f>
        <v>#NAME?</v>
      </c>
      <c r="E63" s="7" t="e">
        <f ca="1">[1]!BexGetData("DP_1","00O2TNJGODT0K3USBW3W1A1UO","9","SUMME","SUMME")</f>
        <v>#NAME?</v>
      </c>
      <c r="F63" s="6" t="e">
        <f ca="1">[1]!BexGetData("DP_1","00O2TNJGODT0K3USBW3W1A868","9","SUMME","SUMME")</f>
        <v>#NAME?</v>
      </c>
      <c r="G63" s="6" t="e">
        <f ca="1">[1]!BexGetData("DP_1","00O2TNJGODT0K3USBW3W1AKTC","9","SUMME","SUMME")</f>
        <v>#NAME?</v>
      </c>
      <c r="H63" s="6" t="e">
        <f ca="1">[1]!BexGetData("DP_1","00O2TNJGODT0K3USBW3W1AR4W","9","SUMME","SUMME")</f>
        <v>#NAME?</v>
      </c>
      <c r="I63" s="8" t="e">
        <f ca="1">[1]!BexGetData("DP_1","00O2TNJGODT0K3USBW3W1B3S0","9","SUMME","SUMME")</f>
        <v>#NAME?</v>
      </c>
      <c r="J63" s="6" t="e">
        <f ca="1">[1]!BexGetData("DP_1","00O2TNJGODT0K3USBW3W1BA3K","9","SUMME","SUMME")</f>
        <v>#NAME?</v>
      </c>
    </row>
    <row r="64" spans="1:10" x14ac:dyDescent="0.25">
      <c r="A64" s="1" t="s">
        <v>55</v>
      </c>
      <c r="B64" s="1" t="s">
        <v>56</v>
      </c>
      <c r="C64" s="1" t="s">
        <v>56</v>
      </c>
      <c r="D64" s="9" t="e">
        <f ca="1">[1]!BexGetData("DP_1","00O2TNJGODT0K3USBW3W18AN4","P","PO","O")</f>
        <v>#NAME?</v>
      </c>
      <c r="E64" s="3" t="e">
        <f ca="1">[1]!BexGetData("DP_1","00O2TNJGODT0K3USBW3W1A1UO","P","PO","O")</f>
        <v>#NAME?</v>
      </c>
      <c r="F64" s="3" t="e">
        <f ca="1">[1]!BexGetData("DP_1","00O2TNJGODT0K3USBW3W1A868","P","PO","O")</f>
        <v>#NAME?</v>
      </c>
      <c r="G64" s="2" t="e">
        <f ca="1">[1]!BexGetData("DP_1","00O2TNJGODT0K3USBW3W1AKTC","P","PO","O")</f>
        <v>#NAME?</v>
      </c>
      <c r="H64" s="2" t="e">
        <f ca="1">[1]!BexGetData("DP_1","00O2TNJGODT0K3USBW3W1AR4W","P","PO","O")</f>
        <v>#NAME?</v>
      </c>
      <c r="I64" s="10" t="e">
        <f ca="1">[1]!BexGetData("DP_1","00O2TNJGODT0K3USBW3W1B3S0","P","PO","O")</f>
        <v>#NAME?</v>
      </c>
      <c r="J64" s="2" t="e">
        <f ca="1">[1]!BexGetData("DP_1","00O2TNJGODT0K3USBW3W1BA3K","P","PO","O")</f>
        <v>#NAME?</v>
      </c>
    </row>
    <row r="65" spans="1:10" x14ac:dyDescent="0.25">
      <c r="A65" s="1" t="s">
        <v>46</v>
      </c>
      <c r="B65" s="1" t="s">
        <v>46</v>
      </c>
      <c r="C65" s="5" t="s">
        <v>47</v>
      </c>
      <c r="D65" s="11" t="e">
        <f ca="1">[1]!BexGetData("DP_1","00O2TNJGODT0K3USBW3W18AN4","P","PO","SUMME")</f>
        <v>#NAME?</v>
      </c>
      <c r="E65" s="7" t="e">
        <f ca="1">[1]!BexGetData("DP_1","00O2TNJGODT0K3USBW3W1A1UO","P","PO","SUMME")</f>
        <v>#NAME?</v>
      </c>
      <c r="F65" s="7" t="e">
        <f ca="1">[1]!BexGetData("DP_1","00O2TNJGODT0K3USBW3W1A868","P","PO","SUMME")</f>
        <v>#NAME?</v>
      </c>
      <c r="G65" s="6" t="e">
        <f ca="1">[1]!BexGetData("DP_1","00O2TNJGODT0K3USBW3W1AKTC","P","PO","SUMME")</f>
        <v>#NAME?</v>
      </c>
      <c r="H65" s="6" t="e">
        <f ca="1">[1]!BexGetData("DP_1","00O2TNJGODT0K3USBW3W1AR4W","P","PO","SUMME")</f>
        <v>#NAME?</v>
      </c>
      <c r="I65" s="12" t="e">
        <f ca="1">[1]!BexGetData("DP_1","00O2TNJGODT0K3USBW3W1B3S0","P","PO","SUMME")</f>
        <v>#NAME?</v>
      </c>
      <c r="J65" s="6" t="e">
        <f ca="1">[1]!BexGetData("DP_1","00O2TNJGODT0K3USBW3W1BA3K","P","PO","SUMME")</f>
        <v>#NAME?</v>
      </c>
    </row>
    <row r="66" spans="1:10" x14ac:dyDescent="0.25">
      <c r="A66" s="1" t="s">
        <v>46</v>
      </c>
      <c r="B66" s="5" t="s">
        <v>47</v>
      </c>
      <c r="C66" s="5" t="s">
        <v>46</v>
      </c>
      <c r="D66" s="11" t="e">
        <f ca="1">[1]!BexGetData("DP_1","00O2TNJGODT0K3USBW3W18AN4","P","SUMME","SUMME")</f>
        <v>#NAME?</v>
      </c>
      <c r="E66" s="7" t="e">
        <f ca="1">[1]!BexGetData("DP_1","00O2TNJGODT0K3USBW3W1A1UO","P","SUMME","SUMME")</f>
        <v>#NAME?</v>
      </c>
      <c r="F66" s="7" t="e">
        <f ca="1">[1]!BexGetData("DP_1","00O2TNJGODT0K3USBW3W1A868","P","SUMME","SUMME")</f>
        <v>#NAME?</v>
      </c>
      <c r="G66" s="6" t="e">
        <f ca="1">[1]!BexGetData("DP_1","00O2TNJGODT0K3USBW3W1AKTC","P","SUMME","SUMME")</f>
        <v>#NAME?</v>
      </c>
      <c r="H66" s="6" t="e">
        <f ca="1">[1]!BexGetData("DP_1","00O2TNJGODT0K3USBW3W1AR4W","P","SUMME","SUMME")</f>
        <v>#NAME?</v>
      </c>
      <c r="I66" s="12" t="e">
        <f ca="1">[1]!BexGetData("DP_1","00O2TNJGODT0K3USBW3W1B3S0","P","SUMME","SUMME")</f>
        <v>#NAME?</v>
      </c>
      <c r="J66" s="6" t="e">
        <f ca="1">[1]!BexGetData("DP_1","00O2TNJGODT0K3USBW3W1BA3K","P","SUMME","SUMME")</f>
        <v>#NAME?</v>
      </c>
    </row>
    <row r="67" spans="1:10" x14ac:dyDescent="0.25">
      <c r="A67" s="1" t="s">
        <v>57</v>
      </c>
      <c r="B67" s="1" t="s">
        <v>57</v>
      </c>
      <c r="C67" s="1" t="s">
        <v>49</v>
      </c>
      <c r="D67" s="9" t="e">
        <f ca="1">[1]!BexGetData("DP_1","00O2TNJGODT0K3USBW3W18AN4","#","#","5")</f>
        <v>#NAME?</v>
      </c>
      <c r="E67" s="3" t="e">
        <f ca="1">[1]!BexGetData("DP_1","00O2TNJGODT0K3USBW3W1A1UO","#","#","5")</f>
        <v>#NAME?</v>
      </c>
      <c r="F67" s="3" t="e">
        <f ca="1">[1]!BexGetData("DP_1","00O2TNJGODT0K3USBW3W1A868","#","#","5")</f>
        <v>#NAME?</v>
      </c>
      <c r="G67" s="9" t="e">
        <f ca="1">[1]!BexGetData("DP_1","00O2TNJGODT0K3USBW3W1AKTC","#","#","5")</f>
        <v>#NAME?</v>
      </c>
      <c r="H67" s="2" t="e">
        <f ca="1">[1]!BexGetData("DP_1","00O2TNJGODT0K3USBW3W1AR4W","#","#","5")</f>
        <v>#NAME?</v>
      </c>
      <c r="I67" s="10" t="e">
        <f ca="1">[1]!BexGetData("DP_1","00O2TNJGODT0K3USBW3W1B3S0","#","#","5")</f>
        <v>#NAME?</v>
      </c>
      <c r="J67" s="2" t="e">
        <f ca="1">[1]!BexGetData("DP_1","00O2TNJGODT0K3USBW3W1BA3K","#","#","5")</f>
        <v>#NAME?</v>
      </c>
    </row>
    <row r="68" spans="1:10" x14ac:dyDescent="0.25">
      <c r="A68" s="1" t="s">
        <v>46</v>
      </c>
      <c r="B68" s="1" t="s">
        <v>46</v>
      </c>
      <c r="C68" s="5" t="s">
        <v>47</v>
      </c>
      <c r="D68" s="11" t="e">
        <f ca="1">[1]!BexGetData("DP_1","00O2TNJGODT0K3USBW3W18AN4","#","#","SUMME")</f>
        <v>#NAME?</v>
      </c>
      <c r="E68" s="7" t="e">
        <f ca="1">[1]!BexGetData("DP_1","00O2TNJGODT0K3USBW3W1A1UO","#","#","SUMME")</f>
        <v>#NAME?</v>
      </c>
      <c r="F68" s="7" t="e">
        <f ca="1">[1]!BexGetData("DP_1","00O2TNJGODT0K3USBW3W1A868","#","#","SUMME")</f>
        <v>#NAME?</v>
      </c>
      <c r="G68" s="11" t="e">
        <f ca="1">[1]!BexGetData("DP_1","00O2TNJGODT0K3USBW3W1AKTC","#","#","SUMME")</f>
        <v>#NAME?</v>
      </c>
      <c r="H68" s="6" t="e">
        <f ca="1">[1]!BexGetData("DP_1","00O2TNJGODT0K3USBW3W1AR4W","#","#","SUMME")</f>
        <v>#NAME?</v>
      </c>
      <c r="I68" s="12" t="e">
        <f ca="1">[1]!BexGetData("DP_1","00O2TNJGODT0K3USBW3W1B3S0","#","#","SUMME")</f>
        <v>#NAME?</v>
      </c>
      <c r="J68" s="6" t="e">
        <f ca="1">[1]!BexGetData("DP_1","00O2TNJGODT0K3USBW3W1BA3K","#","#","SUMME")</f>
        <v>#NAME?</v>
      </c>
    </row>
    <row r="69" spans="1:10" x14ac:dyDescent="0.25">
      <c r="A69" s="1" t="s">
        <v>46</v>
      </c>
      <c r="B69" s="5" t="s">
        <v>47</v>
      </c>
      <c r="C69" s="5" t="s">
        <v>46</v>
      </c>
      <c r="D69" s="11" t="e">
        <f ca="1">[1]!BexGetData("DP_1","00O2TNJGODT0K3USBW3W18AN4","#","SUMME","SUMME")</f>
        <v>#NAME?</v>
      </c>
      <c r="E69" s="7" t="e">
        <f ca="1">[1]!BexGetData("DP_1","00O2TNJGODT0K3USBW3W1A1UO","#","SUMME","SUMME")</f>
        <v>#NAME?</v>
      </c>
      <c r="F69" s="7" t="e">
        <f ca="1">[1]!BexGetData("DP_1","00O2TNJGODT0K3USBW3W1A868","#","SUMME","SUMME")</f>
        <v>#NAME?</v>
      </c>
      <c r="G69" s="11" t="e">
        <f ca="1">[1]!BexGetData("DP_1","00O2TNJGODT0K3USBW3W1AKTC","#","SUMME","SUMME")</f>
        <v>#NAME?</v>
      </c>
      <c r="H69" s="6" t="e">
        <f ca="1">[1]!BexGetData("DP_1","00O2TNJGODT0K3USBW3W1AR4W","#","SUMME","SUMME")</f>
        <v>#NAME?</v>
      </c>
      <c r="I69" s="12" t="e">
        <f ca="1">[1]!BexGetData("DP_1","00O2TNJGODT0K3USBW3W1B3S0","#","SUMME","SUMME")</f>
        <v>#NAME?</v>
      </c>
      <c r="J69" s="6" t="e">
        <f ca="1">[1]!BexGetData("DP_1","00O2TNJGODT0K3USBW3W1BA3K","#","SUMME","SUMME")</f>
        <v>#NAME?</v>
      </c>
    </row>
    <row r="70" spans="1:10" x14ac:dyDescent="0.25">
      <c r="A70" s="5" t="s">
        <v>58</v>
      </c>
      <c r="B70" s="5" t="s">
        <v>46</v>
      </c>
      <c r="C70" s="5" t="s">
        <v>46</v>
      </c>
      <c r="D70" s="6" t="e">
        <f ca="1">[1]!BexGetData("DP_1","00O2TNJGODT0K3USBW3W18AN4","SUMME","SUMME","SUMME")</f>
        <v>#NAME?</v>
      </c>
      <c r="E70" s="7" t="e">
        <f ca="1">[1]!BexGetData("DP_1","00O2TNJGODT0K3USBW3W1A1UO","SUMME","SUMME","SUMME")</f>
        <v>#NAME?</v>
      </c>
      <c r="F70" s="6" t="e">
        <f ca="1">[1]!BexGetData("DP_1","00O2TNJGODT0K3USBW3W1A868","SUMME","SUMME","SUMME")</f>
        <v>#NAME?</v>
      </c>
      <c r="G70" s="6" t="e">
        <f ca="1">[1]!BexGetData("DP_1","00O2TNJGODT0K3USBW3W1AKTC","SUMME","SUMME","SUMME")</f>
        <v>#NAME?</v>
      </c>
      <c r="H70" s="6" t="e">
        <f ca="1">[1]!BexGetData("DP_1","00O2TNJGODT0K3USBW3W1AR4W","SUMME","SUMME","SUMME")</f>
        <v>#NAME?</v>
      </c>
      <c r="I70" s="8" t="e">
        <f ca="1">[1]!BexGetData("DP_1","00O2TNJGODT0K3USBW3W1B3S0","SUMME","SUMME","SUMME")</f>
        <v>#NAME?</v>
      </c>
      <c r="J70" s="6" t="e">
        <f ca="1">[1]!BexGetData("DP_1","00O2TNJGODT0K3USBW3W1BA3K","SUMME","SUMME","SUMME")</f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9 h / f t b 8 / f n r 6 + u T V 2 c s 3 + G N v v J 2 e l F l T n B f T b F r 8 o 3 / r M l 1 V d f p s n S / b P J 3 l 6 b N i S f g V 2 a K g T 6 r H d / 2 X H z 9 7 9 e W L N 6 c v n v 7 + 2 u P v f / b i 2 Z d H D + 7 t 7 I z v j e / v 7 I 5 3 H 3 5 K K M a b P X 7 z + z 8 9 f n P 8 8 t W X P 3 n 2 9 P Q V Y f v 6 1 e / / + v f u f P j i + I v T o 6 c v f 3 8 a F v 9 K Y / q J r 0 5 f v 6 F h n H 1 B f 7 3 6 v X / / 3 / v 5 6 9 + f / z j 7 8 s l 3 X n x x 9 F P P v j g 5 O f 7 8 2 e O 7 + g F / 8 e b 3 f p P e P X r 8 + q s v j p 8 8 P z 3 6 v R / f N b 8 + P n v 9 + 7 9 + 8 + q r k z d f v T p F m + P f + + w 1 f r 7 8 8 v X Z m y M i P Z F P f n 9 8 8 u 3 j n 3 z + + 5 8 K L P l D A f M f + O X F l 0 9 P f 3 / p m T / / 6 o u v + P O X z 0 9 / 8 l R b U N f c A 5 q 9 f P X 6 x Z u j P c F W / n h M 6 L z 5 / Z / / 5 H P q n P A 0 f z z + 9 q v f 5 / c / P n l z 9 p O M 5 r f P T q U L J S t + J e K d v i G + 0 I f m S z 5 4 / P r 3 f / P 7 v D z 6 v Q g a / 0 J / U 2 8 e q e T v x 6 D k q 6 N j / I 1 f 6 O / T 5 2 + + O n u 6 y 7 T T P / a 4 d w H 0 7 c d 3 9 T d 8 Q j D 0 O w W j v + E T D 5 D 9 S y D 5 l H l 6 e v b U Q 1 8 / e H z y J b H P i 1 d H 8 q n 5 C x + / O T 5 7 8 f r 3 / 7 1 + n 2 d 4 / / O z 1 2 9 e Q i r k F / x 9 / O b N q z O h k 5 D u 9 3 9 9 + v z 0 B A z s f Q a I Z + Y z k J l n k S f d k v r Z 8 + P P I V 7 u D 0 N 5 8 4 3 / p 0 6 F + c r 7 6 z H 9 + + b 3 V + Y i 6 X B / y T e v O 9 + Z v 8 2 3 R G z g p H 8 R e X k c z 0 + P n x H S r 1 + C l b y / 7 D c n 3 + Y 5 f P n l C S D z z 8 c y C 0 T V L / f e v P j O 5 1 8 + f b P z e 9 3 7 6 v W T 7 9 7 7 7 u 6 n n 7 7 + / P F d b Y H e P t 8 7 S v H s p O n u p + k e Y 0 e f P X 7 z 7 e + 8 U Y Q + 3 8 c v b 3 g + m c G / O P 6 9 5 S / 0 6 f 5 4 / M X Z C + 9 z + w d I / 9 p M A Y 3 z 9 L V S / z W w Z N L j t 8 e v i d L c 0 + / 9 5 v W 3 n z 0 / + n 0 e 3 z W / 4 r M v n t r P + F d 8 9 v x z + u X 3 5 s / 4 V 1 I 3 J E s n p 6 9 f / / 5 f 0 F w z b Q x j 2 E + + O P 3 i y e m r b j v C 4 h X R n X F 7 e k o M + P z 3 p 3 c C t k I T Y i 1 h R v c H q W F f Y c W 0 1 8 6 z r 4 i 5 f 3 + W z G e / z z e m w 3 Y + / f + r D u s S 7 E e a 7 E e a L N R k J / d f n g x p s v T T / y / q s d / n / x t 6 7 O T 3 P 3 5 1 e v y N 6 b D d n x U d d v Q V h J N / + 3 + F L j N E + 5 E e + 5 E e C / X Y 6 b 2 D Q Y 9 s b + f / 7 X r s 9 / 7 / p h 6 D X 3 F 6 c v L l N 6 b F d h 7 8 b G g x / P Z z r b 0 c q X 6 k u 3 6 k u z o + 2 M n O d w d 9 s A f / b 9 d d / 1 + O J V / / / i d v X n 1 z 2 u v g Z 0 N 7 / b / N B z N E + 5 E e + 5 E e 6 + i x s 5 N B H y w 9 + H + T H v u 9 I 3 r s 9 4 7 o s f 8 P + G A 7 J 1 9 8 8 e b 3 P 3 t z + o X k e c 5 O a A 3 i G 1 N p u 3 s / G y o N v / 2 c q 7 I 4 3 X 6 k 1 X 6 k 1 U K t 9 v T p 7 3 M w m O v f / 3 + T V v v / k X c m E v n l N x h a 7 t 7 / 2 d d k O z 8 n m s y j 1 c + F 9 v q R 9 v p / t f b 6 7 n c H Y 8 v d h z / S X i x v 3 7 T 2 6 v s W X 7 4 4 + e Y 0 2 b 2 f f U 3 2 / x a f j O n 2 I 6 3 2 I 6 3 W 0 W q / 1 8 P X g 1 r t / s + a V o P C e c X S / v r 3 p 7 + V 9 k c / 9 W 2 P W e U j w / k P 6 d n d u 2 e J H E j H G x L c o + / k 9 T g 9 q Z b T f N V W K c c g / D m p m b C v u 4 L B z 2 O t + u z s 9 c n L 0 2 8 w X / d D C G 5 3 f 2 4 U q S X V j 3 T n j 3 R n R 3 f + x P O T Q d 3 5 / 6 r V h t 8 7 o r t + 7 4 j u + v 9 C l g 6 J c 3 F q T p 9 9 + e K b U 2 H / v 4 1 q e x T 7 k S b 7 k S Y L N d m T N 3 s H g + s N P 8 r M / S x q s m 9 O f / 2 s x L L / r 1 s y / Z H 2 + p H 2 6 m m v L 3 7 i y 0 H t t f f / J u 3 1 e 0 e 0 1 + 8 d 0 V 7 / X / P D n n 2 Q G s N w + e f P s j L D b / + v U G I e 2 X 6 k z X 5 O t N n e / 5 v V 2 U 8 9 H U z J p T 9 7 K T k z A + + h z v 5 / 5 I x B I E + + + O o b j C d 3 f z Z U W N w f + / z n R J U 5 k v 1 I i f 2 c K L H / F + u w T 5 / u 7 w y m x g 7 + 3 + W U / b 9 G i 3 2 4 F t t 5 + d X v / + T p 5 2 / O v s G 4 c v 9 n Q 4 / h t x + 2 K / a 6 6 4 p 5 x P q R B v u R B g s 1 2 I O D l 8 N e 2 L 3 / 9 2 s w 8 b n + P x d W s l P x 8 s t v U H 8 9 / P + L / o r 6 X 0 y q H 2 m v H 2 m v U H u d f P n l o P + V P v x / u + 7 6 / 2 g M u X P y x R d v f v + z N 6 d f f G P a a / e H G E X + 3 G g x n 2 g / 0 m M / 0 m O h H n u 6 + 2 R / M I 7 c / X + T H v u 9 I 3 o s 5 o P 9 f 0 G P x W b i Y P / J 7 7 V J r e F X X 5 t h o M H f k u r / v X u p / h + e h m N s b 1 J r w N D 7 a 4 O K Y 3 B G E K z a s c J w k 9 b S 3 w J t p b / 9 b G s p j D H 4 + z 1 1 F s 9 i 9 7 N b a D F o h c 4 n n l b b G d R q O 8 N a z d q X H 4 Z W 8 / 9 y m g w / N + k w k Z w B X 2 z 3 / 1 W R p P 4 K j a W / Q l H h 1 / + 3 q i r r P c i a 2 t m r k 1 d n H + R 9 R R Y j f 1 Y 0 F H 7 7 f 4 / v F V D v R 2 7 Y z 4 k b t r f 7 z W u s b 8 o P + / T l q 2 E / b O / / V T r s / 5 8 R p Q r o m 5 8 F 9 b b 3 8 0 a 9 v f m R e v s 5 V G 9 7 / + 9 V b 0 8 f f P H l o H q 7 9 y P l x s L 3 T S s 3 z l + T a v o g f Y a f N l m 2 8 / 9 X T e Z I 9 S P l 9 X O i v I x + + l n V X V 9 P d 5 1 8 9 V O D 4 e W u 4 P 0 j 3 f U h u u s u / 0 u d A J t X / D n 1 c u o U 2 S 3 y Z a x 1 B h o e v y D X W h p I O x r 8 0 d n y o s 6 b q k l / 4 + S 0 a Y t F N q v S 4 + U 6 K 7 U p 2 s Q i 1 G + f P X 1 6 + k K p w p N z 9 I z m z v z + + O X x q 1 P J h D 1 9 d f b 8 + e s 3 x O 9 H p F e 8 v x 5 / + / j 1 0 9 N n x 1 8 9 f / P 0 y 5 O v h E F e v j j + g s n 6 5 P j 1 6 V N Q 8 s 3 z L z / / M v j E 6 l L 7 y c m X X 7 w 8 e x q + p k r 5 b o e W P y u k / f z 3 + f J D S e u 8 Y y E t 5 w f l N 0 f i 1 3 0 S b 5 p s b X H r K e A + w 0 / + P z s l L 4 4 P + l N y v F i V R T Y t q m X e / M b J 8 G T c + 2 Y n g 9 k j M h n P f 7 5 M x p v n r / u T s f U q n 6 2 n M h l 3 N s 3 G / o 9 m 4 x u d j Z / 6 v U 8 2 i 0 Z 6 T T r L m 5 0 N a u t + d 2 5 + n 8 j c 3 G w Z N t L + / 8 O W 4 e G n B 9 / d a B m + q G b F e T H d b B s + / R G R N x L 5 5 P f 6 f A O R j f G N k v b B N 0 P a / 7 9 6 N g / P v r t z C 9 K m V R 2 l 7 s E 3 q r l l n n 8 e O z U P X z 7 4 v T Z r 7 u g s P P x m Z 4 F Z 4 u e x / X z 4 k 9 + J B F K B N x O b B i 9 r 9 K N p + A a m 4 X j 3 q 0 j Q 1 X F j v E m J z s k H B r T / f 7 W o x w e f R q I n q / a d 0 x I l a j e U / R F R h a i n 3 4 5 E Q Z a o T / P L f H k B Y / r l q y h Z v 2 5 Q + j 7 k / f + T f v i 9 3 k T C n D 6 5 o 7 T u h p w / Y m G h 6 e / 9 + S Z P + 1 U + z d a z D S z c i x Z / x M I b y f 1 q f 1 P 0 a M k d p X U 3 a P w R C 3 P D J / d e R y K a 3 z 2 d 5 e n x Z b a c 5 v T b b 5 y U m a H u t P h H / 9 Z l l M D d 0 P F H B B Y C H 9 + L B C k u Z H w 3 z W f 5 s h 1 w y L o R 4 4 + I K k T 9 / F k k 5 j i O a 9 l e v P f 1 c h r / b 6 D l X f 7 3 R J b R n h 2 f 4 M f x m 1 e y 0 M + / K P F 4 5 f r 4 8 2 e O m r r Q K 9 9 8 8 d W L x 3 f N J / L V G + n R R s m b w j P A j K 3 L / 2 y s 3 M o K q x D D D L I 7 2 p 1 n X 7 0 4 + f 1 p 0 o 7 j 4 z 1 9 d v b z Z r w 7 L 7 / 6 / Z / R g u t X T 3 Z / v g y Z p v j 0 9 Z t X x 1 9 z v P + f G y + m m M b 7 + 5 8 9 / f k y Y h b i l 6 8 + / 3 k 0 3 u d n L 4 5 P f h 6 N 9 + W r L 0 9 f / z w a 7 8 n p 6 X d e f T P j / f z / I + N 9 / e a b G e / / R + a X T P D P l / E 6 p 2 P v 5 8 u Q e Y q / + P L n j Q l 2 U 3 z v 5 8 u Q J X T 4 e R U q v T p 9 8 + X P o + G e n L 4 5 + / + d k n 7 6 + v c / e f M q I s F P v n q t p P g m B r z z / / 4 B Q 2 W d / P 8 y F B 4 c M k T 4 9 c v / 3 8 n w D e N F 3 u 3 n z Z A t V / / / z t f a N O T / f y Y 8 b p 7 k / 9 9 5 W 0 9 j U n z 2 + u Q n j 1 + 9 + I Y C x N 3 / d w + W P s Y 6 w 8 + H s Y K N n / 7 / 0 w J v G u 3 / / z T z z y u l P B Q K f v k N h Y I 7 / 2 8 f 6 s m z 3 + e b G e n / q y d 1 5 / j l 7 / / l s 9 9 f v v z / / W i F h Z / 9 / 2 q k p I K e P P 3 8 z d m A e j o 5 f v G U F u t / P g 3 5 9 P d + + f N q y B j s s 1 d f f v H z a s D / P 8 v R n X z x x Z v f / + z N 6 R d x p X V 2 8 u W L n 8 2 V 0 P / X D f j 0 5 P N v K E f 3 / 4 0 J P j 3 5 8 v 9 f K / s b x s t m 6 Q w x w v 7 P v y H f / / k y Z F Z b b 0 5 e n f 1 8 G j C t p f y 8 E u P / H w a / t 5 L i / 3 + l c m 4 1 5 P 9 / J W F v k u O X x / / / i h 9 u N c X / / 0 r Z 3 W S b X v 0 8 s k 0 7 N M H f X L 7 9 / / 3 j 5 Q Q e 9 f P z a b x n J z + P G F q U 9 O e n 3 1 A 2 + u d m w H f 5 3 5 P T 5 z J 2 / k X a 7 R L q X + 6 9 e f G d z 7 9 8 + m b n 9 7 r 3 1 e s n 3 7 3 3 3 d 3 j 3 a 8 o 7 W G a a N s 9 H m b 0 M W 3 3 j h 6 / + O q L 3 / / 1 y f H z U 6 C A P 1 6 + O j 3 B u O 3 v j 0 + / e P n t 4 9 d n r 5 l + z 0 9 / 8 v Q 5 f j v 5 6 o u v + J f n x 5 9 / / u o I Q O W 3 x y / I Z L w C P e U X n 2 y 7 u 9 8 U 3 X 6 v s 6 d 4 A T + E c u 9 B r o c / + Z 3 9 b 5 J c P I / f I J G + M e b 6 E C I d n 3 7 7 9 f + b i X T v / x V E + r 3 e n H y T R P r Z E 7 z 9 / z e Q 6 8 n x v d / r / x v k O v h / A 7 k e n n 3 X k u C b I N c 3 L I L / 7 6 D R y e / 1 + T d J o 5 8 1 l n r w / w Z q H b / a / + 7 / J 6 i 1 + + n / G 8 j 1 5 N 7 r b 1 Q A f / b I 9 f 8 K 7 n r y + b N v 1 K / 6 2 S P X w / 8 3 k O v 4 9 / 7 8 G 1 V d 3 7 B 6 3 7 3 / / w Y i H X z + + 3 y j o c 0 3 T K S 9 / 1 f Q 6 M 3 z / z e 7 6 v + v c D 0 f v n z w j b q e 3 z C N / t + h k A 4 + P Q h p 9 G E 0 + t n T 3 / / v E L v j F / 8 f M X f / r 6 D W T / 3 e / 9 8 I l f 9 f Y f Y e f n r w / w 1 H / f 8 V f v r B i + N v V H F 9 w 8 r 9 Z z l V d Z f / f f r q 7 D l j 9 v L V y z d n p 6 + F d i 9 f f f n y 9 J X 8 j Z f 1 Q Y o R Q H 7 y + P l X P P K 7 3 c Y b X t 7 b / Z C X 9 z 7 k 5 X s f 8 P K 9 D x n z / g e 9 / C E E 2 / c J x g w n v 7 0 f E J 9 w X x P I 7 o 5 P A 3 D 6 1 4 H x A a T Y 3 Q l I s f v 1 E P g A F t r d 2 f 8 G E L j / I Q h 8 + i E v P w i Z I K J I 7 7 9 4 8 / r r j e r g Q x B 7 G C D 2 t R D Y D c X k 6 8 H 4 E N 7 Y / Q Z 4 Y + 8 D t M z u h 6 j l v Q + X 7 f 2 d D 4 d x / x u A 8 f C b g e E T 8 + j l q s 3 K 8 d n y o h 5 v p 8 / a f P y s W G b L 6 f j r g e 4 o 9 J g / s / / k 9 / p a s A M G + p p D D / j o 6 8 D Y x f 8 3 j f H k y + 9 8 8 X t / + n u / + B p j B O y b 6 f f 1 1 B h g B 3 b y p 5 5 9 8 f t / c b L z N W Q Z o A J 9 Y E D 9 / m c / w Q P 4 O g B 9 w 3 F 0 / P Q n v 3 P 8 + 7 w 4 / k f / 5 K 8 H z D c k A P b l 6 + d f f n H 8 9 W C F d u X g L v 1 v b 2 f 3 0 6 8 H z D c k R 3 s 7 d 3 c e M L B 0 d + f R / d 1 H 9 + 9 9 P a i B h f n m x H m 3 4 0 p 7 o 0 9 3 d x 8 R z v f 2 v x 7 U Q I A + b H 4 6 p v H g 7 u 6 u Y L h z / 9 H e v U f 3 v h 5 J A 2 N 5 9 O O j d G d 3 + / T F K f 3 c 2 3 5 2 + o R + 3 t v + 4 v g V / d z f P n 6 C n / f p 7 9 + H f n 6 6 / Z 2 v X t D P B / T z O f 0 c 7 v 6 u j W V + 8 v i V Y M O / / O S L 4 y + O f u r 1 7 0 9 S d X L y 9 P Q l Q c A n a E V x k x h f / u 3 x T 7 4 8 f v W a w i O o A / 3 1 8 e u z z 1 / A P n 7 5 8 g 1 H c l 9 + V 3 / 8 / q e / N 3 / y 7 b P P v 2 1 + m s / o 6 z f + b 7 / / 8 9 M X c D O 8 v 7 i 9 N t J f T S v / z 8 f f f v X 7 m F b 8 m 2 3 k / n r 8 k 9 r i J 8 0 n 0 O z 2 j 8 f f P n 3 + 8 v c / / s n j M 4 7 4 v n j 9 + e / / g g P E s y + f f O f F F 9 A 2 S h f 9 g E d 3 8 g W H l H c t G e P 0 / O K r F z + i Z 4 S e T J e v Q c / j z 5 / 9 i J 4 R e j J d 3 p + e Z 6 9 O X p 3 9 i K A h Q X d O v v j i z e 9 / 9 u b 0 i 9 / f J 9 J 7 U H f n 7 P d / d v b 6 h F T v v Z u J e 9 Y h L j 7 g n y D x 0 Z M 3 j + / i J 7 o 9 Y l c Q v x h 6 H 8 n f / C t T 7 Y i 9 L v 7 N T s C R f i K t / r 8 1 F Y 6 M 7 0 P + 1 7 / / y Z d f v K R / n p 7 + / r s 3 z 0 C X v c M Z O P 0 J b w b g / n S n w H z k Z i H O / k e f V 5 M i r 5 d V e t q 0 2 a x K Z 3 n 6 u l p W d W a o H 8 z J / v 9 r J 8 U S 9 / 1 m 5 e X v / + z 3 O T 1 + d f N 8 v L z 9 f J D r 9 a A z H / a j m + b j / 0 s y I I R 7 H 2 q / / v 2 f f P X 6 + G Z i / z z T 7 U S U 3 / / 4 1 e n x D c S 8 y / 9 + + / j F 0 + c I i + G f 6 x + P X 7 8 5 f k M / y D y 8 / P 1 / 4 q v T V 7 8 P M P T + e n z 2 4 u V X b 7 4 g 8 T h C L G f / k O W H 5 2 e v G f 2 T r 1 7 9 X j + F X 1 6 / e g p 4 4 N p t 8 u r R k 3 7 0 m B T f 2 U 8 e / V 4 U 9 M h v j 1 9 / 9 Z J W V F 6 / / v 2 / o H + O P z + 1 0 F 5 / 9 Q W v e P z + r 7 7 8 7 m v M c v i B + / 7 k y + d f f f E i b G I + e / w V 0 f n 3 P z 5 5 c / a T p / w e I P u f a U N 8 / O L 3 P / k 2 M c 3 v / + U L 6 Y G w 7 n 7 k t 6 E 3 X 4 N M 3 Y + o z e s 3 r 7 4 6 s S 9 x m / A j v w 2 / t B u 0 E T i v v 0 2 z + P R L W l E 6 p X Q F 0 e f N M d O l 8 / G x k i v 8 m K g t r Q G T s g r K K s P J p L C h v L e n f 3 q A X p 8 9 / f 3 P X j w 9 / b 2 Z 3 G 8 6 n 5 l W t H q G D 5 + d / d 4 Y f f 9 D A 9 6 9 a Z r 5 n 5 l W E W j B h 4 8 x W M z C i 8 9 l l e 7 0 u 3 a u z 1 5 Q 7 H j 2 l H 9 9 / e L L N 7 R Q 9 u b 3 Y W k 8 J i L 9 P j Q f r 8 6 Q w / L / R B / M r H d f n R L / v y a N S x z 6 1 X P 6 + c X x 7 / 3 7 M x b y C / / 9 + 5 i / f x 9 + Q x p S l P r s G f p 5 9 R M / i R 8 i R 9 0 s j 0 o X / / j 9 f / L s 9 L u 2 K f / 1 + 7 9 R f X T 2 4 h n N 7 B M / 4 2 Q / e v z 5 6 Y u v X p x x 5 D 2 Y R r N t H t N a 4 H O S s S / O 3 q T v m u L R s i g / + 6 i t 1 / l H 6 I e F 5 + x L V l D 2 9 8 e v o T / O j p 8 8 P z 3 5 8 s W b 4 7 M X p 6 R H 7 K + / v y i R C L Q 3 v / f v T + x z e v I G 7 / / + H M O / j j S 7 G 4 V / 9 9 X r V 7 / / 6 9 + b G Z m I + Z N n T / n T N 5 0 P x K l F J k K a 4 y / i g G y R H 4 F 4 p 8 9 P I Q + / P + k b / u x x k K y A O 6 w f / D 7 6 E n 9 G 5 u X U v H C 2 n O X v Q A / 5 5 f F P Z u W 6 B 1 s + p D Y h x F g H r 0 6 J t 1 / 9 / s e v X 5 9 + 8 e T 5 7 7 O 5 m y e n 7 4 5 n s 2 I 5 S n 8 y r 5 u i W n 7 2 4 N 7 O z p j / G 6 U n 6 7 J d 1 / l n y 3 z d 1 l k 5 S l + u J 2 U x / b 3 y 6 z f V 2 3 z 5 2 c O 9 T 7 N P 9 3 Y O p p P z + w e T b P J 1 8 D x 5 T p h u R n J a L c Z N t h p P i n H e j r N l V l 7 / I K / H G R A f 0 w j O 2 n z x J n / X n p b 5 I l + 2 7 4 U F S 7 a Z 7 c 1 o P H 3 J f v H t Y Z / + 3 i Q L t 5 h r G s L v / e V 3 j v d e / V 6 v v j w 9 u / d 7 f e f 1 l z t P v / t 7 7 T z 8 i a 9 e v 1 e H r 7 9 9 e v p m c 1 8 n Z d Y U 5 + P 0 X f p s T b T K U 8 k 8 F t m i o D + r 9 + r u 6 S l 8 n 9 / / 9 b e P X 9 4 8 w t 9 n 9 / m D L x 5 8 u X / v O 0 + / 8 x O v n p z t v P r q w c v X T 3 5 q 7 7 2 6 f A U V v L m v 3 + 3 k d 9 t 9 h H / e C / D T s 9 c v n x / / P r 8 / F P P Z C W n 9 5 2 9 O X 2 3 m S 1 Y t 7 w H 6 2 Z e v v j h + 8 8 3 C h J r 4 / V V P 3 C B F v 7 B s D 3 + P d 4 s y v V R J / 2 h 3 v P N R m i + n F c n R x W c f r d v z 7 d 1 P P / o 9 f u F F e / g b J 2 j + O q + L r C x + k H v S l R K I Z f O I t O x n H 8 3 b d v X o 7 t 2 r q 6 v x 1 b 1 x V V 9 Q V n d n 9 + 7 v / c X z 1 9 N 5 v s i 2 i y U F b c s p q W H z 1 u z m t z 4 S B N I U K L y 5 X u X 4 + 6 R i U C 0 + u 2 s + N I 3 O n u I v 8 Q C 5 g X x g v u b x m 3 c w F G 4 T f C r j v R s b M L 5 + L 1 Y 6 / u r N l 8 / O N s v h + 8 7 z y f F L m M r 3 h n n X N 0 f G 4 o k J 2 2 z P 7 v 8 s 2 r P 7 7 0 X O H 9 m z 9 8 H i / y X 2 7 C c + f b X z + x z / 3 v t P P 3 3 6 8 D s n u 6 + O T z 7 / 7 s M v H t 4 7 e 6 8 O / 9 9 s z 3 b P X n y 6 + / A 7 + y 9 / 7 9 / r 9 / q p L 1 7 9 X v u / 1 0 / + P r / X i 8 9 / 4 i f e q 8 v b 2 L N T 2 L P T H 9 m z / 1 / Z s 5 / M C J V J m W + w Z y Z m + f 2 9 z P h N 1 o 1 U 2 Y + M 2 4 3 G b e 9 n 0 b i 9 p z / 7 I + P 2 H l j 8 v 8 S 4 n X 7 5 + e l 3 v / q J r 4 5 3 n n x 5 8 O w n K c 1 8 7 / T J 6 5 d 7 z 9 6 r w / 8 3 G 7 c n e 1 / t f X F 6 d v r 5 7 / 3 i O / s / e X / n 5 Z c n Z 8 c / S f 9 7 r y 5 v Y 9 y O Y d y O f 2 T c f v 4 a N 1 3 h + p F l + 7 q W 7 f N X l K b e N X 1 8 Q y b N A H 0 P A v 7 8 t G W f 1 8 X s v b r / 2 T R i b 4 5 f f X 4 q G e y B L n Y / t I v 3 s J M U / / 3 e J 6 9 O n 3 7 n p 7 5 z 9 n u 9 2 d 3 / y S + e / c T r g 6 + + e L 8 O b 2 E n z 9 k 6 v h / Y 9 7 K H X z x 5 d f b 6 6 V d P 7 7 3 8 c v f + w U 9 + + e L B K 1 r H e f H V q / f q 8 t b 2 8 D u / 2 4 O d 9 4 I s 1 m o z 6 N / 7 v S C + / v I V r X z Q c s k N I v J + U L 9 9 d v r q + N X J t 3 + f n 0 3 Q b G Z p y Z d W 7 k 6 / G Q P + g n y f z 4 9 v 1 O T v i f E 3 a X D A A F 8 9 P / 4 m 0 X v 6 6 o w W 8 p 5 + + d 0 X s m L 8 4 i e / E U y / f f b 5 t 5 / T / 9 / I a v S b r 1 6 d 0 s r z F 0 + + K Q e O 5 v 2 U N P z J 6 e / / e 5 3 + P t 8 o h 5 0 8 P 3 v 5 x Z e 0 b r w Z 6 L O v n j 9 / f f Z T p 1 8 L 9 g 1 W 8 2 v B P n 7 6 n a 9 e Q y L O K D w 9 f n W 6 m U t u S 2 f 6 8 w 2 t v H 4 d 7 y b K b V / + / r R 4 / v s / J f f 4 z e n v / + I r M A S c 8 B u d 8 P e c x N f f / v K 7 x M x f s A 9 O v s r v L / b M f P K N j O X 1 V y 9 J / b x + / f u / o B X 2 5 7 T a / P 5 g 7 + q v E Q f w r l 2 R f v 1 z s W z + x m D J q L 1 6 9 X s H f 5 8 9 P T p + / p x I / P T V 8 e e / P y F A v 3 z 5 k o b 3 l A a L j n i 6 + B c a V u f l C D C S Z q L k t 2 m W z t 7 8 / l 8 c n 7 z 6 0 o P F S N 4 C C P 1 5 g u k w o / n 6 6 H x x + v y N B f P 6 6 8 N R 4 f n 9 v / v l q 9 / r y Z d f / l 5 f Y 1 C G M t 9 9 A v V M X 7 3 4 + u g Y N H 7 / l + Q S 0 x 9 P v w Y + b 7 5 9 C p f w v d 9 7 / e b 3 o S j w q 5 d Y u / v 9 o Q L 9 Y e y 8 1 z D e k I P 1 m r T / B 4 L 5 c V g 6 9 z L / + V 6 v f x W + / t V 7 v f 7 i y 9 / / u 6 + O f Z G 5 L S X t L H a G f 9 v 3 W T X S B 0 5 Q P o D D L T J n P j M d 3 f v y Y G f 3 0 7 2 X J 3 s P f u / f 5 8 l P 7 f z E l y / 2 H / 4 + n / 7 e L 9 4 L + E u y Y m T L P m y a F Q i / 8 X W o R U o e P v L r s x e f E w N T H K U S + T V g f f X 6 l C T 4 z d k X Z N r J L f q S d O d t l d T d U B 8 D E t k y N j 9 k m o + g z B / f 7 X 7 6 W M a O I O 7 o p 5 5 9 8 f t / c b K z + / u f / c T O D i W v v a + 0 2 Z v f 5 + X p 0 U + s 8 / r a f M u f P E b 2 T U T 2 i F j c + w v N P j 8 9 + n 8 A 7 T 5 D V r s H A Q A = < / A p p l i c a t i o n > 
</file>

<file path=customXml/itemProps1.xml><?xml version="1.0" encoding="utf-8"?>
<ds:datastoreItem xmlns:ds="http://schemas.openxmlformats.org/officeDocument/2006/customXml" ds:itemID="{501AACE9-E6E5-435C-BD9A-BC378C32D282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Balace_Presupuestario_LDF</vt:lpstr>
      <vt:lpstr>IngresosXFuente_Finan</vt:lpstr>
      <vt:lpstr>IngresosXRubro</vt:lpstr>
      <vt:lpstr>Ingresos</vt:lpstr>
      <vt:lpstr>Ana_Ing_detallado_LDF</vt:lpstr>
      <vt:lpstr>fuente1</vt:lpstr>
      <vt:lpstr>Hoja3</vt:lpstr>
      <vt:lpstr>Ana_Ing_detallado_LDF!Área_de_impresión</vt:lpstr>
      <vt:lpstr>Ingresos!Área_de_impresión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2.- Clasificación por Fuente de Financiamiento</dc:title>
  <dc:creator>javier.ynoquio</dc:creator>
  <cp:lastModifiedBy>Martha</cp:lastModifiedBy>
  <cp:lastPrinted>2017-05-15T15:38:26Z</cp:lastPrinted>
  <dcterms:created xsi:type="dcterms:W3CDTF">2016-02-24T23:36:11Z</dcterms:created>
  <dcterms:modified xsi:type="dcterms:W3CDTF">2017-05-15T19:41:23Z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Clasif. x Fuente Financiamiento</vt:lpwstr>
  </property>
  <property fmtid="{D5CDD505-2E9C-101B-9397-08002B2CF9AE}" pid="3" name="BExAnalyzer_OldName">
    <vt:lpwstr>2.- Clasificación por Fuente de Financiamiento.xlsx</vt:lpwstr>
  </property>
</Properties>
</file>